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resh\Desktop\controls\re_oscillations_10th june22\"/>
    </mc:Choice>
  </mc:AlternateContent>
  <bookViews>
    <workbookView xWindow="0" yWindow="0" windowWidth="28800" windowHeight="11700"/>
  </bookViews>
  <sheets>
    <sheet name="ComplexReportGroup.Raw_25Hz " sheetId="1" r:id="rId1"/>
  </sheets>
  <calcPr calcId="162913"/>
</workbook>
</file>

<file path=xl/calcChain.xml><?xml version="1.0" encoding="utf-8"?>
<calcChain xmlns="http://schemas.openxmlformats.org/spreadsheetml/2006/main">
  <c r="J3001" i="1" l="1"/>
  <c r="H3001" i="1"/>
  <c r="F3001" i="1"/>
  <c r="D3001" i="1"/>
  <c r="J3000" i="1"/>
  <c r="H3000" i="1"/>
  <c r="F3000" i="1"/>
  <c r="D3000" i="1"/>
  <c r="J2999" i="1"/>
  <c r="H2999" i="1"/>
  <c r="F2999" i="1"/>
  <c r="D2999" i="1"/>
  <c r="J2998" i="1"/>
  <c r="I2998" i="1"/>
  <c r="H2998" i="1"/>
  <c r="G2998" i="1"/>
  <c r="F2998" i="1"/>
  <c r="E2998" i="1"/>
  <c r="D2998" i="1"/>
  <c r="J2997" i="1"/>
  <c r="I2997" i="1"/>
  <c r="H2997" i="1"/>
  <c r="G2997" i="1"/>
  <c r="F2997" i="1"/>
  <c r="E2997" i="1"/>
  <c r="D2997" i="1"/>
  <c r="J2996" i="1"/>
  <c r="I2996" i="1"/>
  <c r="H2996" i="1"/>
  <c r="G2996" i="1"/>
  <c r="F2996" i="1"/>
  <c r="E2996" i="1"/>
  <c r="D2996" i="1"/>
  <c r="J2995" i="1"/>
  <c r="I2995" i="1"/>
  <c r="H2995" i="1"/>
  <c r="G2995" i="1"/>
  <c r="F2995" i="1"/>
  <c r="E2995" i="1"/>
  <c r="D2995" i="1"/>
  <c r="J2994" i="1"/>
  <c r="I2994" i="1"/>
  <c r="H2994" i="1"/>
  <c r="G2994" i="1"/>
  <c r="F2994" i="1"/>
  <c r="E2994" i="1"/>
  <c r="D2994" i="1"/>
  <c r="J2993" i="1"/>
  <c r="I2993" i="1"/>
  <c r="H2993" i="1"/>
  <c r="G2993" i="1"/>
  <c r="F2993" i="1"/>
  <c r="E2993" i="1"/>
  <c r="D2993" i="1"/>
  <c r="J2992" i="1"/>
  <c r="I2992" i="1"/>
  <c r="H2992" i="1"/>
  <c r="G2992" i="1"/>
  <c r="F2992" i="1"/>
  <c r="E2992" i="1"/>
  <c r="D2992" i="1"/>
  <c r="J2991" i="1"/>
  <c r="I2991" i="1"/>
  <c r="H2991" i="1"/>
  <c r="G2991" i="1"/>
  <c r="F2991" i="1"/>
  <c r="E2991" i="1"/>
  <c r="D2991" i="1"/>
  <c r="J2990" i="1"/>
  <c r="I2990" i="1"/>
  <c r="H2990" i="1"/>
  <c r="G2990" i="1"/>
  <c r="F2990" i="1"/>
  <c r="E2990" i="1"/>
  <c r="D2990" i="1"/>
  <c r="J2989" i="1"/>
  <c r="I2989" i="1"/>
  <c r="H2989" i="1"/>
  <c r="G2989" i="1"/>
  <c r="F2989" i="1"/>
  <c r="E2989" i="1"/>
  <c r="D2989" i="1"/>
  <c r="J2988" i="1"/>
  <c r="I2988" i="1"/>
  <c r="H2988" i="1"/>
  <c r="G2988" i="1"/>
  <c r="F2988" i="1"/>
  <c r="E2988" i="1"/>
  <c r="D2988" i="1"/>
  <c r="J2987" i="1"/>
  <c r="H2987" i="1"/>
  <c r="F2987" i="1"/>
  <c r="D2987" i="1"/>
  <c r="J2986" i="1"/>
  <c r="I2986" i="1"/>
  <c r="H2986" i="1"/>
  <c r="G2986" i="1"/>
  <c r="F2986" i="1"/>
  <c r="E2986" i="1"/>
  <c r="D2986" i="1"/>
  <c r="J2985" i="1"/>
  <c r="I2985" i="1"/>
  <c r="H2985" i="1"/>
  <c r="G2985" i="1"/>
  <c r="F2985" i="1"/>
  <c r="E2985" i="1"/>
  <c r="D2985" i="1"/>
  <c r="J2984" i="1"/>
  <c r="I2984" i="1"/>
  <c r="H2984" i="1"/>
  <c r="G2984" i="1"/>
  <c r="F2984" i="1"/>
  <c r="E2984" i="1"/>
  <c r="D2984" i="1"/>
  <c r="J2983" i="1"/>
  <c r="I2983" i="1"/>
  <c r="H2983" i="1"/>
  <c r="G2983" i="1"/>
  <c r="F2983" i="1"/>
  <c r="E2983" i="1"/>
  <c r="D2983" i="1"/>
  <c r="J2982" i="1"/>
  <c r="I2982" i="1"/>
  <c r="H2982" i="1"/>
  <c r="G2982" i="1"/>
  <c r="F2982" i="1"/>
  <c r="E2982" i="1"/>
  <c r="D2982" i="1"/>
  <c r="J2981" i="1"/>
  <c r="I2981" i="1"/>
  <c r="H2981" i="1"/>
  <c r="G2981" i="1"/>
  <c r="F2981" i="1"/>
  <c r="E2981" i="1"/>
  <c r="D2981" i="1"/>
  <c r="J2980" i="1"/>
  <c r="I2980" i="1"/>
  <c r="H2980" i="1"/>
  <c r="G2980" i="1"/>
  <c r="F2980" i="1"/>
  <c r="E2980" i="1"/>
  <c r="D2980" i="1"/>
  <c r="J2979" i="1"/>
  <c r="I2979" i="1"/>
  <c r="H2979" i="1"/>
  <c r="G2979" i="1"/>
  <c r="F2979" i="1"/>
  <c r="E2979" i="1"/>
  <c r="D2979" i="1"/>
  <c r="J2978" i="1"/>
  <c r="I2978" i="1"/>
  <c r="H2978" i="1"/>
  <c r="G2978" i="1"/>
  <c r="F2978" i="1"/>
  <c r="E2978" i="1"/>
  <c r="D2978" i="1"/>
  <c r="J2977" i="1"/>
  <c r="H2977" i="1"/>
  <c r="F2977" i="1"/>
  <c r="D2977" i="1"/>
  <c r="J2976" i="1"/>
  <c r="I2976" i="1"/>
  <c r="H2976" i="1"/>
  <c r="G2976" i="1"/>
  <c r="F2976" i="1"/>
  <c r="E2976" i="1"/>
  <c r="D2976" i="1"/>
  <c r="J2975" i="1"/>
  <c r="I2975" i="1"/>
  <c r="H2975" i="1"/>
  <c r="G2975" i="1"/>
  <c r="F2975" i="1"/>
  <c r="E2975" i="1"/>
  <c r="D2975" i="1"/>
  <c r="J2974" i="1"/>
  <c r="I2974" i="1"/>
  <c r="H2974" i="1"/>
  <c r="G2974" i="1"/>
  <c r="F2974" i="1"/>
  <c r="E2974" i="1"/>
  <c r="D2974" i="1"/>
  <c r="J2973" i="1"/>
  <c r="I2973" i="1"/>
  <c r="H2973" i="1"/>
  <c r="G2973" i="1"/>
  <c r="F2973" i="1"/>
  <c r="E2973" i="1"/>
  <c r="D2973" i="1"/>
  <c r="J2972" i="1"/>
  <c r="I2972" i="1"/>
  <c r="H2972" i="1"/>
  <c r="G2972" i="1"/>
  <c r="F2972" i="1"/>
  <c r="E2972" i="1"/>
  <c r="D2972" i="1"/>
  <c r="J2971" i="1"/>
  <c r="H2971" i="1"/>
  <c r="F2971" i="1"/>
  <c r="D2971" i="1"/>
  <c r="J2970" i="1"/>
  <c r="I2970" i="1"/>
  <c r="H2970" i="1"/>
  <c r="G2970" i="1"/>
  <c r="F2970" i="1"/>
  <c r="E2970" i="1"/>
  <c r="D2970" i="1"/>
  <c r="J2969" i="1"/>
  <c r="I2969" i="1"/>
  <c r="H2969" i="1"/>
  <c r="G2969" i="1"/>
  <c r="F2969" i="1"/>
  <c r="E2969" i="1"/>
  <c r="D2969" i="1"/>
  <c r="J2968" i="1"/>
  <c r="I2968" i="1"/>
  <c r="H2968" i="1"/>
  <c r="G2968" i="1"/>
  <c r="F2968" i="1"/>
  <c r="E2968" i="1"/>
  <c r="D2968" i="1"/>
  <c r="J2967" i="1"/>
  <c r="I2967" i="1"/>
  <c r="H2967" i="1"/>
  <c r="G2967" i="1"/>
  <c r="F2967" i="1"/>
  <c r="E2967" i="1"/>
  <c r="D2967" i="1"/>
  <c r="J2966" i="1"/>
  <c r="I2966" i="1"/>
  <c r="H2966" i="1"/>
  <c r="G2966" i="1"/>
  <c r="F2966" i="1"/>
  <c r="E2966" i="1"/>
  <c r="D2966" i="1"/>
  <c r="J2965" i="1"/>
  <c r="I2965" i="1"/>
  <c r="H2965" i="1"/>
  <c r="G2965" i="1"/>
  <c r="F2965" i="1"/>
  <c r="E2965" i="1"/>
  <c r="D2965" i="1"/>
  <c r="J2964" i="1"/>
  <c r="I2964" i="1"/>
  <c r="H2964" i="1"/>
  <c r="G2964" i="1"/>
  <c r="F2964" i="1"/>
  <c r="E2964" i="1"/>
  <c r="D2964" i="1"/>
  <c r="J2963" i="1"/>
  <c r="I2963" i="1"/>
  <c r="H2963" i="1"/>
  <c r="G2963" i="1"/>
  <c r="F2963" i="1"/>
  <c r="E2963" i="1"/>
  <c r="D2963" i="1"/>
  <c r="J2962" i="1"/>
  <c r="I2962" i="1"/>
  <c r="H2962" i="1"/>
  <c r="G2962" i="1"/>
  <c r="F2962" i="1"/>
  <c r="E2962" i="1"/>
  <c r="D2962" i="1"/>
  <c r="J2961" i="1"/>
  <c r="I2961" i="1"/>
  <c r="H2961" i="1"/>
  <c r="G2961" i="1"/>
  <c r="F2961" i="1"/>
  <c r="E2961" i="1"/>
  <c r="D2961" i="1"/>
  <c r="J2960" i="1"/>
  <c r="I2960" i="1"/>
  <c r="H2960" i="1"/>
  <c r="G2960" i="1"/>
  <c r="F2960" i="1"/>
  <c r="E2960" i="1"/>
  <c r="D2960" i="1"/>
  <c r="J2959" i="1"/>
  <c r="I2959" i="1"/>
  <c r="H2959" i="1"/>
  <c r="G2959" i="1"/>
  <c r="F2959" i="1"/>
  <c r="E2959" i="1"/>
  <c r="D2959" i="1"/>
  <c r="J2958" i="1"/>
  <c r="I2958" i="1"/>
  <c r="H2958" i="1"/>
  <c r="G2958" i="1"/>
  <c r="F2958" i="1"/>
  <c r="E2958" i="1"/>
  <c r="D2958" i="1"/>
  <c r="J2957" i="1"/>
  <c r="I2957" i="1"/>
  <c r="H2957" i="1"/>
  <c r="G2957" i="1"/>
  <c r="F2957" i="1"/>
  <c r="E2957" i="1"/>
  <c r="D2957" i="1"/>
  <c r="J2956" i="1"/>
  <c r="I2956" i="1"/>
  <c r="H2956" i="1"/>
  <c r="G2956" i="1"/>
  <c r="F2956" i="1"/>
  <c r="E2956" i="1"/>
  <c r="D2956" i="1"/>
  <c r="J2955" i="1"/>
  <c r="I2955" i="1"/>
  <c r="H2955" i="1"/>
  <c r="G2955" i="1"/>
  <c r="F2955" i="1"/>
  <c r="E2955" i="1"/>
  <c r="D2955" i="1"/>
  <c r="J2954" i="1"/>
  <c r="I2954" i="1"/>
  <c r="H2954" i="1"/>
  <c r="G2954" i="1"/>
  <c r="F2954" i="1"/>
  <c r="E2954" i="1"/>
  <c r="D2954" i="1"/>
  <c r="J2953" i="1"/>
  <c r="I2953" i="1"/>
  <c r="H2953" i="1"/>
  <c r="G2953" i="1"/>
  <c r="F2953" i="1"/>
  <c r="E2953" i="1"/>
  <c r="D2953" i="1"/>
  <c r="J2952" i="1"/>
  <c r="I2952" i="1"/>
  <c r="H2952" i="1"/>
  <c r="G2952" i="1"/>
  <c r="F2952" i="1"/>
  <c r="E2952" i="1"/>
  <c r="D2952" i="1"/>
  <c r="J2951" i="1"/>
  <c r="I2951" i="1"/>
  <c r="H2951" i="1"/>
  <c r="G2951" i="1"/>
  <c r="F2951" i="1"/>
  <c r="E2951" i="1"/>
  <c r="D2951" i="1"/>
  <c r="J2950" i="1"/>
  <c r="H2950" i="1"/>
  <c r="F2950" i="1"/>
  <c r="D2950" i="1"/>
  <c r="J2949" i="1"/>
  <c r="I2949" i="1"/>
  <c r="H2949" i="1"/>
  <c r="G2949" i="1"/>
  <c r="F2949" i="1"/>
  <c r="E2949" i="1"/>
  <c r="D2949" i="1"/>
  <c r="J2948" i="1"/>
  <c r="I2948" i="1"/>
  <c r="H2948" i="1"/>
  <c r="G2948" i="1"/>
  <c r="F2948" i="1"/>
  <c r="E2948" i="1"/>
  <c r="D2948" i="1"/>
  <c r="J2947" i="1"/>
  <c r="I2947" i="1"/>
  <c r="H2947" i="1"/>
  <c r="G2947" i="1"/>
  <c r="F2947" i="1"/>
  <c r="E2947" i="1"/>
  <c r="D2947" i="1"/>
  <c r="J2946" i="1"/>
  <c r="I2946" i="1"/>
  <c r="H2946" i="1"/>
  <c r="G2946" i="1"/>
  <c r="F2946" i="1"/>
  <c r="E2946" i="1"/>
  <c r="D2946" i="1"/>
  <c r="J2945" i="1"/>
  <c r="I2945" i="1"/>
  <c r="H2945" i="1"/>
  <c r="G2945" i="1"/>
  <c r="F2945" i="1"/>
  <c r="E2945" i="1"/>
  <c r="D2945" i="1"/>
  <c r="J2944" i="1"/>
  <c r="H2944" i="1"/>
  <c r="F2944" i="1"/>
  <c r="D2944" i="1"/>
  <c r="J2943" i="1"/>
  <c r="I2943" i="1"/>
  <c r="H2943" i="1"/>
  <c r="G2943" i="1"/>
  <c r="F2943" i="1"/>
  <c r="E2943" i="1"/>
  <c r="D2943" i="1"/>
  <c r="J2942" i="1"/>
  <c r="I2942" i="1"/>
  <c r="H2942" i="1"/>
  <c r="G2942" i="1"/>
  <c r="F2942" i="1"/>
  <c r="E2942" i="1"/>
  <c r="D2942" i="1"/>
  <c r="J2941" i="1"/>
  <c r="I2941" i="1"/>
  <c r="H2941" i="1"/>
  <c r="G2941" i="1"/>
  <c r="F2941" i="1"/>
  <c r="E2941" i="1"/>
  <c r="D2941" i="1"/>
  <c r="J2940" i="1"/>
  <c r="I2940" i="1"/>
  <c r="H2940" i="1"/>
  <c r="G2940" i="1"/>
  <c r="F2940" i="1"/>
  <c r="E2940" i="1"/>
  <c r="D2940" i="1"/>
  <c r="J2939" i="1"/>
  <c r="I2939" i="1"/>
  <c r="H2939" i="1"/>
  <c r="G2939" i="1"/>
  <c r="F2939" i="1"/>
  <c r="E2939" i="1"/>
  <c r="D2939" i="1"/>
  <c r="J2938" i="1"/>
  <c r="I2938" i="1"/>
  <c r="H2938" i="1"/>
  <c r="G2938" i="1"/>
  <c r="F2938" i="1"/>
  <c r="E2938" i="1"/>
  <c r="D2938" i="1"/>
  <c r="J2937" i="1"/>
  <c r="I2937" i="1"/>
  <c r="H2937" i="1"/>
  <c r="G2937" i="1"/>
  <c r="F2937" i="1"/>
  <c r="E2937" i="1"/>
  <c r="D2937" i="1"/>
  <c r="J2936" i="1"/>
  <c r="I2936" i="1"/>
  <c r="H2936" i="1"/>
  <c r="G2936" i="1"/>
  <c r="F2936" i="1"/>
  <c r="E2936" i="1"/>
  <c r="D2936" i="1"/>
  <c r="J2935" i="1"/>
  <c r="I2935" i="1"/>
  <c r="H2935" i="1"/>
  <c r="G2935" i="1"/>
  <c r="F2935" i="1"/>
  <c r="E2935" i="1"/>
  <c r="D2935" i="1"/>
  <c r="J2934" i="1"/>
  <c r="I2934" i="1"/>
  <c r="H2934" i="1"/>
  <c r="G2934" i="1"/>
  <c r="F2934" i="1"/>
  <c r="E2934" i="1"/>
  <c r="D2934" i="1"/>
  <c r="J2933" i="1"/>
  <c r="I2933" i="1"/>
  <c r="H2933" i="1"/>
  <c r="G2933" i="1"/>
  <c r="F2933" i="1"/>
  <c r="E2933" i="1"/>
  <c r="D2933" i="1"/>
  <c r="J2932" i="1"/>
  <c r="I2932" i="1"/>
  <c r="H2932" i="1"/>
  <c r="G2932" i="1"/>
  <c r="F2932" i="1"/>
  <c r="E2932" i="1"/>
  <c r="D2932" i="1"/>
  <c r="J2931" i="1"/>
  <c r="I2931" i="1"/>
  <c r="H2931" i="1"/>
  <c r="G2931" i="1"/>
  <c r="F2931" i="1"/>
  <c r="E2931" i="1"/>
  <c r="D2931" i="1"/>
  <c r="J2930" i="1"/>
  <c r="I2930" i="1"/>
  <c r="H2930" i="1"/>
  <c r="G2930" i="1"/>
  <c r="F2930" i="1"/>
  <c r="E2930" i="1"/>
  <c r="D2930" i="1"/>
  <c r="J2929" i="1"/>
  <c r="I2929" i="1"/>
  <c r="H2929" i="1"/>
  <c r="G2929" i="1"/>
  <c r="F2929" i="1"/>
  <c r="E2929" i="1"/>
  <c r="D2929" i="1"/>
  <c r="J2928" i="1"/>
  <c r="I2928" i="1"/>
  <c r="H2928" i="1"/>
  <c r="G2928" i="1"/>
  <c r="F2928" i="1"/>
  <c r="E2928" i="1"/>
  <c r="D2928" i="1"/>
  <c r="J2927" i="1"/>
  <c r="H2927" i="1"/>
  <c r="F2927" i="1"/>
  <c r="D2927" i="1"/>
  <c r="J2926" i="1"/>
  <c r="I2926" i="1"/>
  <c r="H2926" i="1"/>
  <c r="G2926" i="1"/>
  <c r="F2926" i="1"/>
  <c r="E2926" i="1"/>
  <c r="D2926" i="1"/>
  <c r="J2925" i="1"/>
  <c r="I2925" i="1"/>
  <c r="H2925" i="1"/>
  <c r="G2925" i="1"/>
  <c r="F2925" i="1"/>
  <c r="E2925" i="1"/>
  <c r="D2925" i="1"/>
  <c r="J2924" i="1"/>
  <c r="I2924" i="1"/>
  <c r="H2924" i="1"/>
  <c r="G2924" i="1"/>
  <c r="F2924" i="1"/>
  <c r="E2924" i="1"/>
  <c r="D2924" i="1"/>
  <c r="J2923" i="1"/>
  <c r="I2923" i="1"/>
  <c r="H2923" i="1"/>
  <c r="G2923" i="1"/>
  <c r="F2923" i="1"/>
  <c r="E2923" i="1"/>
  <c r="D2923" i="1"/>
  <c r="J2922" i="1"/>
  <c r="I2922" i="1"/>
  <c r="H2922" i="1"/>
  <c r="G2922" i="1"/>
  <c r="F2922" i="1"/>
  <c r="E2922" i="1"/>
  <c r="D2922" i="1"/>
  <c r="J2921" i="1"/>
  <c r="I2921" i="1"/>
  <c r="H2921" i="1"/>
  <c r="G2921" i="1"/>
  <c r="F2921" i="1"/>
  <c r="E2921" i="1"/>
  <c r="D2921" i="1"/>
  <c r="J2920" i="1"/>
  <c r="H2920" i="1"/>
  <c r="F2920" i="1"/>
  <c r="D2920" i="1"/>
  <c r="J2919" i="1"/>
  <c r="I2919" i="1"/>
  <c r="H2919" i="1"/>
  <c r="G2919" i="1"/>
  <c r="F2919" i="1"/>
  <c r="E2919" i="1"/>
  <c r="D2919" i="1"/>
  <c r="J2918" i="1"/>
  <c r="H2918" i="1"/>
  <c r="F2918" i="1"/>
  <c r="D2918" i="1"/>
  <c r="J2917" i="1"/>
  <c r="I2917" i="1"/>
  <c r="H2917" i="1"/>
  <c r="G2917" i="1"/>
  <c r="F2917" i="1"/>
  <c r="E2917" i="1"/>
  <c r="D2917" i="1"/>
  <c r="J2916" i="1"/>
  <c r="I2916" i="1"/>
  <c r="H2916" i="1"/>
  <c r="G2916" i="1"/>
  <c r="F2916" i="1"/>
  <c r="E2916" i="1"/>
  <c r="D2916" i="1"/>
  <c r="J2915" i="1"/>
  <c r="I2915" i="1"/>
  <c r="H2915" i="1"/>
  <c r="G2915" i="1"/>
  <c r="F2915" i="1"/>
  <c r="E2915" i="1"/>
  <c r="D2915" i="1"/>
  <c r="J2914" i="1"/>
  <c r="I2914" i="1"/>
  <c r="H2914" i="1"/>
  <c r="G2914" i="1"/>
  <c r="F2914" i="1"/>
  <c r="E2914" i="1"/>
  <c r="D2914" i="1"/>
  <c r="J2913" i="1"/>
  <c r="I2913" i="1"/>
  <c r="H2913" i="1"/>
  <c r="G2913" i="1"/>
  <c r="F2913" i="1"/>
  <c r="E2913" i="1"/>
  <c r="D2913" i="1"/>
  <c r="J2912" i="1"/>
  <c r="I2912" i="1"/>
  <c r="H2912" i="1"/>
  <c r="G2912" i="1"/>
  <c r="F2912" i="1"/>
  <c r="E2912" i="1"/>
  <c r="D2912" i="1"/>
  <c r="J2911" i="1"/>
  <c r="I2911" i="1"/>
  <c r="H2911" i="1"/>
  <c r="G2911" i="1"/>
  <c r="F2911" i="1"/>
  <c r="E2911" i="1"/>
  <c r="D2911" i="1"/>
  <c r="J2910" i="1"/>
  <c r="I2910" i="1"/>
  <c r="H2910" i="1"/>
  <c r="G2910" i="1"/>
  <c r="F2910" i="1"/>
  <c r="E2910" i="1"/>
  <c r="D2910" i="1"/>
  <c r="J2909" i="1"/>
  <c r="I2909" i="1"/>
  <c r="H2909" i="1"/>
  <c r="G2909" i="1"/>
  <c r="F2909" i="1"/>
  <c r="E2909" i="1"/>
  <c r="D2909" i="1"/>
  <c r="J2908" i="1"/>
  <c r="I2908" i="1"/>
  <c r="H2908" i="1"/>
  <c r="G2908" i="1"/>
  <c r="F2908" i="1"/>
  <c r="E2908" i="1"/>
  <c r="D2908" i="1"/>
  <c r="J2907" i="1"/>
  <c r="I2907" i="1"/>
  <c r="H2907" i="1"/>
  <c r="G2907" i="1"/>
  <c r="F2907" i="1"/>
  <c r="E2907" i="1"/>
  <c r="D2907" i="1"/>
  <c r="J2906" i="1"/>
  <c r="I2906" i="1"/>
  <c r="H2906" i="1"/>
  <c r="G2906" i="1"/>
  <c r="F2906" i="1"/>
  <c r="E2906" i="1"/>
  <c r="D2906" i="1"/>
  <c r="J2905" i="1"/>
  <c r="I2905" i="1"/>
  <c r="H2905" i="1"/>
  <c r="G2905" i="1"/>
  <c r="F2905" i="1"/>
  <c r="E2905" i="1"/>
  <c r="D2905" i="1"/>
  <c r="J2904" i="1"/>
  <c r="I2904" i="1"/>
  <c r="H2904" i="1"/>
  <c r="G2904" i="1"/>
  <c r="F2904" i="1"/>
  <c r="E2904" i="1"/>
  <c r="D2904" i="1"/>
  <c r="J2903" i="1"/>
  <c r="I2903" i="1"/>
  <c r="H2903" i="1"/>
  <c r="G2903" i="1"/>
  <c r="F2903" i="1"/>
  <c r="E2903" i="1"/>
  <c r="D2903" i="1"/>
  <c r="J2902" i="1"/>
  <c r="I2902" i="1"/>
  <c r="H2902" i="1"/>
  <c r="G2902" i="1"/>
  <c r="F2902" i="1"/>
  <c r="E2902" i="1"/>
  <c r="D2902" i="1"/>
  <c r="J2901" i="1"/>
  <c r="I2901" i="1"/>
  <c r="H2901" i="1"/>
  <c r="G2901" i="1"/>
  <c r="F2901" i="1"/>
  <c r="E2901" i="1"/>
  <c r="D2901" i="1"/>
  <c r="J2900" i="1"/>
  <c r="I2900" i="1"/>
  <c r="H2900" i="1"/>
  <c r="G2900" i="1"/>
  <c r="F2900" i="1"/>
  <c r="E2900" i="1"/>
  <c r="D2900" i="1"/>
  <c r="J2899" i="1"/>
  <c r="I2899" i="1"/>
  <c r="H2899" i="1"/>
  <c r="G2899" i="1"/>
  <c r="F2899" i="1"/>
  <c r="E2899" i="1"/>
  <c r="D2899" i="1"/>
  <c r="J2898" i="1"/>
  <c r="I2898" i="1"/>
  <c r="H2898" i="1"/>
  <c r="G2898" i="1"/>
  <c r="F2898" i="1"/>
  <c r="E2898" i="1"/>
  <c r="D2898" i="1"/>
  <c r="J2897" i="1"/>
  <c r="I2897" i="1"/>
  <c r="H2897" i="1"/>
  <c r="G2897" i="1"/>
  <c r="F2897" i="1"/>
  <c r="E2897" i="1"/>
  <c r="D2897" i="1"/>
  <c r="J2896" i="1"/>
  <c r="I2896" i="1"/>
  <c r="H2896" i="1"/>
  <c r="G2896" i="1"/>
  <c r="F2896" i="1"/>
  <c r="E2896" i="1"/>
  <c r="D2896" i="1"/>
  <c r="J2895" i="1"/>
  <c r="I2895" i="1"/>
  <c r="H2895" i="1"/>
  <c r="G2895" i="1"/>
  <c r="F2895" i="1"/>
  <c r="E2895" i="1"/>
  <c r="D2895" i="1"/>
  <c r="J2894" i="1"/>
  <c r="I2894" i="1"/>
  <c r="H2894" i="1"/>
  <c r="G2894" i="1"/>
  <c r="F2894" i="1"/>
  <c r="E2894" i="1"/>
  <c r="D2894" i="1"/>
  <c r="J2893" i="1"/>
  <c r="I2893" i="1"/>
  <c r="H2893" i="1"/>
  <c r="G2893" i="1"/>
  <c r="F2893" i="1"/>
  <c r="E2893" i="1"/>
  <c r="D2893" i="1"/>
  <c r="J2892" i="1"/>
  <c r="I2892" i="1"/>
  <c r="H2892" i="1"/>
  <c r="G2892" i="1"/>
  <c r="F2892" i="1"/>
  <c r="E2892" i="1"/>
  <c r="D2892" i="1"/>
  <c r="J2891" i="1"/>
  <c r="I2891" i="1"/>
  <c r="H2891" i="1"/>
  <c r="G2891" i="1"/>
  <c r="F2891" i="1"/>
  <c r="E2891" i="1"/>
  <c r="D2891" i="1"/>
  <c r="J2890" i="1"/>
  <c r="I2890" i="1"/>
  <c r="H2890" i="1"/>
  <c r="G2890" i="1"/>
  <c r="F2890" i="1"/>
  <c r="E2890" i="1"/>
  <c r="D2890" i="1"/>
  <c r="J2889" i="1"/>
  <c r="I2889" i="1"/>
  <c r="H2889" i="1"/>
  <c r="G2889" i="1"/>
  <c r="F2889" i="1"/>
  <c r="E2889" i="1"/>
  <c r="D2889" i="1"/>
  <c r="J2888" i="1"/>
  <c r="I2888" i="1"/>
  <c r="H2888" i="1"/>
  <c r="G2888" i="1"/>
  <c r="F2888" i="1"/>
  <c r="E2888" i="1"/>
  <c r="D2888" i="1"/>
  <c r="J2887" i="1"/>
  <c r="I2887" i="1"/>
  <c r="H2887" i="1"/>
  <c r="G2887" i="1"/>
  <c r="F2887" i="1"/>
  <c r="E2887" i="1"/>
  <c r="D2887" i="1"/>
  <c r="J2886" i="1"/>
  <c r="I2886" i="1"/>
  <c r="H2886" i="1"/>
  <c r="G2886" i="1"/>
  <c r="F2886" i="1"/>
  <c r="E2886" i="1"/>
  <c r="D2886" i="1"/>
  <c r="J2885" i="1"/>
  <c r="I2885" i="1"/>
  <c r="H2885" i="1"/>
  <c r="G2885" i="1"/>
  <c r="F2885" i="1"/>
  <c r="E2885" i="1"/>
  <c r="D2885" i="1"/>
  <c r="J2884" i="1"/>
  <c r="I2884" i="1"/>
  <c r="H2884" i="1"/>
  <c r="G2884" i="1"/>
  <c r="F2884" i="1"/>
  <c r="E2884" i="1"/>
  <c r="D2884" i="1"/>
  <c r="J2883" i="1"/>
  <c r="I2883" i="1"/>
  <c r="H2883" i="1"/>
  <c r="G2883" i="1"/>
  <c r="F2883" i="1"/>
  <c r="E2883" i="1"/>
  <c r="D2883" i="1"/>
  <c r="J2882" i="1"/>
  <c r="I2882" i="1"/>
  <c r="H2882" i="1"/>
  <c r="G2882" i="1"/>
  <c r="F2882" i="1"/>
  <c r="E2882" i="1"/>
  <c r="D2882" i="1"/>
  <c r="J2881" i="1"/>
  <c r="I2881" i="1"/>
  <c r="H2881" i="1"/>
  <c r="G2881" i="1"/>
  <c r="F2881" i="1"/>
  <c r="E2881" i="1"/>
  <c r="D2881" i="1"/>
  <c r="J2880" i="1"/>
  <c r="I2880" i="1"/>
  <c r="H2880" i="1"/>
  <c r="G2880" i="1"/>
  <c r="F2880" i="1"/>
  <c r="E2880" i="1"/>
  <c r="D2880" i="1"/>
  <c r="J2879" i="1"/>
  <c r="I2879" i="1"/>
  <c r="H2879" i="1"/>
  <c r="G2879" i="1"/>
  <c r="F2879" i="1"/>
  <c r="E2879" i="1"/>
  <c r="D2879" i="1"/>
  <c r="J2878" i="1"/>
  <c r="I2878" i="1"/>
  <c r="H2878" i="1"/>
  <c r="G2878" i="1"/>
  <c r="F2878" i="1"/>
  <c r="E2878" i="1"/>
  <c r="D2878" i="1"/>
  <c r="J2877" i="1"/>
  <c r="I2877" i="1"/>
  <c r="H2877" i="1"/>
  <c r="G2877" i="1"/>
  <c r="F2877" i="1"/>
  <c r="E2877" i="1"/>
  <c r="D2877" i="1"/>
  <c r="J2876" i="1"/>
  <c r="I2876" i="1"/>
  <c r="H2876" i="1"/>
  <c r="G2876" i="1"/>
  <c r="F2876" i="1"/>
  <c r="E2876" i="1"/>
  <c r="D2876" i="1"/>
  <c r="J2875" i="1"/>
  <c r="I2875" i="1"/>
  <c r="H2875" i="1"/>
  <c r="G2875" i="1"/>
  <c r="F2875" i="1"/>
  <c r="E2875" i="1"/>
  <c r="D2875" i="1"/>
  <c r="J2874" i="1"/>
  <c r="I2874" i="1"/>
  <c r="H2874" i="1"/>
  <c r="G2874" i="1"/>
  <c r="F2874" i="1"/>
  <c r="E2874" i="1"/>
  <c r="D2874" i="1"/>
  <c r="J2873" i="1"/>
  <c r="I2873" i="1"/>
  <c r="H2873" i="1"/>
  <c r="G2873" i="1"/>
  <c r="F2873" i="1"/>
  <c r="E2873" i="1"/>
  <c r="D2873" i="1"/>
  <c r="J2872" i="1"/>
  <c r="I2872" i="1"/>
  <c r="H2872" i="1"/>
  <c r="G2872" i="1"/>
  <c r="F2872" i="1"/>
  <c r="E2872" i="1"/>
  <c r="D2872" i="1"/>
  <c r="J2871" i="1"/>
  <c r="I2871" i="1"/>
  <c r="H2871" i="1"/>
  <c r="G2871" i="1"/>
  <c r="F2871" i="1"/>
  <c r="E2871" i="1"/>
  <c r="D2871" i="1"/>
  <c r="J2870" i="1"/>
  <c r="I2870" i="1"/>
  <c r="H2870" i="1"/>
  <c r="G2870" i="1"/>
  <c r="F2870" i="1"/>
  <c r="E2870" i="1"/>
  <c r="D2870" i="1"/>
  <c r="J2869" i="1"/>
  <c r="I2869" i="1"/>
  <c r="H2869" i="1"/>
  <c r="G2869" i="1"/>
  <c r="F2869" i="1"/>
  <c r="E2869" i="1"/>
  <c r="D2869" i="1"/>
  <c r="J2868" i="1"/>
  <c r="I2868" i="1"/>
  <c r="H2868" i="1"/>
  <c r="G2868" i="1"/>
  <c r="F2868" i="1"/>
  <c r="E2868" i="1"/>
  <c r="D2868" i="1"/>
  <c r="J2867" i="1"/>
  <c r="I2867" i="1"/>
  <c r="H2867" i="1"/>
  <c r="G2867" i="1"/>
  <c r="F2867" i="1"/>
  <c r="E2867" i="1"/>
  <c r="D2867" i="1"/>
  <c r="J2866" i="1"/>
  <c r="I2866" i="1"/>
  <c r="H2866" i="1"/>
  <c r="G2866" i="1"/>
  <c r="F2866" i="1"/>
  <c r="E2866" i="1"/>
  <c r="D2866" i="1"/>
  <c r="J2865" i="1"/>
  <c r="I2865" i="1"/>
  <c r="H2865" i="1"/>
  <c r="G2865" i="1"/>
  <c r="F2865" i="1"/>
  <c r="E2865" i="1"/>
  <c r="D2865" i="1"/>
  <c r="J2864" i="1"/>
  <c r="I2864" i="1"/>
  <c r="H2864" i="1"/>
  <c r="G2864" i="1"/>
  <c r="F2864" i="1"/>
  <c r="E2864" i="1"/>
  <c r="D2864" i="1"/>
  <c r="J2863" i="1"/>
  <c r="I2863" i="1"/>
  <c r="H2863" i="1"/>
  <c r="G2863" i="1"/>
  <c r="F2863" i="1"/>
  <c r="E2863" i="1"/>
  <c r="D2863" i="1"/>
  <c r="J2862" i="1"/>
  <c r="I2862" i="1"/>
  <c r="H2862" i="1"/>
  <c r="G2862" i="1"/>
  <c r="F2862" i="1"/>
  <c r="E2862" i="1"/>
  <c r="D2862" i="1"/>
  <c r="J2861" i="1"/>
  <c r="I2861" i="1"/>
  <c r="H2861" i="1"/>
  <c r="G2861" i="1"/>
  <c r="F2861" i="1"/>
  <c r="E2861" i="1"/>
  <c r="D2861" i="1"/>
  <c r="J2860" i="1"/>
  <c r="I2860" i="1"/>
  <c r="H2860" i="1"/>
  <c r="G2860" i="1"/>
  <c r="F2860" i="1"/>
  <c r="E2860" i="1"/>
  <c r="D2860" i="1"/>
  <c r="J2859" i="1"/>
  <c r="I2859" i="1"/>
  <c r="H2859" i="1"/>
  <c r="G2859" i="1"/>
  <c r="F2859" i="1"/>
  <c r="E2859" i="1"/>
  <c r="D2859" i="1"/>
  <c r="J2858" i="1"/>
  <c r="I2858" i="1"/>
  <c r="H2858" i="1"/>
  <c r="G2858" i="1"/>
  <c r="F2858" i="1"/>
  <c r="E2858" i="1"/>
  <c r="D2858" i="1"/>
  <c r="J2857" i="1"/>
  <c r="I2857" i="1"/>
  <c r="H2857" i="1"/>
  <c r="G2857" i="1"/>
  <c r="F2857" i="1"/>
  <c r="E2857" i="1"/>
  <c r="D2857" i="1"/>
  <c r="J2856" i="1"/>
  <c r="I2856" i="1"/>
  <c r="H2856" i="1"/>
  <c r="G2856" i="1"/>
  <c r="F2856" i="1"/>
  <c r="E2856" i="1"/>
  <c r="D2856" i="1"/>
  <c r="J2855" i="1"/>
  <c r="I2855" i="1"/>
  <c r="H2855" i="1"/>
  <c r="G2855" i="1"/>
  <c r="F2855" i="1"/>
  <c r="E2855" i="1"/>
  <c r="D2855" i="1"/>
  <c r="J2854" i="1"/>
  <c r="I2854" i="1"/>
  <c r="H2854" i="1"/>
  <c r="G2854" i="1"/>
  <c r="F2854" i="1"/>
  <c r="E2854" i="1"/>
  <c r="D2854" i="1"/>
  <c r="J2853" i="1"/>
  <c r="I2853" i="1"/>
  <c r="H2853" i="1"/>
  <c r="G2853" i="1"/>
  <c r="F2853" i="1"/>
  <c r="E2853" i="1"/>
  <c r="D2853" i="1"/>
  <c r="J2852" i="1"/>
  <c r="I2852" i="1"/>
  <c r="H2852" i="1"/>
  <c r="G2852" i="1"/>
  <c r="F2852" i="1"/>
  <c r="E2852" i="1"/>
  <c r="D2852" i="1"/>
  <c r="J2851" i="1"/>
  <c r="I2851" i="1"/>
  <c r="H2851" i="1"/>
  <c r="G2851" i="1"/>
  <c r="F2851" i="1"/>
  <c r="E2851" i="1"/>
  <c r="D2851" i="1"/>
  <c r="J2850" i="1"/>
  <c r="I2850" i="1"/>
  <c r="H2850" i="1"/>
  <c r="G2850" i="1"/>
  <c r="F2850" i="1"/>
  <c r="E2850" i="1"/>
  <c r="D2850" i="1"/>
  <c r="J2849" i="1"/>
  <c r="I2849" i="1"/>
  <c r="H2849" i="1"/>
  <c r="G2849" i="1"/>
  <c r="F2849" i="1"/>
  <c r="E2849" i="1"/>
  <c r="D2849" i="1"/>
  <c r="J2848" i="1"/>
  <c r="I2848" i="1"/>
  <c r="H2848" i="1"/>
  <c r="G2848" i="1"/>
  <c r="F2848" i="1"/>
  <c r="E2848" i="1"/>
  <c r="D2848" i="1"/>
  <c r="J2847" i="1"/>
  <c r="I2847" i="1"/>
  <c r="H2847" i="1"/>
  <c r="G2847" i="1"/>
  <c r="F2847" i="1"/>
  <c r="E2847" i="1"/>
  <c r="D2847" i="1"/>
  <c r="J2846" i="1"/>
  <c r="I2846" i="1"/>
  <c r="H2846" i="1"/>
  <c r="G2846" i="1"/>
  <c r="F2846" i="1"/>
  <c r="E2846" i="1"/>
  <c r="D2846" i="1"/>
  <c r="J2845" i="1"/>
  <c r="I2845" i="1"/>
  <c r="H2845" i="1"/>
  <c r="G2845" i="1"/>
  <c r="F2845" i="1"/>
  <c r="E2845" i="1"/>
  <c r="D2845" i="1"/>
  <c r="J2844" i="1"/>
  <c r="I2844" i="1"/>
  <c r="H2844" i="1"/>
  <c r="G2844" i="1"/>
  <c r="F2844" i="1"/>
  <c r="E2844" i="1"/>
  <c r="D2844" i="1"/>
  <c r="J2843" i="1"/>
  <c r="I2843" i="1"/>
  <c r="H2843" i="1"/>
  <c r="G2843" i="1"/>
  <c r="F2843" i="1"/>
  <c r="E2843" i="1"/>
  <c r="D2843" i="1"/>
  <c r="J2842" i="1"/>
  <c r="I2842" i="1"/>
  <c r="H2842" i="1"/>
  <c r="G2842" i="1"/>
  <c r="F2842" i="1"/>
  <c r="E2842" i="1"/>
  <c r="D2842" i="1"/>
  <c r="J2841" i="1"/>
  <c r="I2841" i="1"/>
  <c r="H2841" i="1"/>
  <c r="G2841" i="1"/>
  <c r="F2841" i="1"/>
  <c r="E2841" i="1"/>
  <c r="D2841" i="1"/>
  <c r="J2840" i="1"/>
  <c r="I2840" i="1"/>
  <c r="H2840" i="1"/>
  <c r="G2840" i="1"/>
  <c r="F2840" i="1"/>
  <c r="E2840" i="1"/>
  <c r="D2840" i="1"/>
  <c r="J2839" i="1"/>
  <c r="I2839" i="1"/>
  <c r="H2839" i="1"/>
  <c r="G2839" i="1"/>
  <c r="F2839" i="1"/>
  <c r="E2839" i="1"/>
  <c r="D2839" i="1"/>
  <c r="J2838" i="1"/>
  <c r="H2838" i="1"/>
  <c r="F2838" i="1"/>
  <c r="D2838" i="1"/>
  <c r="J2837" i="1"/>
  <c r="I2837" i="1"/>
  <c r="H2837" i="1"/>
  <c r="G2837" i="1"/>
  <c r="F2837" i="1"/>
  <c r="E2837" i="1"/>
  <c r="D2837" i="1"/>
  <c r="J2836" i="1"/>
  <c r="I2836" i="1"/>
  <c r="H2836" i="1"/>
  <c r="G2836" i="1"/>
  <c r="F2836" i="1"/>
  <c r="E2836" i="1"/>
  <c r="D2836" i="1"/>
  <c r="J2835" i="1"/>
  <c r="I2835" i="1"/>
  <c r="H2835" i="1"/>
  <c r="G2835" i="1"/>
  <c r="F2835" i="1"/>
  <c r="E2835" i="1"/>
  <c r="D2835" i="1"/>
  <c r="J2834" i="1"/>
  <c r="I2834" i="1"/>
  <c r="H2834" i="1"/>
  <c r="G2834" i="1"/>
  <c r="F2834" i="1"/>
  <c r="E2834" i="1"/>
  <c r="D2834" i="1"/>
  <c r="J2833" i="1"/>
  <c r="I2833" i="1"/>
  <c r="H2833" i="1"/>
  <c r="G2833" i="1"/>
  <c r="F2833" i="1"/>
  <c r="E2833" i="1"/>
  <c r="D2833" i="1"/>
  <c r="J2832" i="1"/>
  <c r="I2832" i="1"/>
  <c r="H2832" i="1"/>
  <c r="G2832" i="1"/>
  <c r="F2832" i="1"/>
  <c r="E2832" i="1"/>
  <c r="D2832" i="1"/>
  <c r="J2831" i="1"/>
  <c r="I2831" i="1"/>
  <c r="H2831" i="1"/>
  <c r="G2831" i="1"/>
  <c r="F2831" i="1"/>
  <c r="E2831" i="1"/>
  <c r="D2831" i="1"/>
  <c r="J2830" i="1"/>
  <c r="I2830" i="1"/>
  <c r="H2830" i="1"/>
  <c r="G2830" i="1"/>
  <c r="F2830" i="1"/>
  <c r="E2830" i="1"/>
  <c r="D2830" i="1"/>
  <c r="J2829" i="1"/>
  <c r="I2829" i="1"/>
  <c r="H2829" i="1"/>
  <c r="G2829" i="1"/>
  <c r="F2829" i="1"/>
  <c r="E2829" i="1"/>
  <c r="D2829" i="1"/>
  <c r="J2828" i="1"/>
  <c r="I2828" i="1"/>
  <c r="H2828" i="1"/>
  <c r="G2828" i="1"/>
  <c r="F2828" i="1"/>
  <c r="E2828" i="1"/>
  <c r="D2828" i="1"/>
  <c r="J2827" i="1"/>
  <c r="I2827" i="1"/>
  <c r="H2827" i="1"/>
  <c r="G2827" i="1"/>
  <c r="F2827" i="1"/>
  <c r="E2827" i="1"/>
  <c r="D2827" i="1"/>
  <c r="J2826" i="1"/>
  <c r="H2826" i="1"/>
  <c r="F2826" i="1"/>
  <c r="D2826" i="1"/>
  <c r="J2825" i="1"/>
  <c r="I2825" i="1"/>
  <c r="H2825" i="1"/>
  <c r="G2825" i="1"/>
  <c r="F2825" i="1"/>
  <c r="E2825" i="1"/>
  <c r="D2825" i="1"/>
  <c r="J2824" i="1"/>
  <c r="I2824" i="1"/>
  <c r="H2824" i="1"/>
  <c r="G2824" i="1"/>
  <c r="F2824" i="1"/>
  <c r="E2824" i="1"/>
  <c r="D2824" i="1"/>
  <c r="J2823" i="1"/>
  <c r="I2823" i="1"/>
  <c r="H2823" i="1"/>
  <c r="G2823" i="1"/>
  <c r="F2823" i="1"/>
  <c r="E2823" i="1"/>
  <c r="D2823" i="1"/>
  <c r="J2822" i="1"/>
  <c r="I2822" i="1"/>
  <c r="H2822" i="1"/>
  <c r="G2822" i="1"/>
  <c r="F2822" i="1"/>
  <c r="E2822" i="1"/>
  <c r="D2822" i="1"/>
  <c r="J2821" i="1"/>
  <c r="I2821" i="1"/>
  <c r="H2821" i="1"/>
  <c r="G2821" i="1"/>
  <c r="F2821" i="1"/>
  <c r="E2821" i="1"/>
  <c r="D2821" i="1"/>
  <c r="J2820" i="1"/>
  <c r="H2820" i="1"/>
  <c r="F2820" i="1"/>
  <c r="D2820" i="1"/>
  <c r="J2819" i="1"/>
  <c r="I2819" i="1"/>
  <c r="H2819" i="1"/>
  <c r="G2819" i="1"/>
  <c r="F2819" i="1"/>
  <c r="E2819" i="1"/>
  <c r="D2819" i="1"/>
  <c r="J2818" i="1"/>
  <c r="I2818" i="1"/>
  <c r="H2818" i="1"/>
  <c r="G2818" i="1"/>
  <c r="F2818" i="1"/>
  <c r="E2818" i="1"/>
  <c r="D2818" i="1"/>
  <c r="J2817" i="1"/>
  <c r="I2817" i="1"/>
  <c r="H2817" i="1"/>
  <c r="G2817" i="1"/>
  <c r="F2817" i="1"/>
  <c r="E2817" i="1"/>
  <c r="D2817" i="1"/>
  <c r="J2816" i="1"/>
  <c r="I2816" i="1"/>
  <c r="H2816" i="1"/>
  <c r="G2816" i="1"/>
  <c r="F2816" i="1"/>
  <c r="E2816" i="1"/>
  <c r="D2816" i="1"/>
  <c r="J2815" i="1"/>
  <c r="I2815" i="1"/>
  <c r="H2815" i="1"/>
  <c r="G2815" i="1"/>
  <c r="F2815" i="1"/>
  <c r="E2815" i="1"/>
  <c r="D2815" i="1"/>
  <c r="J2814" i="1"/>
  <c r="I2814" i="1"/>
  <c r="H2814" i="1"/>
  <c r="G2814" i="1"/>
  <c r="F2814" i="1"/>
  <c r="E2814" i="1"/>
  <c r="D2814" i="1"/>
  <c r="J2813" i="1"/>
  <c r="I2813" i="1"/>
  <c r="H2813" i="1"/>
  <c r="G2813" i="1"/>
  <c r="F2813" i="1"/>
  <c r="E2813" i="1"/>
  <c r="D2813" i="1"/>
  <c r="J2812" i="1"/>
  <c r="I2812" i="1"/>
  <c r="H2812" i="1"/>
  <c r="G2812" i="1"/>
  <c r="F2812" i="1"/>
  <c r="E2812" i="1"/>
  <c r="D2812" i="1"/>
  <c r="J2811" i="1"/>
  <c r="H2811" i="1"/>
  <c r="F2811" i="1"/>
  <c r="D2811" i="1"/>
  <c r="J2810" i="1"/>
  <c r="I2810" i="1"/>
  <c r="H2810" i="1"/>
  <c r="G2810" i="1"/>
  <c r="F2810" i="1"/>
  <c r="E2810" i="1"/>
  <c r="D2810" i="1"/>
  <c r="J2809" i="1"/>
  <c r="I2809" i="1"/>
  <c r="H2809" i="1"/>
  <c r="G2809" i="1"/>
  <c r="F2809" i="1"/>
  <c r="E2809" i="1"/>
  <c r="D2809" i="1"/>
  <c r="J2808" i="1"/>
  <c r="I2808" i="1"/>
  <c r="H2808" i="1"/>
  <c r="G2808" i="1"/>
  <c r="F2808" i="1"/>
  <c r="E2808" i="1"/>
  <c r="D2808" i="1"/>
  <c r="J2807" i="1"/>
  <c r="I2807" i="1"/>
  <c r="H2807" i="1"/>
  <c r="G2807" i="1"/>
  <c r="F2807" i="1"/>
  <c r="E2807" i="1"/>
  <c r="D2807" i="1"/>
  <c r="J2806" i="1"/>
  <c r="I2806" i="1"/>
  <c r="H2806" i="1"/>
  <c r="G2806" i="1"/>
  <c r="F2806" i="1"/>
  <c r="E2806" i="1"/>
  <c r="D2806" i="1"/>
  <c r="J2805" i="1"/>
  <c r="I2805" i="1"/>
  <c r="H2805" i="1"/>
  <c r="G2805" i="1"/>
  <c r="F2805" i="1"/>
  <c r="E2805" i="1"/>
  <c r="D2805" i="1"/>
  <c r="J2804" i="1"/>
  <c r="I2804" i="1"/>
  <c r="H2804" i="1"/>
  <c r="G2804" i="1"/>
  <c r="F2804" i="1"/>
  <c r="E2804" i="1"/>
  <c r="D2804" i="1"/>
  <c r="J2803" i="1"/>
  <c r="I2803" i="1"/>
  <c r="H2803" i="1"/>
  <c r="G2803" i="1"/>
  <c r="F2803" i="1"/>
  <c r="E2803" i="1"/>
  <c r="D2803" i="1"/>
  <c r="J2802" i="1"/>
  <c r="I2802" i="1"/>
  <c r="H2802" i="1"/>
  <c r="G2802" i="1"/>
  <c r="F2802" i="1"/>
  <c r="E2802" i="1"/>
  <c r="D2802" i="1"/>
  <c r="J2801" i="1"/>
  <c r="I2801" i="1"/>
  <c r="H2801" i="1"/>
  <c r="G2801" i="1"/>
  <c r="F2801" i="1"/>
  <c r="E2801" i="1"/>
  <c r="D2801" i="1"/>
  <c r="J2800" i="1"/>
  <c r="I2800" i="1"/>
  <c r="H2800" i="1"/>
  <c r="G2800" i="1"/>
  <c r="F2800" i="1"/>
  <c r="E2800" i="1"/>
  <c r="D2800" i="1"/>
  <c r="J2799" i="1"/>
  <c r="I2799" i="1"/>
  <c r="H2799" i="1"/>
  <c r="G2799" i="1"/>
  <c r="F2799" i="1"/>
  <c r="E2799" i="1"/>
  <c r="D2799" i="1"/>
  <c r="J2798" i="1"/>
  <c r="I2798" i="1"/>
  <c r="H2798" i="1"/>
  <c r="G2798" i="1"/>
  <c r="F2798" i="1"/>
  <c r="E2798" i="1"/>
  <c r="D2798" i="1"/>
  <c r="J2797" i="1"/>
  <c r="I2797" i="1"/>
  <c r="H2797" i="1"/>
  <c r="G2797" i="1"/>
  <c r="F2797" i="1"/>
  <c r="E2797" i="1"/>
  <c r="D2797" i="1"/>
  <c r="J2796" i="1"/>
  <c r="I2796" i="1"/>
  <c r="H2796" i="1"/>
  <c r="G2796" i="1"/>
  <c r="F2796" i="1"/>
  <c r="E2796" i="1"/>
  <c r="D2796" i="1"/>
  <c r="J2795" i="1"/>
  <c r="I2795" i="1"/>
  <c r="H2795" i="1"/>
  <c r="G2795" i="1"/>
  <c r="F2795" i="1"/>
  <c r="E2795" i="1"/>
  <c r="D2795" i="1"/>
  <c r="J2794" i="1"/>
  <c r="I2794" i="1"/>
  <c r="H2794" i="1"/>
  <c r="G2794" i="1"/>
  <c r="F2794" i="1"/>
  <c r="E2794" i="1"/>
  <c r="D2794" i="1"/>
  <c r="J2793" i="1"/>
  <c r="I2793" i="1"/>
  <c r="H2793" i="1"/>
  <c r="G2793" i="1"/>
  <c r="F2793" i="1"/>
  <c r="E2793" i="1"/>
  <c r="D2793" i="1"/>
  <c r="J2792" i="1"/>
  <c r="I2792" i="1"/>
  <c r="H2792" i="1"/>
  <c r="G2792" i="1"/>
  <c r="F2792" i="1"/>
  <c r="E2792" i="1"/>
  <c r="D2792" i="1"/>
  <c r="J2791" i="1"/>
  <c r="I2791" i="1"/>
  <c r="H2791" i="1"/>
  <c r="G2791" i="1"/>
  <c r="F2791" i="1"/>
  <c r="E2791" i="1"/>
  <c r="D2791" i="1"/>
  <c r="J2790" i="1"/>
  <c r="I2790" i="1"/>
  <c r="H2790" i="1"/>
  <c r="G2790" i="1"/>
  <c r="F2790" i="1"/>
  <c r="E2790" i="1"/>
  <c r="D2790" i="1"/>
  <c r="J2789" i="1"/>
  <c r="I2789" i="1"/>
  <c r="H2789" i="1"/>
  <c r="G2789" i="1"/>
  <c r="F2789" i="1"/>
  <c r="E2789" i="1"/>
  <c r="D2789" i="1"/>
  <c r="J2788" i="1"/>
  <c r="I2788" i="1"/>
  <c r="H2788" i="1"/>
  <c r="G2788" i="1"/>
  <c r="F2788" i="1"/>
  <c r="E2788" i="1"/>
  <c r="D2788" i="1"/>
  <c r="J2787" i="1"/>
  <c r="I2787" i="1"/>
  <c r="H2787" i="1"/>
  <c r="G2787" i="1"/>
  <c r="F2787" i="1"/>
  <c r="E2787" i="1"/>
  <c r="D2787" i="1"/>
  <c r="J2786" i="1"/>
  <c r="I2786" i="1"/>
  <c r="H2786" i="1"/>
  <c r="G2786" i="1"/>
  <c r="F2786" i="1"/>
  <c r="E2786" i="1"/>
  <c r="D2786" i="1"/>
  <c r="J2785" i="1"/>
  <c r="I2785" i="1"/>
  <c r="H2785" i="1"/>
  <c r="G2785" i="1"/>
  <c r="F2785" i="1"/>
  <c r="E2785" i="1"/>
  <c r="D2785" i="1"/>
  <c r="J2784" i="1"/>
  <c r="I2784" i="1"/>
  <c r="H2784" i="1"/>
  <c r="G2784" i="1"/>
  <c r="F2784" i="1"/>
  <c r="E2784" i="1"/>
  <c r="D2784" i="1"/>
  <c r="J2783" i="1"/>
  <c r="I2783" i="1"/>
  <c r="H2783" i="1"/>
  <c r="G2783" i="1"/>
  <c r="F2783" i="1"/>
  <c r="E2783" i="1"/>
  <c r="D2783" i="1"/>
  <c r="J2782" i="1"/>
  <c r="I2782" i="1"/>
  <c r="H2782" i="1"/>
  <c r="G2782" i="1"/>
  <c r="F2782" i="1"/>
  <c r="E2782" i="1"/>
  <c r="D2782" i="1"/>
  <c r="J2781" i="1"/>
  <c r="I2781" i="1"/>
  <c r="H2781" i="1"/>
  <c r="G2781" i="1"/>
  <c r="F2781" i="1"/>
  <c r="E2781" i="1"/>
  <c r="D2781" i="1"/>
  <c r="J2780" i="1"/>
  <c r="I2780" i="1"/>
  <c r="H2780" i="1"/>
  <c r="G2780" i="1"/>
  <c r="F2780" i="1"/>
  <c r="E2780" i="1"/>
  <c r="D2780" i="1"/>
  <c r="J2779" i="1"/>
  <c r="I2779" i="1"/>
  <c r="H2779" i="1"/>
  <c r="G2779" i="1"/>
  <c r="F2779" i="1"/>
  <c r="E2779" i="1"/>
  <c r="D2779" i="1"/>
  <c r="J2778" i="1"/>
  <c r="I2778" i="1"/>
  <c r="H2778" i="1"/>
  <c r="G2778" i="1"/>
  <c r="F2778" i="1"/>
  <c r="E2778" i="1"/>
  <c r="D2778" i="1"/>
  <c r="J2777" i="1"/>
  <c r="I2777" i="1"/>
  <c r="H2777" i="1"/>
  <c r="G2777" i="1"/>
  <c r="F2777" i="1"/>
  <c r="E2777" i="1"/>
  <c r="D2777" i="1"/>
  <c r="J2776" i="1"/>
  <c r="I2776" i="1"/>
  <c r="H2776" i="1"/>
  <c r="G2776" i="1"/>
  <c r="F2776" i="1"/>
  <c r="E2776" i="1"/>
  <c r="D2776" i="1"/>
  <c r="J2775" i="1"/>
  <c r="I2775" i="1"/>
  <c r="H2775" i="1"/>
  <c r="G2775" i="1"/>
  <c r="F2775" i="1"/>
  <c r="E2775" i="1"/>
  <c r="D2775" i="1"/>
  <c r="J2774" i="1"/>
  <c r="I2774" i="1"/>
  <c r="H2774" i="1"/>
  <c r="G2774" i="1"/>
  <c r="F2774" i="1"/>
  <c r="E2774" i="1"/>
  <c r="D2774" i="1"/>
  <c r="J2773" i="1"/>
  <c r="I2773" i="1"/>
  <c r="H2773" i="1"/>
  <c r="G2773" i="1"/>
  <c r="F2773" i="1"/>
  <c r="E2773" i="1"/>
  <c r="D2773" i="1"/>
  <c r="J2772" i="1"/>
  <c r="I2772" i="1"/>
  <c r="H2772" i="1"/>
  <c r="G2772" i="1"/>
  <c r="F2772" i="1"/>
  <c r="E2772" i="1"/>
  <c r="D2772" i="1"/>
  <c r="J2771" i="1"/>
  <c r="I2771" i="1"/>
  <c r="H2771" i="1"/>
  <c r="G2771" i="1"/>
  <c r="F2771" i="1"/>
  <c r="E2771" i="1"/>
  <c r="D2771" i="1"/>
  <c r="J2770" i="1"/>
  <c r="I2770" i="1"/>
  <c r="H2770" i="1"/>
  <c r="G2770" i="1"/>
  <c r="F2770" i="1"/>
  <c r="E2770" i="1"/>
  <c r="D2770" i="1"/>
  <c r="J2769" i="1"/>
  <c r="I2769" i="1"/>
  <c r="H2769" i="1"/>
  <c r="G2769" i="1"/>
  <c r="F2769" i="1"/>
  <c r="E2769" i="1"/>
  <c r="D2769" i="1"/>
  <c r="J2768" i="1"/>
  <c r="I2768" i="1"/>
  <c r="H2768" i="1"/>
  <c r="G2768" i="1"/>
  <c r="F2768" i="1"/>
  <c r="E2768" i="1"/>
  <c r="D2768" i="1"/>
  <c r="J2767" i="1"/>
  <c r="I2767" i="1"/>
  <c r="H2767" i="1"/>
  <c r="G2767" i="1"/>
  <c r="F2767" i="1"/>
  <c r="E2767" i="1"/>
  <c r="D2767" i="1"/>
  <c r="J2766" i="1"/>
  <c r="I2766" i="1"/>
  <c r="H2766" i="1"/>
  <c r="G2766" i="1"/>
  <c r="F2766" i="1"/>
  <c r="E2766" i="1"/>
  <c r="D2766" i="1"/>
  <c r="J2765" i="1"/>
  <c r="I2765" i="1"/>
  <c r="H2765" i="1"/>
  <c r="G2765" i="1"/>
  <c r="F2765" i="1"/>
  <c r="E2765" i="1"/>
  <c r="D2765" i="1"/>
  <c r="J2764" i="1"/>
  <c r="I2764" i="1"/>
  <c r="H2764" i="1"/>
  <c r="G2764" i="1"/>
  <c r="F2764" i="1"/>
  <c r="E2764" i="1"/>
  <c r="D2764" i="1"/>
  <c r="J2763" i="1"/>
  <c r="I2763" i="1"/>
  <c r="H2763" i="1"/>
  <c r="G2763" i="1"/>
  <c r="F2763" i="1"/>
  <c r="E2763" i="1"/>
  <c r="D2763" i="1"/>
  <c r="J2762" i="1"/>
  <c r="I2762" i="1"/>
  <c r="H2762" i="1"/>
  <c r="G2762" i="1"/>
  <c r="F2762" i="1"/>
  <c r="E2762" i="1"/>
  <c r="D2762" i="1"/>
  <c r="J2761" i="1"/>
  <c r="I2761" i="1"/>
  <c r="H2761" i="1"/>
  <c r="G2761" i="1"/>
  <c r="F2761" i="1"/>
  <c r="E2761" i="1"/>
  <c r="D2761" i="1"/>
  <c r="J2760" i="1"/>
  <c r="I2760" i="1"/>
  <c r="H2760" i="1"/>
  <c r="G2760" i="1"/>
  <c r="F2760" i="1"/>
  <c r="E2760" i="1"/>
  <c r="D2760" i="1"/>
  <c r="J2759" i="1"/>
  <c r="I2759" i="1"/>
  <c r="H2759" i="1"/>
  <c r="G2759" i="1"/>
  <c r="F2759" i="1"/>
  <c r="E2759" i="1"/>
  <c r="D2759" i="1"/>
  <c r="J2758" i="1"/>
  <c r="I2758" i="1"/>
  <c r="H2758" i="1"/>
  <c r="G2758" i="1"/>
  <c r="F2758" i="1"/>
  <c r="E2758" i="1"/>
  <c r="D2758" i="1"/>
  <c r="J2757" i="1"/>
  <c r="I2757" i="1"/>
  <c r="H2757" i="1"/>
  <c r="G2757" i="1"/>
  <c r="F2757" i="1"/>
  <c r="E2757" i="1"/>
  <c r="D2757" i="1"/>
  <c r="J2756" i="1"/>
  <c r="I2756" i="1"/>
  <c r="H2756" i="1"/>
  <c r="G2756" i="1"/>
  <c r="F2756" i="1"/>
  <c r="E2756" i="1"/>
  <c r="D2756" i="1"/>
  <c r="J2755" i="1"/>
  <c r="I2755" i="1"/>
  <c r="H2755" i="1"/>
  <c r="G2755" i="1"/>
  <c r="F2755" i="1"/>
  <c r="E2755" i="1"/>
  <c r="D2755" i="1"/>
  <c r="J2754" i="1"/>
  <c r="I2754" i="1"/>
  <c r="H2754" i="1"/>
  <c r="G2754" i="1"/>
  <c r="F2754" i="1"/>
  <c r="E2754" i="1"/>
  <c r="D2754" i="1"/>
  <c r="J2753" i="1"/>
  <c r="I2753" i="1"/>
  <c r="H2753" i="1"/>
  <c r="G2753" i="1"/>
  <c r="F2753" i="1"/>
  <c r="E2753" i="1"/>
  <c r="D2753" i="1"/>
  <c r="J2752" i="1"/>
  <c r="I2752" i="1"/>
  <c r="H2752" i="1"/>
  <c r="G2752" i="1"/>
  <c r="F2752" i="1"/>
  <c r="E2752" i="1"/>
  <c r="D2752" i="1"/>
  <c r="J2751" i="1"/>
  <c r="I2751" i="1"/>
  <c r="H2751" i="1"/>
  <c r="G2751" i="1"/>
  <c r="F2751" i="1"/>
  <c r="E2751" i="1"/>
  <c r="D2751" i="1"/>
  <c r="J2750" i="1"/>
  <c r="I2750" i="1"/>
  <c r="H2750" i="1"/>
  <c r="G2750" i="1"/>
  <c r="F2750" i="1"/>
  <c r="E2750" i="1"/>
  <c r="D2750" i="1"/>
  <c r="J2749" i="1"/>
  <c r="I2749" i="1"/>
  <c r="H2749" i="1"/>
  <c r="G2749" i="1"/>
  <c r="F2749" i="1"/>
  <c r="E2749" i="1"/>
  <c r="D2749" i="1"/>
  <c r="J2748" i="1"/>
  <c r="I2748" i="1"/>
  <c r="H2748" i="1"/>
  <c r="G2748" i="1"/>
  <c r="F2748" i="1"/>
  <c r="E2748" i="1"/>
  <c r="D2748" i="1"/>
  <c r="J2747" i="1"/>
  <c r="I2747" i="1"/>
  <c r="H2747" i="1"/>
  <c r="G2747" i="1"/>
  <c r="F2747" i="1"/>
  <c r="E2747" i="1"/>
  <c r="D2747" i="1"/>
  <c r="J2746" i="1"/>
  <c r="I2746" i="1"/>
  <c r="H2746" i="1"/>
  <c r="G2746" i="1"/>
  <c r="F2746" i="1"/>
  <c r="E2746" i="1"/>
  <c r="D2746" i="1"/>
  <c r="J2745" i="1"/>
  <c r="H2745" i="1"/>
  <c r="F2745" i="1"/>
  <c r="D2745" i="1"/>
  <c r="J2744" i="1"/>
  <c r="I2744" i="1"/>
  <c r="H2744" i="1"/>
  <c r="G2744" i="1"/>
  <c r="F2744" i="1"/>
  <c r="E2744" i="1"/>
  <c r="D2744" i="1"/>
  <c r="J2743" i="1"/>
  <c r="I2743" i="1"/>
  <c r="H2743" i="1"/>
  <c r="G2743" i="1"/>
  <c r="F2743" i="1"/>
  <c r="E2743" i="1"/>
  <c r="D2743" i="1"/>
  <c r="J2742" i="1"/>
  <c r="I2742" i="1"/>
  <c r="H2742" i="1"/>
  <c r="G2742" i="1"/>
  <c r="F2742" i="1"/>
  <c r="E2742" i="1"/>
  <c r="D2742" i="1"/>
  <c r="J2741" i="1"/>
  <c r="I2741" i="1"/>
  <c r="H2741" i="1"/>
  <c r="G2741" i="1"/>
  <c r="F2741" i="1"/>
  <c r="E2741" i="1"/>
  <c r="D2741" i="1"/>
  <c r="J2740" i="1"/>
  <c r="I2740" i="1"/>
  <c r="H2740" i="1"/>
  <c r="G2740" i="1"/>
  <c r="F2740" i="1"/>
  <c r="E2740" i="1"/>
  <c r="D2740" i="1"/>
  <c r="J2739" i="1"/>
  <c r="I2739" i="1"/>
  <c r="H2739" i="1"/>
  <c r="G2739" i="1"/>
  <c r="F2739" i="1"/>
  <c r="E2739" i="1"/>
  <c r="D2739" i="1"/>
  <c r="J2738" i="1"/>
  <c r="I2738" i="1"/>
  <c r="H2738" i="1"/>
  <c r="G2738" i="1"/>
  <c r="F2738" i="1"/>
  <c r="E2738" i="1"/>
  <c r="D2738" i="1"/>
  <c r="J2737" i="1"/>
  <c r="I2737" i="1"/>
  <c r="H2737" i="1"/>
  <c r="G2737" i="1"/>
  <c r="F2737" i="1"/>
  <c r="E2737" i="1"/>
  <c r="D2737" i="1"/>
  <c r="J2736" i="1"/>
  <c r="I2736" i="1"/>
  <c r="H2736" i="1"/>
  <c r="G2736" i="1"/>
  <c r="F2736" i="1"/>
  <c r="E2736" i="1"/>
  <c r="D2736" i="1"/>
  <c r="J2735" i="1"/>
  <c r="I2735" i="1"/>
  <c r="H2735" i="1"/>
  <c r="G2735" i="1"/>
  <c r="F2735" i="1"/>
  <c r="E2735" i="1"/>
  <c r="D2735" i="1"/>
  <c r="J2734" i="1"/>
  <c r="I2734" i="1"/>
  <c r="H2734" i="1"/>
  <c r="G2734" i="1"/>
  <c r="F2734" i="1"/>
  <c r="E2734" i="1"/>
  <c r="D2734" i="1"/>
  <c r="J2733" i="1"/>
  <c r="I2733" i="1"/>
  <c r="H2733" i="1"/>
  <c r="G2733" i="1"/>
  <c r="F2733" i="1"/>
  <c r="E2733" i="1"/>
  <c r="D2733" i="1"/>
  <c r="J2732" i="1"/>
  <c r="I2732" i="1"/>
  <c r="H2732" i="1"/>
  <c r="G2732" i="1"/>
  <c r="F2732" i="1"/>
  <c r="E2732" i="1"/>
  <c r="D2732" i="1"/>
  <c r="J2731" i="1"/>
  <c r="I2731" i="1"/>
  <c r="H2731" i="1"/>
  <c r="G2731" i="1"/>
  <c r="F2731" i="1"/>
  <c r="E2731" i="1"/>
  <c r="D2731" i="1"/>
  <c r="J2730" i="1"/>
  <c r="I2730" i="1"/>
  <c r="H2730" i="1"/>
  <c r="G2730" i="1"/>
  <c r="F2730" i="1"/>
  <c r="E2730" i="1"/>
  <c r="D2730" i="1"/>
  <c r="J2729" i="1"/>
  <c r="I2729" i="1"/>
  <c r="H2729" i="1"/>
  <c r="G2729" i="1"/>
  <c r="F2729" i="1"/>
  <c r="E2729" i="1"/>
  <c r="D2729" i="1"/>
  <c r="J2728" i="1"/>
  <c r="I2728" i="1"/>
  <c r="H2728" i="1"/>
  <c r="G2728" i="1"/>
  <c r="F2728" i="1"/>
  <c r="E2728" i="1"/>
  <c r="D2728" i="1"/>
  <c r="J2727" i="1"/>
  <c r="I2727" i="1"/>
  <c r="H2727" i="1"/>
  <c r="G2727" i="1"/>
  <c r="F2727" i="1"/>
  <c r="E2727" i="1"/>
  <c r="D2727" i="1"/>
  <c r="J2726" i="1"/>
  <c r="I2726" i="1"/>
  <c r="H2726" i="1"/>
  <c r="G2726" i="1"/>
  <c r="F2726" i="1"/>
  <c r="E2726" i="1"/>
  <c r="D2726" i="1"/>
  <c r="J2725" i="1"/>
  <c r="I2725" i="1"/>
  <c r="H2725" i="1"/>
  <c r="G2725" i="1"/>
  <c r="F2725" i="1"/>
  <c r="E2725" i="1"/>
  <c r="D2725" i="1"/>
  <c r="J2724" i="1"/>
  <c r="I2724" i="1"/>
  <c r="H2724" i="1"/>
  <c r="G2724" i="1"/>
  <c r="F2724" i="1"/>
  <c r="E2724" i="1"/>
  <c r="D2724" i="1"/>
  <c r="J2723" i="1"/>
  <c r="I2723" i="1"/>
  <c r="H2723" i="1"/>
  <c r="G2723" i="1"/>
  <c r="F2723" i="1"/>
  <c r="E2723" i="1"/>
  <c r="D2723" i="1"/>
  <c r="J2722" i="1"/>
  <c r="I2722" i="1"/>
  <c r="H2722" i="1"/>
  <c r="G2722" i="1"/>
  <c r="F2722" i="1"/>
  <c r="E2722" i="1"/>
  <c r="D2722" i="1"/>
  <c r="J2721" i="1"/>
  <c r="I2721" i="1"/>
  <c r="H2721" i="1"/>
  <c r="G2721" i="1"/>
  <c r="F2721" i="1"/>
  <c r="E2721" i="1"/>
  <c r="D2721" i="1"/>
  <c r="J2720" i="1"/>
  <c r="I2720" i="1"/>
  <c r="H2720" i="1"/>
  <c r="G2720" i="1"/>
  <c r="F2720" i="1"/>
  <c r="E2720" i="1"/>
  <c r="D2720" i="1"/>
  <c r="J2719" i="1"/>
  <c r="I2719" i="1"/>
  <c r="H2719" i="1"/>
  <c r="G2719" i="1"/>
  <c r="F2719" i="1"/>
  <c r="E2719" i="1"/>
  <c r="D2719" i="1"/>
  <c r="J2718" i="1"/>
  <c r="I2718" i="1"/>
  <c r="H2718" i="1"/>
  <c r="G2718" i="1"/>
  <c r="F2718" i="1"/>
  <c r="E2718" i="1"/>
  <c r="D2718" i="1"/>
  <c r="J2717" i="1"/>
  <c r="I2717" i="1"/>
  <c r="H2717" i="1"/>
  <c r="G2717" i="1"/>
  <c r="F2717" i="1"/>
  <c r="E2717" i="1"/>
  <c r="D2717" i="1"/>
  <c r="J2716" i="1"/>
  <c r="I2716" i="1"/>
  <c r="H2716" i="1"/>
  <c r="G2716" i="1"/>
  <c r="F2716" i="1"/>
  <c r="E2716" i="1"/>
  <c r="D2716" i="1"/>
  <c r="J2715" i="1"/>
  <c r="I2715" i="1"/>
  <c r="H2715" i="1"/>
  <c r="G2715" i="1"/>
  <c r="F2715" i="1"/>
  <c r="E2715" i="1"/>
  <c r="D2715" i="1"/>
  <c r="J2714" i="1"/>
  <c r="I2714" i="1"/>
  <c r="H2714" i="1"/>
  <c r="G2714" i="1"/>
  <c r="F2714" i="1"/>
  <c r="E2714" i="1"/>
  <c r="D2714" i="1"/>
  <c r="J2713" i="1"/>
  <c r="I2713" i="1"/>
  <c r="H2713" i="1"/>
  <c r="G2713" i="1"/>
  <c r="F2713" i="1"/>
  <c r="E2713" i="1"/>
  <c r="D2713" i="1"/>
  <c r="J2712" i="1"/>
  <c r="I2712" i="1"/>
  <c r="H2712" i="1"/>
  <c r="G2712" i="1"/>
  <c r="F2712" i="1"/>
  <c r="E2712" i="1"/>
  <c r="D2712" i="1"/>
  <c r="J2711" i="1"/>
  <c r="I2711" i="1"/>
  <c r="H2711" i="1"/>
  <c r="G2711" i="1"/>
  <c r="F2711" i="1"/>
  <c r="E2711" i="1"/>
  <c r="D2711" i="1"/>
  <c r="J2710" i="1"/>
  <c r="I2710" i="1"/>
  <c r="H2710" i="1"/>
  <c r="G2710" i="1"/>
  <c r="F2710" i="1"/>
  <c r="E2710" i="1"/>
  <c r="D2710" i="1"/>
  <c r="J2709" i="1"/>
  <c r="I2709" i="1"/>
  <c r="H2709" i="1"/>
  <c r="G2709" i="1"/>
  <c r="F2709" i="1"/>
  <c r="E2709" i="1"/>
  <c r="D2709" i="1"/>
  <c r="J2708" i="1"/>
  <c r="I2708" i="1"/>
  <c r="H2708" i="1"/>
  <c r="G2708" i="1"/>
  <c r="F2708" i="1"/>
  <c r="E2708" i="1"/>
  <c r="D2708" i="1"/>
  <c r="J2707" i="1"/>
  <c r="I2707" i="1"/>
  <c r="H2707" i="1"/>
  <c r="G2707" i="1"/>
  <c r="F2707" i="1"/>
  <c r="E2707" i="1"/>
  <c r="D2707" i="1"/>
  <c r="J2706" i="1"/>
  <c r="I2706" i="1"/>
  <c r="H2706" i="1"/>
  <c r="G2706" i="1"/>
  <c r="F2706" i="1"/>
  <c r="E2706" i="1"/>
  <c r="D2706" i="1"/>
  <c r="J2705" i="1"/>
  <c r="I2705" i="1"/>
  <c r="H2705" i="1"/>
  <c r="G2705" i="1"/>
  <c r="F2705" i="1"/>
  <c r="E2705" i="1"/>
  <c r="D2705" i="1"/>
  <c r="J2704" i="1"/>
  <c r="I2704" i="1"/>
  <c r="H2704" i="1"/>
  <c r="G2704" i="1"/>
  <c r="F2704" i="1"/>
  <c r="E2704" i="1"/>
  <c r="D2704" i="1"/>
  <c r="J2703" i="1"/>
  <c r="I2703" i="1"/>
  <c r="H2703" i="1"/>
  <c r="G2703" i="1"/>
  <c r="F2703" i="1"/>
  <c r="E2703" i="1"/>
  <c r="D2703" i="1"/>
  <c r="J2702" i="1"/>
  <c r="I2702" i="1"/>
  <c r="H2702" i="1"/>
  <c r="G2702" i="1"/>
  <c r="F2702" i="1"/>
  <c r="E2702" i="1"/>
  <c r="D2702" i="1"/>
  <c r="J2701" i="1"/>
  <c r="I2701" i="1"/>
  <c r="H2701" i="1"/>
  <c r="G2701" i="1"/>
  <c r="F2701" i="1"/>
  <c r="E2701" i="1"/>
  <c r="D2701" i="1"/>
  <c r="J2700" i="1"/>
  <c r="I2700" i="1"/>
  <c r="H2700" i="1"/>
  <c r="G2700" i="1"/>
  <c r="F2700" i="1"/>
  <c r="E2700" i="1"/>
  <c r="D2700" i="1"/>
  <c r="J2699" i="1"/>
  <c r="I2699" i="1"/>
  <c r="H2699" i="1"/>
  <c r="G2699" i="1"/>
  <c r="F2699" i="1"/>
  <c r="E2699" i="1"/>
  <c r="D2699" i="1"/>
  <c r="J2698" i="1"/>
  <c r="I2698" i="1"/>
  <c r="H2698" i="1"/>
  <c r="G2698" i="1"/>
  <c r="F2698" i="1"/>
  <c r="E2698" i="1"/>
  <c r="D2698" i="1"/>
  <c r="J2697" i="1"/>
  <c r="I2697" i="1"/>
  <c r="H2697" i="1"/>
  <c r="G2697" i="1"/>
  <c r="F2697" i="1"/>
  <c r="E2697" i="1"/>
  <c r="D2697" i="1"/>
  <c r="J2696" i="1"/>
  <c r="I2696" i="1"/>
  <c r="H2696" i="1"/>
  <c r="G2696" i="1"/>
  <c r="F2696" i="1"/>
  <c r="E2696" i="1"/>
  <c r="D2696" i="1"/>
  <c r="J2695" i="1"/>
  <c r="I2695" i="1"/>
  <c r="H2695" i="1"/>
  <c r="G2695" i="1"/>
  <c r="F2695" i="1"/>
  <c r="E2695" i="1"/>
  <c r="D2695" i="1"/>
  <c r="J2694" i="1"/>
  <c r="I2694" i="1"/>
  <c r="H2694" i="1"/>
  <c r="G2694" i="1"/>
  <c r="F2694" i="1"/>
  <c r="E2694" i="1"/>
  <c r="D2694" i="1"/>
  <c r="J2693" i="1"/>
  <c r="I2693" i="1"/>
  <c r="H2693" i="1"/>
  <c r="G2693" i="1"/>
  <c r="F2693" i="1"/>
  <c r="E2693" i="1"/>
  <c r="D2693" i="1"/>
  <c r="J2692" i="1"/>
  <c r="I2692" i="1"/>
  <c r="H2692" i="1"/>
  <c r="G2692" i="1"/>
  <c r="F2692" i="1"/>
  <c r="E2692" i="1"/>
  <c r="D2692" i="1"/>
  <c r="J2691" i="1"/>
  <c r="I2691" i="1"/>
  <c r="H2691" i="1"/>
  <c r="G2691" i="1"/>
  <c r="F2691" i="1"/>
  <c r="E2691" i="1"/>
  <c r="D2691" i="1"/>
  <c r="J2690" i="1"/>
  <c r="I2690" i="1"/>
  <c r="H2690" i="1"/>
  <c r="G2690" i="1"/>
  <c r="F2690" i="1"/>
  <c r="E2690" i="1"/>
  <c r="D2690" i="1"/>
  <c r="J2689" i="1"/>
  <c r="I2689" i="1"/>
  <c r="H2689" i="1"/>
  <c r="G2689" i="1"/>
  <c r="F2689" i="1"/>
  <c r="E2689" i="1"/>
  <c r="D2689" i="1"/>
  <c r="J2688" i="1"/>
  <c r="I2688" i="1"/>
  <c r="H2688" i="1"/>
  <c r="G2688" i="1"/>
  <c r="F2688" i="1"/>
  <c r="E2688" i="1"/>
  <c r="D2688" i="1"/>
  <c r="J2687" i="1"/>
  <c r="I2687" i="1"/>
  <c r="H2687" i="1"/>
  <c r="G2687" i="1"/>
  <c r="F2687" i="1"/>
  <c r="E2687" i="1"/>
  <c r="D2687" i="1"/>
  <c r="J2686" i="1"/>
  <c r="I2686" i="1"/>
  <c r="H2686" i="1"/>
  <c r="G2686" i="1"/>
  <c r="F2686" i="1"/>
  <c r="E2686" i="1"/>
  <c r="D2686" i="1"/>
  <c r="J2685" i="1"/>
  <c r="I2685" i="1"/>
  <c r="H2685" i="1"/>
  <c r="G2685" i="1"/>
  <c r="F2685" i="1"/>
  <c r="E2685" i="1"/>
  <c r="D2685" i="1"/>
  <c r="J2684" i="1"/>
  <c r="I2684" i="1"/>
  <c r="H2684" i="1"/>
  <c r="G2684" i="1"/>
  <c r="F2684" i="1"/>
  <c r="E2684" i="1"/>
  <c r="D2684" i="1"/>
  <c r="J2683" i="1"/>
  <c r="I2683" i="1"/>
  <c r="H2683" i="1"/>
  <c r="G2683" i="1"/>
  <c r="F2683" i="1"/>
  <c r="E2683" i="1"/>
  <c r="D2683" i="1"/>
  <c r="J2682" i="1"/>
  <c r="I2682" i="1"/>
  <c r="H2682" i="1"/>
  <c r="G2682" i="1"/>
  <c r="F2682" i="1"/>
  <c r="E2682" i="1"/>
  <c r="D2682" i="1"/>
  <c r="J2681" i="1"/>
  <c r="I2681" i="1"/>
  <c r="H2681" i="1"/>
  <c r="G2681" i="1"/>
  <c r="F2681" i="1"/>
  <c r="E2681" i="1"/>
  <c r="D2681" i="1"/>
  <c r="J2680" i="1"/>
  <c r="I2680" i="1"/>
  <c r="H2680" i="1"/>
  <c r="G2680" i="1"/>
  <c r="F2680" i="1"/>
  <c r="E2680" i="1"/>
  <c r="D2680" i="1"/>
  <c r="J2679" i="1"/>
  <c r="I2679" i="1"/>
  <c r="H2679" i="1"/>
  <c r="G2679" i="1"/>
  <c r="F2679" i="1"/>
  <c r="E2679" i="1"/>
  <c r="D2679" i="1"/>
  <c r="J2678" i="1"/>
  <c r="I2678" i="1"/>
  <c r="H2678" i="1"/>
  <c r="G2678" i="1"/>
  <c r="F2678" i="1"/>
  <c r="E2678" i="1"/>
  <c r="D2678" i="1"/>
  <c r="J2677" i="1"/>
  <c r="I2677" i="1"/>
  <c r="H2677" i="1"/>
  <c r="G2677" i="1"/>
  <c r="F2677" i="1"/>
  <c r="E2677" i="1"/>
  <c r="D2677" i="1"/>
  <c r="J2676" i="1"/>
  <c r="I2676" i="1"/>
  <c r="H2676" i="1"/>
  <c r="G2676" i="1"/>
  <c r="F2676" i="1"/>
  <c r="E2676" i="1"/>
  <c r="D2676" i="1"/>
  <c r="J2675" i="1"/>
  <c r="H2675" i="1"/>
  <c r="F2675" i="1"/>
  <c r="D2675" i="1"/>
  <c r="J2674" i="1"/>
  <c r="I2674" i="1"/>
  <c r="H2674" i="1"/>
  <c r="G2674" i="1"/>
  <c r="F2674" i="1"/>
  <c r="E2674" i="1"/>
  <c r="D2674" i="1"/>
  <c r="J2673" i="1"/>
  <c r="I2673" i="1"/>
  <c r="H2673" i="1"/>
  <c r="G2673" i="1"/>
  <c r="F2673" i="1"/>
  <c r="E2673" i="1"/>
  <c r="D2673" i="1"/>
  <c r="J2672" i="1"/>
  <c r="I2672" i="1"/>
  <c r="H2672" i="1"/>
  <c r="G2672" i="1"/>
  <c r="F2672" i="1"/>
  <c r="E2672" i="1"/>
  <c r="D2672" i="1"/>
  <c r="J2671" i="1"/>
  <c r="I2671" i="1"/>
  <c r="H2671" i="1"/>
  <c r="G2671" i="1"/>
  <c r="F2671" i="1"/>
  <c r="E2671" i="1"/>
  <c r="D2671" i="1"/>
  <c r="J2670" i="1"/>
  <c r="I2670" i="1"/>
  <c r="H2670" i="1"/>
  <c r="G2670" i="1"/>
  <c r="F2670" i="1"/>
  <c r="E2670" i="1"/>
  <c r="D2670" i="1"/>
  <c r="J2669" i="1"/>
  <c r="I2669" i="1"/>
  <c r="H2669" i="1"/>
  <c r="G2669" i="1"/>
  <c r="F2669" i="1"/>
  <c r="E2669" i="1"/>
  <c r="D2669" i="1"/>
  <c r="J2668" i="1"/>
  <c r="I2668" i="1"/>
  <c r="H2668" i="1"/>
  <c r="G2668" i="1"/>
  <c r="F2668" i="1"/>
  <c r="E2668" i="1"/>
  <c r="D2668" i="1"/>
  <c r="J2667" i="1"/>
  <c r="I2667" i="1"/>
  <c r="H2667" i="1"/>
  <c r="G2667" i="1"/>
  <c r="F2667" i="1"/>
  <c r="E2667" i="1"/>
  <c r="D2667" i="1"/>
  <c r="J2666" i="1"/>
  <c r="I2666" i="1"/>
  <c r="H2666" i="1"/>
  <c r="G2666" i="1"/>
  <c r="F2666" i="1"/>
  <c r="E2666" i="1"/>
  <c r="D2666" i="1"/>
  <c r="J2665" i="1"/>
  <c r="I2665" i="1"/>
  <c r="H2665" i="1"/>
  <c r="G2665" i="1"/>
  <c r="F2665" i="1"/>
  <c r="E2665" i="1"/>
  <c r="D2665" i="1"/>
  <c r="J2664" i="1"/>
  <c r="I2664" i="1"/>
  <c r="H2664" i="1"/>
  <c r="G2664" i="1"/>
  <c r="F2664" i="1"/>
  <c r="E2664" i="1"/>
  <c r="D2664" i="1"/>
  <c r="J2663" i="1"/>
  <c r="I2663" i="1"/>
  <c r="H2663" i="1"/>
  <c r="G2663" i="1"/>
  <c r="F2663" i="1"/>
  <c r="E2663" i="1"/>
  <c r="D2663" i="1"/>
  <c r="J2662" i="1"/>
  <c r="I2662" i="1"/>
  <c r="H2662" i="1"/>
  <c r="G2662" i="1"/>
  <c r="F2662" i="1"/>
  <c r="E2662" i="1"/>
  <c r="D2662" i="1"/>
  <c r="J2661" i="1"/>
  <c r="H2661" i="1"/>
  <c r="F2661" i="1"/>
  <c r="D2661" i="1"/>
  <c r="J2660" i="1"/>
  <c r="I2660" i="1"/>
  <c r="H2660" i="1"/>
  <c r="G2660" i="1"/>
  <c r="F2660" i="1"/>
  <c r="E2660" i="1"/>
  <c r="D2660" i="1"/>
  <c r="J2659" i="1"/>
  <c r="I2659" i="1"/>
  <c r="H2659" i="1"/>
  <c r="G2659" i="1"/>
  <c r="F2659" i="1"/>
  <c r="E2659" i="1"/>
  <c r="D2659" i="1"/>
  <c r="J2658" i="1"/>
  <c r="I2658" i="1"/>
  <c r="H2658" i="1"/>
  <c r="G2658" i="1"/>
  <c r="F2658" i="1"/>
  <c r="E2658" i="1"/>
  <c r="D2658" i="1"/>
  <c r="J2657" i="1"/>
  <c r="I2657" i="1"/>
  <c r="H2657" i="1"/>
  <c r="G2657" i="1"/>
  <c r="F2657" i="1"/>
  <c r="E2657" i="1"/>
  <c r="D2657" i="1"/>
  <c r="J2656" i="1"/>
  <c r="I2656" i="1"/>
  <c r="H2656" i="1"/>
  <c r="G2656" i="1"/>
  <c r="F2656" i="1"/>
  <c r="E2656" i="1"/>
  <c r="D2656" i="1"/>
  <c r="J2655" i="1"/>
  <c r="I2655" i="1"/>
  <c r="H2655" i="1"/>
  <c r="G2655" i="1"/>
  <c r="F2655" i="1"/>
  <c r="E2655" i="1"/>
  <c r="D2655" i="1"/>
  <c r="J2654" i="1"/>
  <c r="I2654" i="1"/>
  <c r="H2654" i="1"/>
  <c r="G2654" i="1"/>
  <c r="F2654" i="1"/>
  <c r="E2654" i="1"/>
  <c r="D2654" i="1"/>
  <c r="J2653" i="1"/>
  <c r="I2653" i="1"/>
  <c r="H2653" i="1"/>
  <c r="G2653" i="1"/>
  <c r="F2653" i="1"/>
  <c r="E2653" i="1"/>
  <c r="D2653" i="1"/>
  <c r="J2652" i="1"/>
  <c r="I2652" i="1"/>
  <c r="H2652" i="1"/>
  <c r="G2652" i="1"/>
  <c r="F2652" i="1"/>
  <c r="E2652" i="1"/>
  <c r="D2652" i="1"/>
  <c r="J2651" i="1"/>
  <c r="I2651" i="1"/>
  <c r="H2651" i="1"/>
  <c r="G2651" i="1"/>
  <c r="F2651" i="1"/>
  <c r="E2651" i="1"/>
  <c r="D2651" i="1"/>
  <c r="J2650" i="1"/>
  <c r="I2650" i="1"/>
  <c r="H2650" i="1"/>
  <c r="G2650" i="1"/>
  <c r="F2650" i="1"/>
  <c r="E2650" i="1"/>
  <c r="D2650" i="1"/>
  <c r="J2649" i="1"/>
  <c r="I2649" i="1"/>
  <c r="H2649" i="1"/>
  <c r="G2649" i="1"/>
  <c r="F2649" i="1"/>
  <c r="E2649" i="1"/>
  <c r="D2649" i="1"/>
  <c r="J2648" i="1"/>
  <c r="I2648" i="1"/>
  <c r="H2648" i="1"/>
  <c r="G2648" i="1"/>
  <c r="F2648" i="1"/>
  <c r="E2648" i="1"/>
  <c r="D2648" i="1"/>
  <c r="J2647" i="1"/>
  <c r="I2647" i="1"/>
  <c r="H2647" i="1"/>
  <c r="G2647" i="1"/>
  <c r="F2647" i="1"/>
  <c r="E2647" i="1"/>
  <c r="D2647" i="1"/>
  <c r="J2646" i="1"/>
  <c r="I2646" i="1"/>
  <c r="H2646" i="1"/>
  <c r="G2646" i="1"/>
  <c r="F2646" i="1"/>
  <c r="E2646" i="1"/>
  <c r="D2646" i="1"/>
  <c r="J2645" i="1"/>
  <c r="I2645" i="1"/>
  <c r="H2645" i="1"/>
  <c r="G2645" i="1"/>
  <c r="F2645" i="1"/>
  <c r="E2645" i="1"/>
  <c r="D2645" i="1"/>
  <c r="J2644" i="1"/>
  <c r="H2644" i="1"/>
  <c r="F2644" i="1"/>
  <c r="D2644" i="1"/>
  <c r="J2643" i="1"/>
  <c r="I2643" i="1"/>
  <c r="H2643" i="1"/>
  <c r="G2643" i="1"/>
  <c r="F2643" i="1"/>
  <c r="E2643" i="1"/>
  <c r="D2643" i="1"/>
  <c r="J2642" i="1"/>
  <c r="I2642" i="1"/>
  <c r="H2642" i="1"/>
  <c r="G2642" i="1"/>
  <c r="F2642" i="1"/>
  <c r="E2642" i="1"/>
  <c r="D2642" i="1"/>
  <c r="J2641" i="1"/>
  <c r="I2641" i="1"/>
  <c r="H2641" i="1"/>
  <c r="G2641" i="1"/>
  <c r="F2641" i="1"/>
  <c r="E2641" i="1"/>
  <c r="D2641" i="1"/>
  <c r="J2640" i="1"/>
  <c r="H2640" i="1"/>
  <c r="F2640" i="1"/>
  <c r="D2640" i="1"/>
  <c r="J2639" i="1"/>
  <c r="I2639" i="1"/>
  <c r="H2639" i="1"/>
  <c r="G2639" i="1"/>
  <c r="F2639" i="1"/>
  <c r="E2639" i="1"/>
  <c r="D2639" i="1"/>
  <c r="J2638" i="1"/>
  <c r="I2638" i="1"/>
  <c r="H2638" i="1"/>
  <c r="G2638" i="1"/>
  <c r="F2638" i="1"/>
  <c r="E2638" i="1"/>
  <c r="D2638" i="1"/>
  <c r="J2637" i="1"/>
  <c r="I2637" i="1"/>
  <c r="H2637" i="1"/>
  <c r="G2637" i="1"/>
  <c r="F2637" i="1"/>
  <c r="E2637" i="1"/>
  <c r="D2637" i="1"/>
  <c r="J2636" i="1"/>
  <c r="I2636" i="1"/>
  <c r="H2636" i="1"/>
  <c r="G2636" i="1"/>
  <c r="F2636" i="1"/>
  <c r="E2636" i="1"/>
  <c r="D2636" i="1"/>
  <c r="J2635" i="1"/>
  <c r="I2635" i="1"/>
  <c r="H2635" i="1"/>
  <c r="G2635" i="1"/>
  <c r="F2635" i="1"/>
  <c r="E2635" i="1"/>
  <c r="D2635" i="1"/>
  <c r="J2634" i="1"/>
  <c r="I2634" i="1"/>
  <c r="H2634" i="1"/>
  <c r="G2634" i="1"/>
  <c r="F2634" i="1"/>
  <c r="E2634" i="1"/>
  <c r="D2634" i="1"/>
  <c r="J2633" i="1"/>
  <c r="I2633" i="1"/>
  <c r="H2633" i="1"/>
  <c r="G2633" i="1"/>
  <c r="F2633" i="1"/>
  <c r="E2633" i="1"/>
  <c r="D2633" i="1"/>
  <c r="J2632" i="1"/>
  <c r="H2632" i="1"/>
  <c r="F2632" i="1"/>
  <c r="D2632" i="1"/>
  <c r="J2631" i="1"/>
  <c r="I2631" i="1"/>
  <c r="H2631" i="1"/>
  <c r="G2631" i="1"/>
  <c r="F2631" i="1"/>
  <c r="E2631" i="1"/>
  <c r="D2631" i="1"/>
  <c r="J2630" i="1"/>
  <c r="I2630" i="1"/>
  <c r="H2630" i="1"/>
  <c r="G2630" i="1"/>
  <c r="F2630" i="1"/>
  <c r="E2630" i="1"/>
  <c r="D2630" i="1"/>
  <c r="J2629" i="1"/>
  <c r="I2629" i="1"/>
  <c r="H2629" i="1"/>
  <c r="G2629" i="1"/>
  <c r="F2629" i="1"/>
  <c r="E2629" i="1"/>
  <c r="D2629" i="1"/>
  <c r="J2628" i="1"/>
  <c r="I2628" i="1"/>
  <c r="H2628" i="1"/>
  <c r="G2628" i="1"/>
  <c r="F2628" i="1"/>
  <c r="E2628" i="1"/>
  <c r="D2628" i="1"/>
  <c r="J2627" i="1"/>
  <c r="I2627" i="1"/>
  <c r="H2627" i="1"/>
  <c r="G2627" i="1"/>
  <c r="F2627" i="1"/>
  <c r="E2627" i="1"/>
  <c r="D2627" i="1"/>
  <c r="J2626" i="1"/>
  <c r="I2626" i="1"/>
  <c r="H2626" i="1"/>
  <c r="G2626" i="1"/>
  <c r="F2626" i="1"/>
  <c r="E2626" i="1"/>
  <c r="D2626" i="1"/>
  <c r="J2625" i="1"/>
  <c r="I2625" i="1"/>
  <c r="H2625" i="1"/>
  <c r="G2625" i="1"/>
  <c r="F2625" i="1"/>
  <c r="E2625" i="1"/>
  <c r="D2625" i="1"/>
  <c r="J2624" i="1"/>
  <c r="I2624" i="1"/>
  <c r="H2624" i="1"/>
  <c r="G2624" i="1"/>
  <c r="F2624" i="1"/>
  <c r="E2624" i="1"/>
  <c r="D2624" i="1"/>
  <c r="J2623" i="1"/>
  <c r="I2623" i="1"/>
  <c r="H2623" i="1"/>
  <c r="G2623" i="1"/>
  <c r="F2623" i="1"/>
  <c r="E2623" i="1"/>
  <c r="D2623" i="1"/>
  <c r="J2622" i="1"/>
  <c r="I2622" i="1"/>
  <c r="H2622" i="1"/>
  <c r="G2622" i="1"/>
  <c r="F2622" i="1"/>
  <c r="E2622" i="1"/>
  <c r="D2622" i="1"/>
  <c r="J2621" i="1"/>
  <c r="I2621" i="1"/>
  <c r="H2621" i="1"/>
  <c r="G2621" i="1"/>
  <c r="F2621" i="1"/>
  <c r="E2621" i="1"/>
  <c r="D2621" i="1"/>
  <c r="J2620" i="1"/>
  <c r="I2620" i="1"/>
  <c r="H2620" i="1"/>
  <c r="G2620" i="1"/>
  <c r="F2620" i="1"/>
  <c r="E2620" i="1"/>
  <c r="D2620" i="1"/>
  <c r="J2619" i="1"/>
  <c r="I2619" i="1"/>
  <c r="H2619" i="1"/>
  <c r="G2619" i="1"/>
  <c r="F2619" i="1"/>
  <c r="E2619" i="1"/>
  <c r="D2619" i="1"/>
  <c r="J2618" i="1"/>
  <c r="I2618" i="1"/>
  <c r="H2618" i="1"/>
  <c r="G2618" i="1"/>
  <c r="F2618" i="1"/>
  <c r="E2618" i="1"/>
  <c r="D2618" i="1"/>
  <c r="J2617" i="1"/>
  <c r="I2617" i="1"/>
  <c r="H2617" i="1"/>
  <c r="G2617" i="1"/>
  <c r="F2617" i="1"/>
  <c r="E2617" i="1"/>
  <c r="D2617" i="1"/>
  <c r="J2616" i="1"/>
  <c r="I2616" i="1"/>
  <c r="H2616" i="1"/>
  <c r="G2616" i="1"/>
  <c r="F2616" i="1"/>
  <c r="E2616" i="1"/>
  <c r="D2616" i="1"/>
  <c r="J2615" i="1"/>
  <c r="I2615" i="1"/>
  <c r="H2615" i="1"/>
  <c r="G2615" i="1"/>
  <c r="F2615" i="1"/>
  <c r="E2615" i="1"/>
  <c r="D2615" i="1"/>
  <c r="J2614" i="1"/>
  <c r="H2614" i="1"/>
  <c r="F2614" i="1"/>
  <c r="D2614" i="1"/>
  <c r="J2613" i="1"/>
  <c r="I2613" i="1"/>
  <c r="H2613" i="1"/>
  <c r="G2613" i="1"/>
  <c r="F2613" i="1"/>
  <c r="E2613" i="1"/>
  <c r="D2613" i="1"/>
  <c r="J2612" i="1"/>
  <c r="I2612" i="1"/>
  <c r="H2612" i="1"/>
  <c r="G2612" i="1"/>
  <c r="F2612" i="1"/>
  <c r="E2612" i="1"/>
  <c r="D2612" i="1"/>
  <c r="J2611" i="1"/>
  <c r="I2611" i="1"/>
  <c r="H2611" i="1"/>
  <c r="G2611" i="1"/>
  <c r="F2611" i="1"/>
  <c r="E2611" i="1"/>
  <c r="D2611" i="1"/>
  <c r="J2610" i="1"/>
  <c r="I2610" i="1"/>
  <c r="H2610" i="1"/>
  <c r="G2610" i="1"/>
  <c r="F2610" i="1"/>
  <c r="E2610" i="1"/>
  <c r="D2610" i="1"/>
  <c r="J2609" i="1"/>
  <c r="I2609" i="1"/>
  <c r="H2609" i="1"/>
  <c r="G2609" i="1"/>
  <c r="F2609" i="1"/>
  <c r="E2609" i="1"/>
  <c r="D2609" i="1"/>
  <c r="J2608" i="1"/>
  <c r="H2608" i="1"/>
  <c r="F2608" i="1"/>
  <c r="D2608" i="1"/>
  <c r="J2607" i="1"/>
  <c r="I2607" i="1"/>
  <c r="H2607" i="1"/>
  <c r="G2607" i="1"/>
  <c r="F2607" i="1"/>
  <c r="E2607" i="1"/>
  <c r="D2607" i="1"/>
  <c r="J2606" i="1"/>
  <c r="I2606" i="1"/>
  <c r="H2606" i="1"/>
  <c r="G2606" i="1"/>
  <c r="F2606" i="1"/>
  <c r="E2606" i="1"/>
  <c r="D2606" i="1"/>
  <c r="J2605" i="1"/>
  <c r="I2605" i="1"/>
  <c r="H2605" i="1"/>
  <c r="G2605" i="1"/>
  <c r="F2605" i="1"/>
  <c r="E2605" i="1"/>
  <c r="D2605" i="1"/>
  <c r="J2604" i="1"/>
  <c r="H2604" i="1"/>
  <c r="F2604" i="1"/>
  <c r="D2604" i="1"/>
  <c r="J2603" i="1"/>
  <c r="I2603" i="1"/>
  <c r="H2603" i="1"/>
  <c r="G2603" i="1"/>
  <c r="F2603" i="1"/>
  <c r="E2603" i="1"/>
  <c r="D2603" i="1"/>
  <c r="J2602" i="1"/>
  <c r="I2602" i="1"/>
  <c r="H2602" i="1"/>
  <c r="G2602" i="1"/>
  <c r="F2602" i="1"/>
  <c r="E2602" i="1"/>
  <c r="D2602" i="1"/>
  <c r="J2601" i="1"/>
  <c r="I2601" i="1"/>
  <c r="H2601" i="1"/>
  <c r="G2601" i="1"/>
  <c r="F2601" i="1"/>
  <c r="E2601" i="1"/>
  <c r="D2601" i="1"/>
  <c r="J2600" i="1"/>
  <c r="I2600" i="1"/>
  <c r="H2600" i="1"/>
  <c r="G2600" i="1"/>
  <c r="F2600" i="1"/>
  <c r="E2600" i="1"/>
  <c r="D2600" i="1"/>
  <c r="J2599" i="1"/>
  <c r="I2599" i="1"/>
  <c r="H2599" i="1"/>
  <c r="G2599" i="1"/>
  <c r="F2599" i="1"/>
  <c r="E2599" i="1"/>
  <c r="D2599" i="1"/>
  <c r="J2598" i="1"/>
  <c r="I2598" i="1"/>
  <c r="H2598" i="1"/>
  <c r="G2598" i="1"/>
  <c r="F2598" i="1"/>
  <c r="E2598" i="1"/>
  <c r="D2598" i="1"/>
  <c r="J2597" i="1"/>
  <c r="I2597" i="1"/>
  <c r="H2597" i="1"/>
  <c r="G2597" i="1"/>
  <c r="F2597" i="1"/>
  <c r="E2597" i="1"/>
  <c r="D2597" i="1"/>
  <c r="J2596" i="1"/>
  <c r="I2596" i="1"/>
  <c r="H2596" i="1"/>
  <c r="G2596" i="1"/>
  <c r="F2596" i="1"/>
  <c r="E2596" i="1"/>
  <c r="D2596" i="1"/>
  <c r="J2595" i="1"/>
  <c r="I2595" i="1"/>
  <c r="H2595" i="1"/>
  <c r="G2595" i="1"/>
  <c r="F2595" i="1"/>
  <c r="E2595" i="1"/>
  <c r="D2595" i="1"/>
  <c r="J2594" i="1"/>
  <c r="I2594" i="1"/>
  <c r="H2594" i="1"/>
  <c r="G2594" i="1"/>
  <c r="F2594" i="1"/>
  <c r="E2594" i="1"/>
  <c r="D2594" i="1"/>
  <c r="J2593" i="1"/>
  <c r="I2593" i="1"/>
  <c r="H2593" i="1"/>
  <c r="G2593" i="1"/>
  <c r="F2593" i="1"/>
  <c r="E2593" i="1"/>
  <c r="D2593" i="1"/>
  <c r="J2592" i="1"/>
  <c r="I2592" i="1"/>
  <c r="H2592" i="1"/>
  <c r="G2592" i="1"/>
  <c r="F2592" i="1"/>
  <c r="E2592" i="1"/>
  <c r="D2592" i="1"/>
  <c r="J2591" i="1"/>
  <c r="I2591" i="1"/>
  <c r="H2591" i="1"/>
  <c r="G2591" i="1"/>
  <c r="F2591" i="1"/>
  <c r="E2591" i="1"/>
  <c r="D2591" i="1"/>
  <c r="J2590" i="1"/>
  <c r="I2590" i="1"/>
  <c r="H2590" i="1"/>
  <c r="G2590" i="1"/>
  <c r="F2590" i="1"/>
  <c r="E2590" i="1"/>
  <c r="D2590" i="1"/>
  <c r="J2589" i="1"/>
  <c r="I2589" i="1"/>
  <c r="H2589" i="1"/>
  <c r="G2589" i="1"/>
  <c r="F2589" i="1"/>
  <c r="E2589" i="1"/>
  <c r="D2589" i="1"/>
  <c r="J2588" i="1"/>
  <c r="I2588" i="1"/>
  <c r="H2588" i="1"/>
  <c r="G2588" i="1"/>
  <c r="F2588" i="1"/>
  <c r="E2588" i="1"/>
  <c r="D2588" i="1"/>
  <c r="J2587" i="1"/>
  <c r="I2587" i="1"/>
  <c r="H2587" i="1"/>
  <c r="G2587" i="1"/>
  <c r="F2587" i="1"/>
  <c r="E2587" i="1"/>
  <c r="D2587" i="1"/>
  <c r="J2586" i="1"/>
  <c r="I2586" i="1"/>
  <c r="H2586" i="1"/>
  <c r="G2586" i="1"/>
  <c r="F2586" i="1"/>
  <c r="E2586" i="1"/>
  <c r="D2586" i="1"/>
  <c r="J2585" i="1"/>
  <c r="I2585" i="1"/>
  <c r="H2585" i="1"/>
  <c r="G2585" i="1"/>
  <c r="F2585" i="1"/>
  <c r="E2585" i="1"/>
  <c r="D2585" i="1"/>
  <c r="J2584" i="1"/>
  <c r="H2584" i="1"/>
  <c r="F2584" i="1"/>
  <c r="D2584" i="1"/>
  <c r="J2583" i="1"/>
  <c r="I2583" i="1"/>
  <c r="H2583" i="1"/>
  <c r="G2583" i="1"/>
  <c r="F2583" i="1"/>
  <c r="E2583" i="1"/>
  <c r="D2583" i="1"/>
  <c r="J2582" i="1"/>
  <c r="I2582" i="1"/>
  <c r="H2582" i="1"/>
  <c r="G2582" i="1"/>
  <c r="F2582" i="1"/>
  <c r="E2582" i="1"/>
  <c r="D2582" i="1"/>
  <c r="J2581" i="1"/>
  <c r="H2581" i="1"/>
  <c r="F2581" i="1"/>
  <c r="D2581" i="1"/>
  <c r="J2580" i="1"/>
  <c r="I2580" i="1"/>
  <c r="H2580" i="1"/>
  <c r="G2580" i="1"/>
  <c r="F2580" i="1"/>
  <c r="E2580" i="1"/>
  <c r="D2580" i="1"/>
  <c r="J2579" i="1"/>
  <c r="I2579" i="1"/>
  <c r="H2579" i="1"/>
  <c r="G2579" i="1"/>
  <c r="F2579" i="1"/>
  <c r="E2579" i="1"/>
  <c r="D2579" i="1"/>
  <c r="J2578" i="1"/>
  <c r="I2578" i="1"/>
  <c r="H2578" i="1"/>
  <c r="G2578" i="1"/>
  <c r="F2578" i="1"/>
  <c r="E2578" i="1"/>
  <c r="D2578" i="1"/>
  <c r="J2577" i="1"/>
  <c r="I2577" i="1"/>
  <c r="H2577" i="1"/>
  <c r="G2577" i="1"/>
  <c r="F2577" i="1"/>
  <c r="E2577" i="1"/>
  <c r="D2577" i="1"/>
  <c r="J2576" i="1"/>
  <c r="I2576" i="1"/>
  <c r="H2576" i="1"/>
  <c r="G2576" i="1"/>
  <c r="F2576" i="1"/>
  <c r="E2576" i="1"/>
  <c r="D2576" i="1"/>
  <c r="J2575" i="1"/>
  <c r="I2575" i="1"/>
  <c r="H2575" i="1"/>
  <c r="G2575" i="1"/>
  <c r="F2575" i="1"/>
  <c r="E2575" i="1"/>
  <c r="D2575" i="1"/>
  <c r="J2574" i="1"/>
  <c r="I2574" i="1"/>
  <c r="H2574" i="1"/>
  <c r="G2574" i="1"/>
  <c r="F2574" i="1"/>
  <c r="E2574" i="1"/>
  <c r="D2574" i="1"/>
  <c r="J2573" i="1"/>
  <c r="I2573" i="1"/>
  <c r="H2573" i="1"/>
  <c r="G2573" i="1"/>
  <c r="F2573" i="1"/>
  <c r="E2573" i="1"/>
  <c r="D2573" i="1"/>
  <c r="J2572" i="1"/>
  <c r="I2572" i="1"/>
  <c r="H2572" i="1"/>
  <c r="G2572" i="1"/>
  <c r="F2572" i="1"/>
  <c r="E2572" i="1"/>
  <c r="D2572" i="1"/>
  <c r="J2571" i="1"/>
  <c r="I2571" i="1"/>
  <c r="H2571" i="1"/>
  <c r="G2571" i="1"/>
  <c r="F2571" i="1"/>
  <c r="E2571" i="1"/>
  <c r="D2571" i="1"/>
  <c r="J2570" i="1"/>
  <c r="I2570" i="1"/>
  <c r="H2570" i="1"/>
  <c r="G2570" i="1"/>
  <c r="F2570" i="1"/>
  <c r="E2570" i="1"/>
  <c r="D2570" i="1"/>
  <c r="J2569" i="1"/>
  <c r="I2569" i="1"/>
  <c r="H2569" i="1"/>
  <c r="G2569" i="1"/>
  <c r="F2569" i="1"/>
  <c r="E2569" i="1"/>
  <c r="D2569" i="1"/>
  <c r="J2568" i="1"/>
  <c r="I2568" i="1"/>
  <c r="H2568" i="1"/>
  <c r="G2568" i="1"/>
  <c r="F2568" i="1"/>
  <c r="E2568" i="1"/>
  <c r="D2568" i="1"/>
  <c r="J2567" i="1"/>
  <c r="I2567" i="1"/>
  <c r="H2567" i="1"/>
  <c r="G2567" i="1"/>
  <c r="F2567" i="1"/>
  <c r="E2567" i="1"/>
  <c r="D2567" i="1"/>
  <c r="J2566" i="1"/>
  <c r="H2566" i="1"/>
  <c r="F2566" i="1"/>
  <c r="D2566" i="1"/>
  <c r="J2565" i="1"/>
  <c r="I2565" i="1"/>
  <c r="H2565" i="1"/>
  <c r="G2565" i="1"/>
  <c r="F2565" i="1"/>
  <c r="E2565" i="1"/>
  <c r="D2565" i="1"/>
  <c r="J2564" i="1"/>
  <c r="I2564" i="1"/>
  <c r="H2564" i="1"/>
  <c r="G2564" i="1"/>
  <c r="F2564" i="1"/>
  <c r="E2564" i="1"/>
  <c r="D2564" i="1"/>
  <c r="J2563" i="1"/>
  <c r="H2563" i="1"/>
  <c r="F2563" i="1"/>
  <c r="D2563" i="1"/>
  <c r="J2562" i="1"/>
  <c r="I2562" i="1"/>
  <c r="H2562" i="1"/>
  <c r="G2562" i="1"/>
  <c r="F2562" i="1"/>
  <c r="E2562" i="1"/>
  <c r="D2562" i="1"/>
  <c r="J2561" i="1"/>
  <c r="I2561" i="1"/>
  <c r="H2561" i="1"/>
  <c r="G2561" i="1"/>
  <c r="F2561" i="1"/>
  <c r="E2561" i="1"/>
  <c r="D2561" i="1"/>
  <c r="J2560" i="1"/>
  <c r="I2560" i="1"/>
  <c r="H2560" i="1"/>
  <c r="G2560" i="1"/>
  <c r="F2560" i="1"/>
  <c r="E2560" i="1"/>
  <c r="D2560" i="1"/>
  <c r="J2559" i="1"/>
  <c r="I2559" i="1"/>
  <c r="H2559" i="1"/>
  <c r="G2559" i="1"/>
  <c r="F2559" i="1"/>
  <c r="E2559" i="1"/>
  <c r="D2559" i="1"/>
  <c r="J2558" i="1"/>
  <c r="I2558" i="1"/>
  <c r="H2558" i="1"/>
  <c r="G2558" i="1"/>
  <c r="F2558" i="1"/>
  <c r="E2558" i="1"/>
  <c r="D2558" i="1"/>
  <c r="J2557" i="1"/>
  <c r="I2557" i="1"/>
  <c r="H2557" i="1"/>
  <c r="G2557" i="1"/>
  <c r="F2557" i="1"/>
  <c r="E2557" i="1"/>
  <c r="D2557" i="1"/>
  <c r="J2556" i="1"/>
  <c r="I2556" i="1"/>
  <c r="H2556" i="1"/>
  <c r="G2556" i="1"/>
  <c r="F2556" i="1"/>
  <c r="E2556" i="1"/>
  <c r="D2556" i="1"/>
  <c r="J2555" i="1"/>
  <c r="I2555" i="1"/>
  <c r="H2555" i="1"/>
  <c r="G2555" i="1"/>
  <c r="F2555" i="1"/>
  <c r="E2555" i="1"/>
  <c r="D2555" i="1"/>
  <c r="J2554" i="1"/>
  <c r="I2554" i="1"/>
  <c r="H2554" i="1"/>
  <c r="G2554" i="1"/>
  <c r="F2554" i="1"/>
  <c r="E2554" i="1"/>
  <c r="D2554" i="1"/>
  <c r="J2553" i="1"/>
  <c r="I2553" i="1"/>
  <c r="H2553" i="1"/>
  <c r="G2553" i="1"/>
  <c r="F2553" i="1"/>
  <c r="E2553" i="1"/>
  <c r="D2553" i="1"/>
  <c r="J2552" i="1"/>
  <c r="I2552" i="1"/>
  <c r="H2552" i="1"/>
  <c r="G2552" i="1"/>
  <c r="F2552" i="1"/>
  <c r="E2552" i="1"/>
  <c r="D2552" i="1"/>
  <c r="J2551" i="1"/>
  <c r="I2551" i="1"/>
  <c r="H2551" i="1"/>
  <c r="G2551" i="1"/>
  <c r="F2551" i="1"/>
  <c r="E2551" i="1"/>
  <c r="D2551" i="1"/>
  <c r="J2550" i="1"/>
  <c r="I2550" i="1"/>
  <c r="H2550" i="1"/>
  <c r="G2550" i="1"/>
  <c r="F2550" i="1"/>
  <c r="E2550" i="1"/>
  <c r="D2550" i="1"/>
  <c r="J2549" i="1"/>
  <c r="I2549" i="1"/>
  <c r="H2549" i="1"/>
  <c r="G2549" i="1"/>
  <c r="F2549" i="1"/>
  <c r="E2549" i="1"/>
  <c r="D2549" i="1"/>
  <c r="J2548" i="1"/>
  <c r="I2548" i="1"/>
  <c r="H2548" i="1"/>
  <c r="G2548" i="1"/>
  <c r="F2548" i="1"/>
  <c r="E2548" i="1"/>
  <c r="D2548" i="1"/>
  <c r="J2547" i="1"/>
  <c r="I2547" i="1"/>
  <c r="H2547" i="1"/>
  <c r="G2547" i="1"/>
  <c r="F2547" i="1"/>
  <c r="E2547" i="1"/>
  <c r="D2547" i="1"/>
  <c r="J2546" i="1"/>
  <c r="I2546" i="1"/>
  <c r="H2546" i="1"/>
  <c r="G2546" i="1"/>
  <c r="F2546" i="1"/>
  <c r="E2546" i="1"/>
  <c r="D2546" i="1"/>
  <c r="J2545" i="1"/>
  <c r="I2545" i="1"/>
  <c r="H2545" i="1"/>
  <c r="G2545" i="1"/>
  <c r="F2545" i="1"/>
  <c r="E2545" i="1"/>
  <c r="D2545" i="1"/>
  <c r="J2544" i="1"/>
  <c r="I2544" i="1"/>
  <c r="H2544" i="1"/>
  <c r="G2544" i="1"/>
  <c r="F2544" i="1"/>
  <c r="E2544" i="1"/>
  <c r="D2544" i="1"/>
  <c r="J2543" i="1"/>
  <c r="I2543" i="1"/>
  <c r="H2543" i="1"/>
  <c r="G2543" i="1"/>
  <c r="F2543" i="1"/>
  <c r="E2543" i="1"/>
  <c r="D2543" i="1"/>
  <c r="J2542" i="1"/>
  <c r="H2542" i="1"/>
  <c r="F2542" i="1"/>
  <c r="D2542" i="1"/>
  <c r="J2541" i="1"/>
  <c r="I2541" i="1"/>
  <c r="H2541" i="1"/>
  <c r="G2541" i="1"/>
  <c r="F2541" i="1"/>
  <c r="E2541" i="1"/>
  <c r="D2541" i="1"/>
  <c r="J2540" i="1"/>
  <c r="I2540" i="1"/>
  <c r="H2540" i="1"/>
  <c r="G2540" i="1"/>
  <c r="F2540" i="1"/>
  <c r="E2540" i="1"/>
  <c r="D2540" i="1"/>
  <c r="J2539" i="1"/>
  <c r="I2539" i="1"/>
  <c r="H2539" i="1"/>
  <c r="G2539" i="1"/>
  <c r="F2539" i="1"/>
  <c r="E2539" i="1"/>
  <c r="D2539" i="1"/>
  <c r="J2538" i="1"/>
  <c r="I2538" i="1"/>
  <c r="H2538" i="1"/>
  <c r="G2538" i="1"/>
  <c r="F2538" i="1"/>
  <c r="E2538" i="1"/>
  <c r="D2538" i="1"/>
  <c r="J2537" i="1"/>
  <c r="I2537" i="1"/>
  <c r="H2537" i="1"/>
  <c r="G2537" i="1"/>
  <c r="F2537" i="1"/>
  <c r="E2537" i="1"/>
  <c r="D2537" i="1"/>
  <c r="J2536" i="1"/>
  <c r="I2536" i="1"/>
  <c r="H2536" i="1"/>
  <c r="G2536" i="1"/>
  <c r="F2536" i="1"/>
  <c r="E2536" i="1"/>
  <c r="D2536" i="1"/>
  <c r="J2535" i="1"/>
  <c r="I2535" i="1"/>
  <c r="H2535" i="1"/>
  <c r="G2535" i="1"/>
  <c r="F2535" i="1"/>
  <c r="E2535" i="1"/>
  <c r="D2535" i="1"/>
  <c r="J2534" i="1"/>
  <c r="I2534" i="1"/>
  <c r="H2534" i="1"/>
  <c r="G2534" i="1"/>
  <c r="F2534" i="1"/>
  <c r="E2534" i="1"/>
  <c r="D2534" i="1"/>
  <c r="J2533" i="1"/>
  <c r="I2533" i="1"/>
  <c r="H2533" i="1"/>
  <c r="G2533" i="1"/>
  <c r="F2533" i="1"/>
  <c r="E2533" i="1"/>
  <c r="D2533" i="1"/>
  <c r="J2532" i="1"/>
  <c r="I2532" i="1"/>
  <c r="H2532" i="1"/>
  <c r="G2532" i="1"/>
  <c r="F2532" i="1"/>
  <c r="E2532" i="1"/>
  <c r="D2532" i="1"/>
  <c r="J2531" i="1"/>
  <c r="I2531" i="1"/>
  <c r="H2531" i="1"/>
  <c r="G2531" i="1"/>
  <c r="F2531" i="1"/>
  <c r="E2531" i="1"/>
  <c r="D2531" i="1"/>
  <c r="J2530" i="1"/>
  <c r="I2530" i="1"/>
  <c r="H2530" i="1"/>
  <c r="G2530" i="1"/>
  <c r="F2530" i="1"/>
  <c r="E2530" i="1"/>
  <c r="D2530" i="1"/>
  <c r="J2529" i="1"/>
  <c r="I2529" i="1"/>
  <c r="H2529" i="1"/>
  <c r="G2529" i="1"/>
  <c r="F2529" i="1"/>
  <c r="E2529" i="1"/>
  <c r="D2529" i="1"/>
  <c r="J2528" i="1"/>
  <c r="I2528" i="1"/>
  <c r="H2528" i="1"/>
  <c r="G2528" i="1"/>
  <c r="F2528" i="1"/>
  <c r="E2528" i="1"/>
  <c r="D2528" i="1"/>
  <c r="J2527" i="1"/>
  <c r="I2527" i="1"/>
  <c r="H2527" i="1"/>
  <c r="G2527" i="1"/>
  <c r="F2527" i="1"/>
  <c r="E2527" i="1"/>
  <c r="D2527" i="1"/>
  <c r="J2526" i="1"/>
  <c r="I2526" i="1"/>
  <c r="H2526" i="1"/>
  <c r="G2526" i="1"/>
  <c r="F2526" i="1"/>
  <c r="E2526" i="1"/>
  <c r="D2526" i="1"/>
  <c r="J2525" i="1"/>
  <c r="I2525" i="1"/>
  <c r="H2525" i="1"/>
  <c r="G2525" i="1"/>
  <c r="F2525" i="1"/>
  <c r="E2525" i="1"/>
  <c r="D2525" i="1"/>
  <c r="J2524" i="1"/>
  <c r="I2524" i="1"/>
  <c r="H2524" i="1"/>
  <c r="G2524" i="1"/>
  <c r="F2524" i="1"/>
  <c r="E2524" i="1"/>
  <c r="D2524" i="1"/>
  <c r="J2523" i="1"/>
  <c r="I2523" i="1"/>
  <c r="H2523" i="1"/>
  <c r="G2523" i="1"/>
  <c r="F2523" i="1"/>
  <c r="E2523" i="1"/>
  <c r="D2523" i="1"/>
  <c r="J2522" i="1"/>
  <c r="I2522" i="1"/>
  <c r="H2522" i="1"/>
  <c r="G2522" i="1"/>
  <c r="F2522" i="1"/>
  <c r="E2522" i="1"/>
  <c r="D2522" i="1"/>
  <c r="J2521" i="1"/>
  <c r="I2521" i="1"/>
  <c r="H2521" i="1"/>
  <c r="G2521" i="1"/>
  <c r="F2521" i="1"/>
  <c r="E2521" i="1"/>
  <c r="D2521" i="1"/>
  <c r="J2520" i="1"/>
  <c r="I2520" i="1"/>
  <c r="H2520" i="1"/>
  <c r="G2520" i="1"/>
  <c r="F2520" i="1"/>
  <c r="E2520" i="1"/>
  <c r="D2520" i="1"/>
  <c r="J2519" i="1"/>
  <c r="I2519" i="1"/>
  <c r="H2519" i="1"/>
  <c r="G2519" i="1"/>
  <c r="F2519" i="1"/>
  <c r="E2519" i="1"/>
  <c r="D2519" i="1"/>
  <c r="J2518" i="1"/>
  <c r="I2518" i="1"/>
  <c r="H2518" i="1"/>
  <c r="G2518" i="1"/>
  <c r="F2518" i="1"/>
  <c r="E2518" i="1"/>
  <c r="D2518" i="1"/>
  <c r="J2517" i="1"/>
  <c r="I2517" i="1"/>
  <c r="H2517" i="1"/>
  <c r="G2517" i="1"/>
  <c r="F2517" i="1"/>
  <c r="E2517" i="1"/>
  <c r="D2517" i="1"/>
  <c r="J2516" i="1"/>
  <c r="I2516" i="1"/>
  <c r="H2516" i="1"/>
  <c r="G2516" i="1"/>
  <c r="F2516" i="1"/>
  <c r="E2516" i="1"/>
  <c r="D2516" i="1"/>
  <c r="J2515" i="1"/>
  <c r="I2515" i="1"/>
  <c r="H2515" i="1"/>
  <c r="G2515" i="1"/>
  <c r="F2515" i="1"/>
  <c r="E2515" i="1"/>
  <c r="D2515" i="1"/>
  <c r="J2514" i="1"/>
  <c r="I2514" i="1"/>
  <c r="H2514" i="1"/>
  <c r="G2514" i="1"/>
  <c r="F2514" i="1"/>
  <c r="E2514" i="1"/>
  <c r="D2514" i="1"/>
  <c r="J2513" i="1"/>
  <c r="I2513" i="1"/>
  <c r="H2513" i="1"/>
  <c r="G2513" i="1"/>
  <c r="F2513" i="1"/>
  <c r="E2513" i="1"/>
  <c r="D2513" i="1"/>
  <c r="J2512" i="1"/>
  <c r="I2512" i="1"/>
  <c r="H2512" i="1"/>
  <c r="G2512" i="1"/>
  <c r="F2512" i="1"/>
  <c r="E2512" i="1"/>
  <c r="D2512" i="1"/>
  <c r="J2511" i="1"/>
  <c r="I2511" i="1"/>
  <c r="H2511" i="1"/>
  <c r="G2511" i="1"/>
  <c r="F2511" i="1"/>
  <c r="E2511" i="1"/>
  <c r="D2511" i="1"/>
  <c r="J2510" i="1"/>
  <c r="I2510" i="1"/>
  <c r="H2510" i="1"/>
  <c r="G2510" i="1"/>
  <c r="F2510" i="1"/>
  <c r="E2510" i="1"/>
  <c r="D2510" i="1"/>
  <c r="J2509" i="1"/>
  <c r="I2509" i="1"/>
  <c r="H2509" i="1"/>
  <c r="G2509" i="1"/>
  <c r="F2509" i="1"/>
  <c r="E2509" i="1"/>
  <c r="D2509" i="1"/>
  <c r="J2508" i="1"/>
  <c r="I2508" i="1"/>
  <c r="H2508" i="1"/>
  <c r="G2508" i="1"/>
  <c r="F2508" i="1"/>
  <c r="E2508" i="1"/>
  <c r="D2508" i="1"/>
  <c r="J2507" i="1"/>
  <c r="I2507" i="1"/>
  <c r="H2507" i="1"/>
  <c r="G2507" i="1"/>
  <c r="F2507" i="1"/>
  <c r="E2507" i="1"/>
  <c r="D2507" i="1"/>
  <c r="J2506" i="1"/>
  <c r="I2506" i="1"/>
  <c r="H2506" i="1"/>
  <c r="G2506" i="1"/>
  <c r="F2506" i="1"/>
  <c r="E2506" i="1"/>
  <c r="D2506" i="1"/>
  <c r="J2505" i="1"/>
  <c r="I2505" i="1"/>
  <c r="H2505" i="1"/>
  <c r="G2505" i="1"/>
  <c r="F2505" i="1"/>
  <c r="E2505" i="1"/>
  <c r="D2505" i="1"/>
  <c r="J2504" i="1"/>
  <c r="I2504" i="1"/>
  <c r="H2504" i="1"/>
  <c r="G2504" i="1"/>
  <c r="F2504" i="1"/>
  <c r="E2504" i="1"/>
  <c r="D2504" i="1"/>
  <c r="J2503" i="1"/>
  <c r="I2503" i="1"/>
  <c r="H2503" i="1"/>
  <c r="G2503" i="1"/>
  <c r="F2503" i="1"/>
  <c r="E2503" i="1"/>
  <c r="D2503" i="1"/>
  <c r="J2502" i="1"/>
  <c r="I2502" i="1"/>
  <c r="H2502" i="1"/>
  <c r="G2502" i="1"/>
  <c r="F2502" i="1"/>
  <c r="E2502" i="1"/>
  <c r="D2502" i="1"/>
  <c r="J2501" i="1"/>
  <c r="I2501" i="1"/>
  <c r="H2501" i="1"/>
  <c r="G2501" i="1"/>
  <c r="F2501" i="1"/>
  <c r="E2501" i="1"/>
  <c r="D2501" i="1"/>
  <c r="J2500" i="1"/>
  <c r="I2500" i="1"/>
  <c r="H2500" i="1"/>
  <c r="G2500" i="1"/>
  <c r="F2500" i="1"/>
  <c r="E2500" i="1"/>
  <c r="D2500" i="1"/>
  <c r="J2499" i="1"/>
  <c r="I2499" i="1"/>
  <c r="H2499" i="1"/>
  <c r="G2499" i="1"/>
  <c r="F2499" i="1"/>
  <c r="E2499" i="1"/>
  <c r="D2499" i="1"/>
  <c r="J2498" i="1"/>
  <c r="I2498" i="1"/>
  <c r="H2498" i="1"/>
  <c r="G2498" i="1"/>
  <c r="F2498" i="1"/>
  <c r="E2498" i="1"/>
  <c r="D2498" i="1"/>
  <c r="J2497" i="1"/>
  <c r="I2497" i="1"/>
  <c r="H2497" i="1"/>
  <c r="G2497" i="1"/>
  <c r="F2497" i="1"/>
  <c r="E2497" i="1"/>
  <c r="D2497" i="1"/>
  <c r="J2496" i="1"/>
  <c r="I2496" i="1"/>
  <c r="H2496" i="1"/>
  <c r="G2496" i="1"/>
  <c r="F2496" i="1"/>
  <c r="E2496" i="1"/>
  <c r="D2496" i="1"/>
  <c r="J2495" i="1"/>
  <c r="H2495" i="1"/>
  <c r="F2495" i="1"/>
  <c r="D2495" i="1"/>
  <c r="J2494" i="1"/>
  <c r="I2494" i="1"/>
  <c r="H2494" i="1"/>
  <c r="G2494" i="1"/>
  <c r="F2494" i="1"/>
  <c r="E2494" i="1"/>
  <c r="D2494" i="1"/>
  <c r="J2493" i="1"/>
  <c r="I2493" i="1"/>
  <c r="H2493" i="1"/>
  <c r="G2493" i="1"/>
  <c r="F2493" i="1"/>
  <c r="E2493" i="1"/>
  <c r="D2493" i="1"/>
  <c r="J2492" i="1"/>
  <c r="I2492" i="1"/>
  <c r="H2492" i="1"/>
  <c r="G2492" i="1"/>
  <c r="F2492" i="1"/>
  <c r="E2492" i="1"/>
  <c r="D2492" i="1"/>
  <c r="J2491" i="1"/>
  <c r="I2491" i="1"/>
  <c r="H2491" i="1"/>
  <c r="G2491" i="1"/>
  <c r="F2491" i="1"/>
  <c r="E2491" i="1"/>
  <c r="D2491" i="1"/>
  <c r="J2490" i="1"/>
  <c r="I2490" i="1"/>
  <c r="H2490" i="1"/>
  <c r="G2490" i="1"/>
  <c r="F2490" i="1"/>
  <c r="E2490" i="1"/>
  <c r="D2490" i="1"/>
  <c r="J2489" i="1"/>
  <c r="I2489" i="1"/>
  <c r="H2489" i="1"/>
  <c r="G2489" i="1"/>
  <c r="F2489" i="1"/>
  <c r="E2489" i="1"/>
  <c r="D2489" i="1"/>
  <c r="J2488" i="1"/>
  <c r="I2488" i="1"/>
  <c r="H2488" i="1"/>
  <c r="G2488" i="1"/>
  <c r="F2488" i="1"/>
  <c r="E2488" i="1"/>
  <c r="D2488" i="1"/>
  <c r="J2487" i="1"/>
  <c r="I2487" i="1"/>
  <c r="H2487" i="1"/>
  <c r="G2487" i="1"/>
  <c r="F2487" i="1"/>
  <c r="E2487" i="1"/>
  <c r="D2487" i="1"/>
  <c r="J2486" i="1"/>
  <c r="I2486" i="1"/>
  <c r="H2486" i="1"/>
  <c r="G2486" i="1"/>
  <c r="F2486" i="1"/>
  <c r="E2486" i="1"/>
  <c r="D2486" i="1"/>
  <c r="J2485" i="1"/>
  <c r="H2485" i="1"/>
  <c r="F2485" i="1"/>
  <c r="D2485" i="1"/>
  <c r="J2484" i="1"/>
  <c r="I2484" i="1"/>
  <c r="H2484" i="1"/>
  <c r="G2484" i="1"/>
  <c r="F2484" i="1"/>
  <c r="E2484" i="1"/>
  <c r="D2484" i="1"/>
  <c r="J2483" i="1"/>
  <c r="I2483" i="1"/>
  <c r="H2483" i="1"/>
  <c r="G2483" i="1"/>
  <c r="F2483" i="1"/>
  <c r="E2483" i="1"/>
  <c r="D2483" i="1"/>
  <c r="J2482" i="1"/>
  <c r="I2482" i="1"/>
  <c r="H2482" i="1"/>
  <c r="G2482" i="1"/>
  <c r="F2482" i="1"/>
  <c r="E2482" i="1"/>
  <c r="D2482" i="1"/>
  <c r="J2481" i="1"/>
  <c r="I2481" i="1"/>
  <c r="H2481" i="1"/>
  <c r="G2481" i="1"/>
  <c r="F2481" i="1"/>
  <c r="E2481" i="1"/>
  <c r="D2481" i="1"/>
  <c r="J2480" i="1"/>
  <c r="I2480" i="1"/>
  <c r="H2480" i="1"/>
  <c r="G2480" i="1"/>
  <c r="F2480" i="1"/>
  <c r="E2480" i="1"/>
  <c r="D2480" i="1"/>
  <c r="J2479" i="1"/>
  <c r="I2479" i="1"/>
  <c r="H2479" i="1"/>
  <c r="G2479" i="1"/>
  <c r="F2479" i="1"/>
  <c r="E2479" i="1"/>
  <c r="D2479" i="1"/>
  <c r="J2478" i="1"/>
  <c r="I2478" i="1"/>
  <c r="H2478" i="1"/>
  <c r="G2478" i="1"/>
  <c r="F2478" i="1"/>
  <c r="E2478" i="1"/>
  <c r="D2478" i="1"/>
  <c r="J2477" i="1"/>
  <c r="I2477" i="1"/>
  <c r="H2477" i="1"/>
  <c r="G2477" i="1"/>
  <c r="F2477" i="1"/>
  <c r="E2477" i="1"/>
  <c r="D2477" i="1"/>
  <c r="J2476" i="1"/>
  <c r="I2476" i="1"/>
  <c r="H2476" i="1"/>
  <c r="G2476" i="1"/>
  <c r="F2476" i="1"/>
  <c r="E2476" i="1"/>
  <c r="D2476" i="1"/>
  <c r="J2475" i="1"/>
  <c r="I2475" i="1"/>
  <c r="H2475" i="1"/>
  <c r="G2475" i="1"/>
  <c r="F2475" i="1"/>
  <c r="E2475" i="1"/>
  <c r="D2475" i="1"/>
  <c r="J2474" i="1"/>
  <c r="I2474" i="1"/>
  <c r="H2474" i="1"/>
  <c r="G2474" i="1"/>
  <c r="F2474" i="1"/>
  <c r="E2474" i="1"/>
  <c r="D2474" i="1"/>
  <c r="J2473" i="1"/>
  <c r="H2473" i="1"/>
  <c r="F2473" i="1"/>
  <c r="D2473" i="1"/>
  <c r="J2472" i="1"/>
  <c r="I2472" i="1"/>
  <c r="H2472" i="1"/>
  <c r="G2472" i="1"/>
  <c r="F2472" i="1"/>
  <c r="E2472" i="1"/>
  <c r="D2472" i="1"/>
  <c r="J2471" i="1"/>
  <c r="I2471" i="1"/>
  <c r="H2471" i="1"/>
  <c r="G2471" i="1"/>
  <c r="F2471" i="1"/>
  <c r="E2471" i="1"/>
  <c r="D2471" i="1"/>
  <c r="J2470" i="1"/>
  <c r="I2470" i="1"/>
  <c r="H2470" i="1"/>
  <c r="G2470" i="1"/>
  <c r="F2470" i="1"/>
  <c r="E2470" i="1"/>
  <c r="D2470" i="1"/>
  <c r="J2469" i="1"/>
  <c r="I2469" i="1"/>
  <c r="H2469" i="1"/>
  <c r="G2469" i="1"/>
  <c r="F2469" i="1"/>
  <c r="E2469" i="1"/>
  <c r="D2469" i="1"/>
  <c r="J2468" i="1"/>
  <c r="I2468" i="1"/>
  <c r="H2468" i="1"/>
  <c r="G2468" i="1"/>
  <c r="F2468" i="1"/>
  <c r="E2468" i="1"/>
  <c r="D2468" i="1"/>
  <c r="J2467" i="1"/>
  <c r="I2467" i="1"/>
  <c r="H2467" i="1"/>
  <c r="G2467" i="1"/>
  <c r="F2467" i="1"/>
  <c r="E2467" i="1"/>
  <c r="D2467" i="1"/>
  <c r="J2466" i="1"/>
  <c r="I2466" i="1"/>
  <c r="H2466" i="1"/>
  <c r="G2466" i="1"/>
  <c r="F2466" i="1"/>
  <c r="E2466" i="1"/>
  <c r="D2466" i="1"/>
  <c r="J2465" i="1"/>
  <c r="I2465" i="1"/>
  <c r="H2465" i="1"/>
  <c r="G2465" i="1"/>
  <c r="F2465" i="1"/>
  <c r="E2465" i="1"/>
  <c r="D2465" i="1"/>
  <c r="J2464" i="1"/>
  <c r="H2464" i="1"/>
  <c r="F2464" i="1"/>
  <c r="D2464" i="1"/>
  <c r="J2463" i="1"/>
  <c r="I2463" i="1"/>
  <c r="H2463" i="1"/>
  <c r="G2463" i="1"/>
  <c r="F2463" i="1"/>
  <c r="E2463" i="1"/>
  <c r="D2463" i="1"/>
  <c r="J2462" i="1"/>
  <c r="I2462" i="1"/>
  <c r="H2462" i="1"/>
  <c r="G2462" i="1"/>
  <c r="F2462" i="1"/>
  <c r="E2462" i="1"/>
  <c r="D2462" i="1"/>
  <c r="J2461" i="1"/>
  <c r="I2461" i="1"/>
  <c r="H2461" i="1"/>
  <c r="G2461" i="1"/>
  <c r="F2461" i="1"/>
  <c r="E2461" i="1"/>
  <c r="D2461" i="1"/>
  <c r="J2460" i="1"/>
  <c r="H2460" i="1"/>
  <c r="F2460" i="1"/>
  <c r="D2460" i="1"/>
  <c r="J2459" i="1"/>
  <c r="I2459" i="1"/>
  <c r="H2459" i="1"/>
  <c r="G2459" i="1"/>
  <c r="F2459" i="1"/>
  <c r="E2459" i="1"/>
  <c r="D2459" i="1"/>
  <c r="J2458" i="1"/>
  <c r="I2458" i="1"/>
  <c r="H2458" i="1"/>
  <c r="G2458" i="1"/>
  <c r="F2458" i="1"/>
  <c r="E2458" i="1"/>
  <c r="D2458" i="1"/>
  <c r="J2457" i="1"/>
  <c r="I2457" i="1"/>
  <c r="H2457" i="1"/>
  <c r="G2457" i="1"/>
  <c r="F2457" i="1"/>
  <c r="E2457" i="1"/>
  <c r="D2457" i="1"/>
  <c r="J2456" i="1"/>
  <c r="I2456" i="1"/>
  <c r="H2456" i="1"/>
  <c r="G2456" i="1"/>
  <c r="F2456" i="1"/>
  <c r="E2456" i="1"/>
  <c r="D2456" i="1"/>
  <c r="J2455" i="1"/>
  <c r="I2455" i="1"/>
  <c r="H2455" i="1"/>
  <c r="G2455" i="1"/>
  <c r="F2455" i="1"/>
  <c r="E2455" i="1"/>
  <c r="D2455" i="1"/>
  <c r="J2454" i="1"/>
  <c r="I2454" i="1"/>
  <c r="H2454" i="1"/>
  <c r="G2454" i="1"/>
  <c r="F2454" i="1"/>
  <c r="E2454" i="1"/>
  <c r="D2454" i="1"/>
  <c r="J2453" i="1"/>
  <c r="I2453" i="1"/>
  <c r="H2453" i="1"/>
  <c r="G2453" i="1"/>
  <c r="F2453" i="1"/>
  <c r="E2453" i="1"/>
  <c r="D2453" i="1"/>
  <c r="J2452" i="1"/>
  <c r="I2452" i="1"/>
  <c r="H2452" i="1"/>
  <c r="G2452" i="1"/>
  <c r="F2452" i="1"/>
  <c r="E2452" i="1"/>
  <c r="D2452" i="1"/>
  <c r="J2451" i="1"/>
  <c r="I2451" i="1"/>
  <c r="H2451" i="1"/>
  <c r="G2451" i="1"/>
  <c r="F2451" i="1"/>
  <c r="E2451" i="1"/>
  <c r="D2451" i="1"/>
  <c r="J2450" i="1"/>
  <c r="I2450" i="1"/>
  <c r="H2450" i="1"/>
  <c r="G2450" i="1"/>
  <c r="F2450" i="1"/>
  <c r="E2450" i="1"/>
  <c r="D2450" i="1"/>
  <c r="J2449" i="1"/>
  <c r="I2449" i="1"/>
  <c r="H2449" i="1"/>
  <c r="G2449" i="1"/>
  <c r="F2449" i="1"/>
  <c r="E2449" i="1"/>
  <c r="D2449" i="1"/>
  <c r="J2448" i="1"/>
  <c r="I2448" i="1"/>
  <c r="H2448" i="1"/>
  <c r="G2448" i="1"/>
  <c r="F2448" i="1"/>
  <c r="E2448" i="1"/>
  <c r="D2448" i="1"/>
  <c r="J2447" i="1"/>
  <c r="I2447" i="1"/>
  <c r="H2447" i="1"/>
  <c r="G2447" i="1"/>
  <c r="F2447" i="1"/>
  <c r="E2447" i="1"/>
  <c r="D2447" i="1"/>
  <c r="J2446" i="1"/>
  <c r="I2446" i="1"/>
  <c r="H2446" i="1"/>
  <c r="G2446" i="1"/>
  <c r="F2446" i="1"/>
  <c r="E2446" i="1"/>
  <c r="D2446" i="1"/>
  <c r="J2445" i="1"/>
  <c r="I2445" i="1"/>
  <c r="H2445" i="1"/>
  <c r="G2445" i="1"/>
  <c r="F2445" i="1"/>
  <c r="E2445" i="1"/>
  <c r="D2445" i="1"/>
  <c r="J2444" i="1"/>
  <c r="I2444" i="1"/>
  <c r="H2444" i="1"/>
  <c r="G2444" i="1"/>
  <c r="F2444" i="1"/>
  <c r="E2444" i="1"/>
  <c r="D2444" i="1"/>
  <c r="J2443" i="1"/>
  <c r="I2443" i="1"/>
  <c r="H2443" i="1"/>
  <c r="G2443" i="1"/>
  <c r="F2443" i="1"/>
  <c r="E2443" i="1"/>
  <c r="D2443" i="1"/>
  <c r="J2442" i="1"/>
  <c r="I2442" i="1"/>
  <c r="H2442" i="1"/>
  <c r="G2442" i="1"/>
  <c r="F2442" i="1"/>
  <c r="E2442" i="1"/>
  <c r="D2442" i="1"/>
  <c r="J2441" i="1"/>
  <c r="I2441" i="1"/>
  <c r="H2441" i="1"/>
  <c r="G2441" i="1"/>
  <c r="F2441" i="1"/>
  <c r="E2441" i="1"/>
  <c r="D2441" i="1"/>
  <c r="J2440" i="1"/>
  <c r="I2440" i="1"/>
  <c r="H2440" i="1"/>
  <c r="G2440" i="1"/>
  <c r="F2440" i="1"/>
  <c r="E2440" i="1"/>
  <c r="D2440" i="1"/>
  <c r="J2439" i="1"/>
  <c r="I2439" i="1"/>
  <c r="H2439" i="1"/>
  <c r="G2439" i="1"/>
  <c r="F2439" i="1"/>
  <c r="E2439" i="1"/>
  <c r="D2439" i="1"/>
  <c r="J2438" i="1"/>
  <c r="I2438" i="1"/>
  <c r="H2438" i="1"/>
  <c r="G2438" i="1"/>
  <c r="F2438" i="1"/>
  <c r="E2438" i="1"/>
  <c r="D2438" i="1"/>
  <c r="J2437" i="1"/>
  <c r="I2437" i="1"/>
  <c r="H2437" i="1"/>
  <c r="G2437" i="1"/>
  <c r="F2437" i="1"/>
  <c r="E2437" i="1"/>
  <c r="D2437" i="1"/>
  <c r="J2436" i="1"/>
  <c r="I2436" i="1"/>
  <c r="H2436" i="1"/>
  <c r="G2436" i="1"/>
  <c r="F2436" i="1"/>
  <c r="E2436" i="1"/>
  <c r="D2436" i="1"/>
  <c r="J2435" i="1"/>
  <c r="I2435" i="1"/>
  <c r="H2435" i="1"/>
  <c r="G2435" i="1"/>
  <c r="F2435" i="1"/>
  <c r="E2435" i="1"/>
  <c r="D2435" i="1"/>
  <c r="J2434" i="1"/>
  <c r="H2434" i="1"/>
  <c r="F2434" i="1"/>
  <c r="D2434" i="1"/>
  <c r="J2433" i="1"/>
  <c r="I2433" i="1"/>
  <c r="H2433" i="1"/>
  <c r="G2433" i="1"/>
  <c r="F2433" i="1"/>
  <c r="E2433" i="1"/>
  <c r="D2433" i="1"/>
  <c r="J2432" i="1"/>
  <c r="I2432" i="1"/>
  <c r="H2432" i="1"/>
  <c r="G2432" i="1"/>
  <c r="F2432" i="1"/>
  <c r="E2432" i="1"/>
  <c r="D2432" i="1"/>
  <c r="J2431" i="1"/>
  <c r="I2431" i="1"/>
  <c r="H2431" i="1"/>
  <c r="G2431" i="1"/>
  <c r="F2431" i="1"/>
  <c r="E2431" i="1"/>
  <c r="D2431" i="1"/>
  <c r="J2430" i="1"/>
  <c r="I2430" i="1"/>
  <c r="H2430" i="1"/>
  <c r="G2430" i="1"/>
  <c r="F2430" i="1"/>
  <c r="E2430" i="1"/>
  <c r="D2430" i="1"/>
  <c r="J2429" i="1"/>
  <c r="I2429" i="1"/>
  <c r="H2429" i="1"/>
  <c r="G2429" i="1"/>
  <c r="F2429" i="1"/>
  <c r="E2429" i="1"/>
  <c r="D2429" i="1"/>
  <c r="J2428" i="1"/>
  <c r="I2428" i="1"/>
  <c r="H2428" i="1"/>
  <c r="G2428" i="1"/>
  <c r="F2428" i="1"/>
  <c r="E2428" i="1"/>
  <c r="D2428" i="1"/>
  <c r="J2427" i="1"/>
  <c r="H2427" i="1"/>
  <c r="F2427" i="1"/>
  <c r="D2427" i="1"/>
  <c r="J2426" i="1"/>
  <c r="I2426" i="1"/>
  <c r="H2426" i="1"/>
  <c r="G2426" i="1"/>
  <c r="F2426" i="1"/>
  <c r="E2426" i="1"/>
  <c r="D2426" i="1"/>
  <c r="J2425" i="1"/>
  <c r="I2425" i="1"/>
  <c r="H2425" i="1"/>
  <c r="G2425" i="1"/>
  <c r="F2425" i="1"/>
  <c r="E2425" i="1"/>
  <c r="D2425" i="1"/>
  <c r="J2424" i="1"/>
  <c r="I2424" i="1"/>
  <c r="H2424" i="1"/>
  <c r="G2424" i="1"/>
  <c r="F2424" i="1"/>
  <c r="E2424" i="1"/>
  <c r="D2424" i="1"/>
  <c r="J2423" i="1"/>
  <c r="I2423" i="1"/>
  <c r="H2423" i="1"/>
  <c r="G2423" i="1"/>
  <c r="F2423" i="1"/>
  <c r="E2423" i="1"/>
  <c r="D2423" i="1"/>
  <c r="J2422" i="1"/>
  <c r="I2422" i="1"/>
  <c r="H2422" i="1"/>
  <c r="G2422" i="1"/>
  <c r="F2422" i="1"/>
  <c r="E2422" i="1"/>
  <c r="D2422" i="1"/>
  <c r="J2421" i="1"/>
  <c r="I2421" i="1"/>
  <c r="H2421" i="1"/>
  <c r="G2421" i="1"/>
  <c r="F2421" i="1"/>
  <c r="E2421" i="1"/>
  <c r="D2421" i="1"/>
  <c r="J2420" i="1"/>
  <c r="I2420" i="1"/>
  <c r="H2420" i="1"/>
  <c r="G2420" i="1"/>
  <c r="F2420" i="1"/>
  <c r="E2420" i="1"/>
  <c r="D2420" i="1"/>
  <c r="J2419" i="1"/>
  <c r="H2419" i="1"/>
  <c r="F2419" i="1"/>
  <c r="D2419" i="1"/>
  <c r="J2418" i="1"/>
  <c r="I2418" i="1"/>
  <c r="H2418" i="1"/>
  <c r="G2418" i="1"/>
  <c r="F2418" i="1"/>
  <c r="E2418" i="1"/>
  <c r="D2418" i="1"/>
  <c r="J2417" i="1"/>
  <c r="I2417" i="1"/>
  <c r="H2417" i="1"/>
  <c r="G2417" i="1"/>
  <c r="F2417" i="1"/>
  <c r="E2417" i="1"/>
  <c r="D2417" i="1"/>
  <c r="J2416" i="1"/>
  <c r="I2416" i="1"/>
  <c r="H2416" i="1"/>
  <c r="G2416" i="1"/>
  <c r="F2416" i="1"/>
  <c r="E2416" i="1"/>
  <c r="D2416" i="1"/>
  <c r="J2415" i="1"/>
  <c r="I2415" i="1"/>
  <c r="H2415" i="1"/>
  <c r="G2415" i="1"/>
  <c r="F2415" i="1"/>
  <c r="E2415" i="1"/>
  <c r="D2415" i="1"/>
  <c r="J2414" i="1"/>
  <c r="I2414" i="1"/>
  <c r="H2414" i="1"/>
  <c r="G2414" i="1"/>
  <c r="F2414" i="1"/>
  <c r="E2414" i="1"/>
  <c r="D2414" i="1"/>
  <c r="J2413" i="1"/>
  <c r="I2413" i="1"/>
  <c r="H2413" i="1"/>
  <c r="G2413" i="1"/>
  <c r="F2413" i="1"/>
  <c r="E2413" i="1"/>
  <c r="D2413" i="1"/>
  <c r="J2412" i="1"/>
  <c r="I2412" i="1"/>
  <c r="H2412" i="1"/>
  <c r="G2412" i="1"/>
  <c r="F2412" i="1"/>
  <c r="E2412" i="1"/>
  <c r="D2412" i="1"/>
  <c r="J2411" i="1"/>
  <c r="I2411" i="1"/>
  <c r="H2411" i="1"/>
  <c r="G2411" i="1"/>
  <c r="F2411" i="1"/>
  <c r="E2411" i="1"/>
  <c r="D2411" i="1"/>
  <c r="J2410" i="1"/>
  <c r="I2410" i="1"/>
  <c r="H2410" i="1"/>
  <c r="G2410" i="1"/>
  <c r="F2410" i="1"/>
  <c r="E2410" i="1"/>
  <c r="D2410" i="1"/>
  <c r="J2409" i="1"/>
  <c r="I2409" i="1"/>
  <c r="H2409" i="1"/>
  <c r="G2409" i="1"/>
  <c r="F2409" i="1"/>
  <c r="E2409" i="1"/>
  <c r="D2409" i="1"/>
  <c r="J2408" i="1"/>
  <c r="I2408" i="1"/>
  <c r="H2408" i="1"/>
  <c r="G2408" i="1"/>
  <c r="F2408" i="1"/>
  <c r="E2408" i="1"/>
  <c r="D2408" i="1"/>
  <c r="J2407" i="1"/>
  <c r="I2407" i="1"/>
  <c r="H2407" i="1"/>
  <c r="G2407" i="1"/>
  <c r="F2407" i="1"/>
  <c r="E2407" i="1"/>
  <c r="D2407" i="1"/>
  <c r="J2406" i="1"/>
  <c r="I2406" i="1"/>
  <c r="H2406" i="1"/>
  <c r="G2406" i="1"/>
  <c r="F2406" i="1"/>
  <c r="E2406" i="1"/>
  <c r="D2406" i="1"/>
  <c r="J2405" i="1"/>
  <c r="I2405" i="1"/>
  <c r="H2405" i="1"/>
  <c r="G2405" i="1"/>
  <c r="F2405" i="1"/>
  <c r="E2405" i="1"/>
  <c r="D2405" i="1"/>
  <c r="J2404" i="1"/>
  <c r="I2404" i="1"/>
  <c r="H2404" i="1"/>
  <c r="G2404" i="1"/>
  <c r="F2404" i="1"/>
  <c r="E2404" i="1"/>
  <c r="D2404" i="1"/>
  <c r="J2403" i="1"/>
  <c r="I2403" i="1"/>
  <c r="H2403" i="1"/>
  <c r="G2403" i="1"/>
  <c r="F2403" i="1"/>
  <c r="E2403" i="1"/>
  <c r="D2403" i="1"/>
  <c r="J2402" i="1"/>
  <c r="I2402" i="1"/>
  <c r="H2402" i="1"/>
  <c r="G2402" i="1"/>
  <c r="F2402" i="1"/>
  <c r="E2402" i="1"/>
  <c r="D2402" i="1"/>
  <c r="J2401" i="1"/>
  <c r="I2401" i="1"/>
  <c r="H2401" i="1"/>
  <c r="G2401" i="1"/>
  <c r="F2401" i="1"/>
  <c r="E2401" i="1"/>
  <c r="D2401" i="1"/>
  <c r="J2400" i="1"/>
  <c r="I2400" i="1"/>
  <c r="H2400" i="1"/>
  <c r="G2400" i="1"/>
  <c r="F2400" i="1"/>
  <c r="E2400" i="1"/>
  <c r="D2400" i="1"/>
  <c r="J2399" i="1"/>
  <c r="I2399" i="1"/>
  <c r="H2399" i="1"/>
  <c r="G2399" i="1"/>
  <c r="F2399" i="1"/>
  <c r="E2399" i="1"/>
  <c r="D2399" i="1"/>
  <c r="J2398" i="1"/>
  <c r="I2398" i="1"/>
  <c r="H2398" i="1"/>
  <c r="G2398" i="1"/>
  <c r="F2398" i="1"/>
  <c r="E2398" i="1"/>
  <c r="D2398" i="1"/>
  <c r="J2397" i="1"/>
  <c r="I2397" i="1"/>
  <c r="H2397" i="1"/>
  <c r="G2397" i="1"/>
  <c r="F2397" i="1"/>
  <c r="E2397" i="1"/>
  <c r="D2397" i="1"/>
  <c r="J2396" i="1"/>
  <c r="I2396" i="1"/>
  <c r="H2396" i="1"/>
  <c r="G2396" i="1"/>
  <c r="F2396" i="1"/>
  <c r="E2396" i="1"/>
  <c r="D2396" i="1"/>
  <c r="J2395" i="1"/>
  <c r="I2395" i="1"/>
  <c r="H2395" i="1"/>
  <c r="G2395" i="1"/>
  <c r="F2395" i="1"/>
  <c r="E2395" i="1"/>
  <c r="D2395" i="1"/>
  <c r="J2394" i="1"/>
  <c r="I2394" i="1"/>
  <c r="H2394" i="1"/>
  <c r="G2394" i="1"/>
  <c r="F2394" i="1"/>
  <c r="E2394" i="1"/>
  <c r="D2394" i="1"/>
  <c r="J2393" i="1"/>
  <c r="H2393" i="1"/>
  <c r="F2393" i="1"/>
  <c r="D2393" i="1"/>
  <c r="J2392" i="1"/>
  <c r="I2392" i="1"/>
  <c r="H2392" i="1"/>
  <c r="G2392" i="1"/>
  <c r="F2392" i="1"/>
  <c r="E2392" i="1"/>
  <c r="D2392" i="1"/>
  <c r="J2391" i="1"/>
  <c r="H2391" i="1"/>
  <c r="F2391" i="1"/>
  <c r="D2391" i="1"/>
  <c r="J2390" i="1"/>
  <c r="H2390" i="1"/>
  <c r="F2390" i="1"/>
  <c r="D2390" i="1"/>
  <c r="J2389" i="1"/>
  <c r="I2389" i="1"/>
  <c r="H2389" i="1"/>
  <c r="G2389" i="1"/>
  <c r="F2389" i="1"/>
  <c r="E2389" i="1"/>
  <c r="D2389" i="1"/>
  <c r="J2388" i="1"/>
  <c r="I2388" i="1"/>
  <c r="H2388" i="1"/>
  <c r="G2388" i="1"/>
  <c r="F2388" i="1"/>
  <c r="E2388" i="1"/>
  <c r="D2388" i="1"/>
  <c r="J2387" i="1"/>
  <c r="I2387" i="1"/>
  <c r="H2387" i="1"/>
  <c r="G2387" i="1"/>
  <c r="F2387" i="1"/>
  <c r="E2387" i="1"/>
  <c r="D2387" i="1"/>
  <c r="J2386" i="1"/>
  <c r="I2386" i="1"/>
  <c r="H2386" i="1"/>
  <c r="G2386" i="1"/>
  <c r="F2386" i="1"/>
  <c r="E2386" i="1"/>
  <c r="D2386" i="1"/>
  <c r="J2385" i="1"/>
  <c r="I2385" i="1"/>
  <c r="H2385" i="1"/>
  <c r="G2385" i="1"/>
  <c r="F2385" i="1"/>
  <c r="E2385" i="1"/>
  <c r="D2385" i="1"/>
  <c r="J2384" i="1"/>
  <c r="I2384" i="1"/>
  <c r="H2384" i="1"/>
  <c r="G2384" i="1"/>
  <c r="F2384" i="1"/>
  <c r="E2384" i="1"/>
  <c r="D2384" i="1"/>
  <c r="J2383" i="1"/>
  <c r="I2383" i="1"/>
  <c r="H2383" i="1"/>
  <c r="G2383" i="1"/>
  <c r="F2383" i="1"/>
  <c r="E2383" i="1"/>
  <c r="D2383" i="1"/>
  <c r="J2382" i="1"/>
  <c r="I2382" i="1"/>
  <c r="H2382" i="1"/>
  <c r="G2382" i="1"/>
  <c r="F2382" i="1"/>
  <c r="E2382" i="1"/>
  <c r="D2382" i="1"/>
  <c r="J2381" i="1"/>
  <c r="I2381" i="1"/>
  <c r="H2381" i="1"/>
  <c r="G2381" i="1"/>
  <c r="F2381" i="1"/>
  <c r="E2381" i="1"/>
  <c r="D2381" i="1"/>
  <c r="J2380" i="1"/>
  <c r="I2380" i="1"/>
  <c r="H2380" i="1"/>
  <c r="G2380" i="1"/>
  <c r="F2380" i="1"/>
  <c r="E2380" i="1"/>
  <c r="D2380" i="1"/>
  <c r="J2379" i="1"/>
  <c r="I2379" i="1"/>
  <c r="H2379" i="1"/>
  <c r="G2379" i="1"/>
  <c r="F2379" i="1"/>
  <c r="E2379" i="1"/>
  <c r="D2379" i="1"/>
  <c r="J2378" i="1"/>
  <c r="I2378" i="1"/>
  <c r="H2378" i="1"/>
  <c r="G2378" i="1"/>
  <c r="F2378" i="1"/>
  <c r="E2378" i="1"/>
  <c r="D2378" i="1"/>
  <c r="J2377" i="1"/>
  <c r="I2377" i="1"/>
  <c r="H2377" i="1"/>
  <c r="G2377" i="1"/>
  <c r="F2377" i="1"/>
  <c r="E2377" i="1"/>
  <c r="D2377" i="1"/>
  <c r="J2376" i="1"/>
  <c r="I2376" i="1"/>
  <c r="H2376" i="1"/>
  <c r="G2376" i="1"/>
  <c r="F2376" i="1"/>
  <c r="E2376" i="1"/>
  <c r="D2376" i="1"/>
  <c r="J2375" i="1"/>
  <c r="I2375" i="1"/>
  <c r="H2375" i="1"/>
  <c r="G2375" i="1"/>
  <c r="F2375" i="1"/>
  <c r="E2375" i="1"/>
  <c r="D2375" i="1"/>
  <c r="J2374" i="1"/>
  <c r="I2374" i="1"/>
  <c r="H2374" i="1"/>
  <c r="G2374" i="1"/>
  <c r="F2374" i="1"/>
  <c r="E2374" i="1"/>
  <c r="D2374" i="1"/>
  <c r="J2373" i="1"/>
  <c r="I2373" i="1"/>
  <c r="H2373" i="1"/>
  <c r="G2373" i="1"/>
  <c r="F2373" i="1"/>
  <c r="E2373" i="1"/>
  <c r="D2373" i="1"/>
  <c r="J2372" i="1"/>
  <c r="I2372" i="1"/>
  <c r="H2372" i="1"/>
  <c r="G2372" i="1"/>
  <c r="F2372" i="1"/>
  <c r="E2372" i="1"/>
  <c r="D2372" i="1"/>
  <c r="J2371" i="1"/>
  <c r="I2371" i="1"/>
  <c r="H2371" i="1"/>
  <c r="G2371" i="1"/>
  <c r="F2371" i="1"/>
  <c r="E2371" i="1"/>
  <c r="D2371" i="1"/>
  <c r="J2370" i="1"/>
  <c r="I2370" i="1"/>
  <c r="H2370" i="1"/>
  <c r="G2370" i="1"/>
  <c r="F2370" i="1"/>
  <c r="E2370" i="1"/>
  <c r="D2370" i="1"/>
  <c r="J2369" i="1"/>
  <c r="I2369" i="1"/>
  <c r="H2369" i="1"/>
  <c r="G2369" i="1"/>
  <c r="F2369" i="1"/>
  <c r="E2369" i="1"/>
  <c r="D2369" i="1"/>
  <c r="J2368" i="1"/>
  <c r="I2368" i="1"/>
  <c r="H2368" i="1"/>
  <c r="G2368" i="1"/>
  <c r="F2368" i="1"/>
  <c r="E2368" i="1"/>
  <c r="D2368" i="1"/>
  <c r="J2367" i="1"/>
  <c r="I2367" i="1"/>
  <c r="H2367" i="1"/>
  <c r="G2367" i="1"/>
  <c r="F2367" i="1"/>
  <c r="E2367" i="1"/>
  <c r="D2367" i="1"/>
  <c r="J2366" i="1"/>
  <c r="I2366" i="1"/>
  <c r="H2366" i="1"/>
  <c r="G2366" i="1"/>
  <c r="F2366" i="1"/>
  <c r="E2366" i="1"/>
  <c r="D2366" i="1"/>
  <c r="J2365" i="1"/>
  <c r="I2365" i="1"/>
  <c r="H2365" i="1"/>
  <c r="G2365" i="1"/>
  <c r="F2365" i="1"/>
  <c r="E2365" i="1"/>
  <c r="D2365" i="1"/>
  <c r="J2364" i="1"/>
  <c r="I2364" i="1"/>
  <c r="H2364" i="1"/>
  <c r="G2364" i="1"/>
  <c r="F2364" i="1"/>
  <c r="E2364" i="1"/>
  <c r="D2364" i="1"/>
  <c r="J2363" i="1"/>
  <c r="I2363" i="1"/>
  <c r="H2363" i="1"/>
  <c r="G2363" i="1"/>
  <c r="F2363" i="1"/>
  <c r="E2363" i="1"/>
  <c r="D2363" i="1"/>
  <c r="J2362" i="1"/>
  <c r="I2362" i="1"/>
  <c r="H2362" i="1"/>
  <c r="G2362" i="1"/>
  <c r="F2362" i="1"/>
  <c r="E2362" i="1"/>
  <c r="D2362" i="1"/>
  <c r="J2361" i="1"/>
  <c r="I2361" i="1"/>
  <c r="H2361" i="1"/>
  <c r="G2361" i="1"/>
  <c r="F2361" i="1"/>
  <c r="E2361" i="1"/>
  <c r="D2361" i="1"/>
  <c r="J2360" i="1"/>
  <c r="I2360" i="1"/>
  <c r="H2360" i="1"/>
  <c r="G2360" i="1"/>
  <c r="F2360" i="1"/>
  <c r="E2360" i="1"/>
  <c r="D2360" i="1"/>
  <c r="J2359" i="1"/>
  <c r="I2359" i="1"/>
  <c r="H2359" i="1"/>
  <c r="G2359" i="1"/>
  <c r="F2359" i="1"/>
  <c r="E2359" i="1"/>
  <c r="D2359" i="1"/>
  <c r="J2358" i="1"/>
  <c r="I2358" i="1"/>
  <c r="H2358" i="1"/>
  <c r="G2358" i="1"/>
  <c r="F2358" i="1"/>
  <c r="E2358" i="1"/>
  <c r="D2358" i="1"/>
  <c r="J2357" i="1"/>
  <c r="I2357" i="1"/>
  <c r="H2357" i="1"/>
  <c r="G2357" i="1"/>
  <c r="F2357" i="1"/>
  <c r="E2357" i="1"/>
  <c r="D2357" i="1"/>
  <c r="J2356" i="1"/>
  <c r="I2356" i="1"/>
  <c r="H2356" i="1"/>
  <c r="G2356" i="1"/>
  <c r="F2356" i="1"/>
  <c r="E2356" i="1"/>
  <c r="D2356" i="1"/>
  <c r="J2355" i="1"/>
  <c r="H2355" i="1"/>
  <c r="F2355" i="1"/>
  <c r="D2355" i="1"/>
  <c r="J2354" i="1"/>
  <c r="I2354" i="1"/>
  <c r="H2354" i="1"/>
  <c r="G2354" i="1"/>
  <c r="F2354" i="1"/>
  <c r="E2354" i="1"/>
  <c r="D2354" i="1"/>
  <c r="J2353" i="1"/>
  <c r="I2353" i="1"/>
  <c r="H2353" i="1"/>
  <c r="G2353" i="1"/>
  <c r="F2353" i="1"/>
  <c r="E2353" i="1"/>
  <c r="D2353" i="1"/>
  <c r="J2352" i="1"/>
  <c r="I2352" i="1"/>
  <c r="H2352" i="1"/>
  <c r="G2352" i="1"/>
  <c r="F2352" i="1"/>
  <c r="E2352" i="1"/>
  <c r="D2352" i="1"/>
  <c r="J2351" i="1"/>
  <c r="I2351" i="1"/>
  <c r="H2351" i="1"/>
  <c r="G2351" i="1"/>
  <c r="F2351" i="1"/>
  <c r="E2351" i="1"/>
  <c r="D2351" i="1"/>
  <c r="J2350" i="1"/>
  <c r="I2350" i="1"/>
  <c r="H2350" i="1"/>
  <c r="G2350" i="1"/>
  <c r="F2350" i="1"/>
  <c r="E2350" i="1"/>
  <c r="D2350" i="1"/>
  <c r="J2349" i="1"/>
  <c r="I2349" i="1"/>
  <c r="H2349" i="1"/>
  <c r="G2349" i="1"/>
  <c r="F2349" i="1"/>
  <c r="E2349" i="1"/>
  <c r="D2349" i="1"/>
  <c r="J2348" i="1"/>
  <c r="I2348" i="1"/>
  <c r="H2348" i="1"/>
  <c r="G2348" i="1"/>
  <c r="F2348" i="1"/>
  <c r="E2348" i="1"/>
  <c r="D2348" i="1"/>
  <c r="J2347" i="1"/>
  <c r="I2347" i="1"/>
  <c r="H2347" i="1"/>
  <c r="G2347" i="1"/>
  <c r="F2347" i="1"/>
  <c r="E2347" i="1"/>
  <c r="D2347" i="1"/>
  <c r="J2346" i="1"/>
  <c r="I2346" i="1"/>
  <c r="H2346" i="1"/>
  <c r="G2346" i="1"/>
  <c r="F2346" i="1"/>
  <c r="E2346" i="1"/>
  <c r="D2346" i="1"/>
  <c r="J2345" i="1"/>
  <c r="I2345" i="1"/>
  <c r="H2345" i="1"/>
  <c r="G2345" i="1"/>
  <c r="F2345" i="1"/>
  <c r="E2345" i="1"/>
  <c r="D2345" i="1"/>
  <c r="J2344" i="1"/>
  <c r="I2344" i="1"/>
  <c r="H2344" i="1"/>
  <c r="G2344" i="1"/>
  <c r="F2344" i="1"/>
  <c r="E2344" i="1"/>
  <c r="D2344" i="1"/>
  <c r="J2343" i="1"/>
  <c r="I2343" i="1"/>
  <c r="H2343" i="1"/>
  <c r="G2343" i="1"/>
  <c r="F2343" i="1"/>
  <c r="E2343" i="1"/>
  <c r="D2343" i="1"/>
  <c r="J2342" i="1"/>
  <c r="I2342" i="1"/>
  <c r="H2342" i="1"/>
  <c r="G2342" i="1"/>
  <c r="F2342" i="1"/>
  <c r="E2342" i="1"/>
  <c r="D2342" i="1"/>
  <c r="J2341" i="1"/>
  <c r="I2341" i="1"/>
  <c r="H2341" i="1"/>
  <c r="G2341" i="1"/>
  <c r="F2341" i="1"/>
  <c r="E2341" i="1"/>
  <c r="D2341" i="1"/>
  <c r="J2340" i="1"/>
  <c r="I2340" i="1"/>
  <c r="H2340" i="1"/>
  <c r="G2340" i="1"/>
  <c r="F2340" i="1"/>
  <c r="E2340" i="1"/>
  <c r="D2340" i="1"/>
  <c r="J2339" i="1"/>
  <c r="I2339" i="1"/>
  <c r="H2339" i="1"/>
  <c r="G2339" i="1"/>
  <c r="F2339" i="1"/>
  <c r="E2339" i="1"/>
  <c r="D2339" i="1"/>
  <c r="J2338" i="1"/>
  <c r="I2338" i="1"/>
  <c r="H2338" i="1"/>
  <c r="G2338" i="1"/>
  <c r="F2338" i="1"/>
  <c r="E2338" i="1"/>
  <c r="D2338" i="1"/>
  <c r="J2337" i="1"/>
  <c r="I2337" i="1"/>
  <c r="H2337" i="1"/>
  <c r="G2337" i="1"/>
  <c r="F2337" i="1"/>
  <c r="E2337" i="1"/>
  <c r="D2337" i="1"/>
  <c r="J2336" i="1"/>
  <c r="I2336" i="1"/>
  <c r="H2336" i="1"/>
  <c r="G2336" i="1"/>
  <c r="F2336" i="1"/>
  <c r="E2336" i="1"/>
  <c r="D2336" i="1"/>
  <c r="J2335" i="1"/>
  <c r="I2335" i="1"/>
  <c r="H2335" i="1"/>
  <c r="G2335" i="1"/>
  <c r="F2335" i="1"/>
  <c r="E2335" i="1"/>
  <c r="D2335" i="1"/>
  <c r="J2334" i="1"/>
  <c r="I2334" i="1"/>
  <c r="H2334" i="1"/>
  <c r="G2334" i="1"/>
  <c r="F2334" i="1"/>
  <c r="E2334" i="1"/>
  <c r="D2334" i="1"/>
  <c r="J2333" i="1"/>
  <c r="I2333" i="1"/>
  <c r="H2333" i="1"/>
  <c r="G2333" i="1"/>
  <c r="F2333" i="1"/>
  <c r="E2333" i="1"/>
  <c r="D2333" i="1"/>
  <c r="J2332" i="1"/>
  <c r="I2332" i="1"/>
  <c r="H2332" i="1"/>
  <c r="G2332" i="1"/>
  <c r="F2332" i="1"/>
  <c r="E2332" i="1"/>
  <c r="D2332" i="1"/>
  <c r="J2331" i="1"/>
  <c r="I2331" i="1"/>
  <c r="H2331" i="1"/>
  <c r="G2331" i="1"/>
  <c r="F2331" i="1"/>
  <c r="E2331" i="1"/>
  <c r="D2331" i="1"/>
  <c r="J2330" i="1"/>
  <c r="I2330" i="1"/>
  <c r="H2330" i="1"/>
  <c r="G2330" i="1"/>
  <c r="F2330" i="1"/>
  <c r="E2330" i="1"/>
  <c r="D2330" i="1"/>
  <c r="J2329" i="1"/>
  <c r="H2329" i="1"/>
  <c r="F2329" i="1"/>
  <c r="D2329" i="1"/>
  <c r="J2328" i="1"/>
  <c r="I2328" i="1"/>
  <c r="H2328" i="1"/>
  <c r="G2328" i="1"/>
  <c r="F2328" i="1"/>
  <c r="E2328" i="1"/>
  <c r="D2328" i="1"/>
  <c r="J2327" i="1"/>
  <c r="I2327" i="1"/>
  <c r="H2327" i="1"/>
  <c r="G2327" i="1"/>
  <c r="F2327" i="1"/>
  <c r="E2327" i="1"/>
  <c r="D2327" i="1"/>
  <c r="J2326" i="1"/>
  <c r="I2326" i="1"/>
  <c r="H2326" i="1"/>
  <c r="G2326" i="1"/>
  <c r="F2326" i="1"/>
  <c r="E2326" i="1"/>
  <c r="D2326" i="1"/>
  <c r="J2325" i="1"/>
  <c r="H2325" i="1"/>
  <c r="F2325" i="1"/>
  <c r="D2325" i="1"/>
  <c r="J2324" i="1"/>
  <c r="I2324" i="1"/>
  <c r="H2324" i="1"/>
  <c r="G2324" i="1"/>
  <c r="F2324" i="1"/>
  <c r="E2324" i="1"/>
  <c r="D2324" i="1"/>
  <c r="J2323" i="1"/>
  <c r="I2323" i="1"/>
  <c r="H2323" i="1"/>
  <c r="G2323" i="1"/>
  <c r="F2323" i="1"/>
  <c r="E2323" i="1"/>
  <c r="D2323" i="1"/>
  <c r="J2322" i="1"/>
  <c r="I2322" i="1"/>
  <c r="H2322" i="1"/>
  <c r="G2322" i="1"/>
  <c r="F2322" i="1"/>
  <c r="E2322" i="1"/>
  <c r="D2322" i="1"/>
  <c r="J2321" i="1"/>
  <c r="I2321" i="1"/>
  <c r="H2321" i="1"/>
  <c r="G2321" i="1"/>
  <c r="F2321" i="1"/>
  <c r="E2321" i="1"/>
  <c r="D2321" i="1"/>
  <c r="J2320" i="1"/>
  <c r="I2320" i="1"/>
  <c r="H2320" i="1"/>
  <c r="G2320" i="1"/>
  <c r="F2320" i="1"/>
  <c r="E2320" i="1"/>
  <c r="D2320" i="1"/>
  <c r="J2319" i="1"/>
  <c r="I2319" i="1"/>
  <c r="H2319" i="1"/>
  <c r="G2319" i="1"/>
  <c r="F2319" i="1"/>
  <c r="E2319" i="1"/>
  <c r="D2319" i="1"/>
  <c r="J2318" i="1"/>
  <c r="I2318" i="1"/>
  <c r="H2318" i="1"/>
  <c r="G2318" i="1"/>
  <c r="F2318" i="1"/>
  <c r="E2318" i="1"/>
  <c r="D2318" i="1"/>
  <c r="J2317" i="1"/>
  <c r="I2317" i="1"/>
  <c r="H2317" i="1"/>
  <c r="G2317" i="1"/>
  <c r="F2317" i="1"/>
  <c r="E2317" i="1"/>
  <c r="D2317" i="1"/>
  <c r="J2316" i="1"/>
  <c r="I2316" i="1"/>
  <c r="H2316" i="1"/>
  <c r="G2316" i="1"/>
  <c r="F2316" i="1"/>
  <c r="E2316" i="1"/>
  <c r="D2316" i="1"/>
  <c r="J2315" i="1"/>
  <c r="I2315" i="1"/>
  <c r="H2315" i="1"/>
  <c r="G2315" i="1"/>
  <c r="F2315" i="1"/>
  <c r="E2315" i="1"/>
  <c r="D2315" i="1"/>
  <c r="J2314" i="1"/>
  <c r="I2314" i="1"/>
  <c r="H2314" i="1"/>
  <c r="G2314" i="1"/>
  <c r="F2314" i="1"/>
  <c r="E2314" i="1"/>
  <c r="D2314" i="1"/>
  <c r="J2313" i="1"/>
  <c r="I2313" i="1"/>
  <c r="H2313" i="1"/>
  <c r="G2313" i="1"/>
  <c r="F2313" i="1"/>
  <c r="E2313" i="1"/>
  <c r="D2313" i="1"/>
  <c r="J2312" i="1"/>
  <c r="I2312" i="1"/>
  <c r="H2312" i="1"/>
  <c r="G2312" i="1"/>
  <c r="F2312" i="1"/>
  <c r="E2312" i="1"/>
  <c r="D2312" i="1"/>
  <c r="J2311" i="1"/>
  <c r="I2311" i="1"/>
  <c r="H2311" i="1"/>
  <c r="G2311" i="1"/>
  <c r="F2311" i="1"/>
  <c r="E2311" i="1"/>
  <c r="D2311" i="1"/>
  <c r="J2310" i="1"/>
  <c r="I2310" i="1"/>
  <c r="H2310" i="1"/>
  <c r="G2310" i="1"/>
  <c r="F2310" i="1"/>
  <c r="E2310" i="1"/>
  <c r="D2310" i="1"/>
  <c r="J2309" i="1"/>
  <c r="I2309" i="1"/>
  <c r="H2309" i="1"/>
  <c r="G2309" i="1"/>
  <c r="F2309" i="1"/>
  <c r="E2309" i="1"/>
  <c r="D2309" i="1"/>
  <c r="J2308" i="1"/>
  <c r="I2308" i="1"/>
  <c r="H2308" i="1"/>
  <c r="G2308" i="1"/>
  <c r="F2308" i="1"/>
  <c r="E2308" i="1"/>
  <c r="D2308" i="1"/>
  <c r="J2307" i="1"/>
  <c r="I2307" i="1"/>
  <c r="H2307" i="1"/>
  <c r="G2307" i="1"/>
  <c r="F2307" i="1"/>
  <c r="E2307" i="1"/>
  <c r="D2307" i="1"/>
  <c r="J2306" i="1"/>
  <c r="I2306" i="1"/>
  <c r="H2306" i="1"/>
  <c r="G2306" i="1"/>
  <c r="F2306" i="1"/>
  <c r="E2306" i="1"/>
  <c r="D2306" i="1"/>
  <c r="J2305" i="1"/>
  <c r="I2305" i="1"/>
  <c r="H2305" i="1"/>
  <c r="G2305" i="1"/>
  <c r="F2305" i="1"/>
  <c r="E2305" i="1"/>
  <c r="D2305" i="1"/>
  <c r="J2304" i="1"/>
  <c r="I2304" i="1"/>
  <c r="H2304" i="1"/>
  <c r="G2304" i="1"/>
  <c r="F2304" i="1"/>
  <c r="E2304" i="1"/>
  <c r="D2304" i="1"/>
  <c r="J2303" i="1"/>
  <c r="I2303" i="1"/>
  <c r="H2303" i="1"/>
  <c r="G2303" i="1"/>
  <c r="F2303" i="1"/>
  <c r="E2303" i="1"/>
  <c r="D2303" i="1"/>
  <c r="J2302" i="1"/>
  <c r="I2302" i="1"/>
  <c r="H2302" i="1"/>
  <c r="G2302" i="1"/>
  <c r="F2302" i="1"/>
  <c r="E2302" i="1"/>
  <c r="D2302" i="1"/>
  <c r="J2301" i="1"/>
  <c r="I2301" i="1"/>
  <c r="H2301" i="1"/>
  <c r="G2301" i="1"/>
  <c r="F2301" i="1"/>
  <c r="E2301" i="1"/>
  <c r="D2301" i="1"/>
  <c r="J2300" i="1"/>
  <c r="I2300" i="1"/>
  <c r="H2300" i="1"/>
  <c r="G2300" i="1"/>
  <c r="F2300" i="1"/>
  <c r="E2300" i="1"/>
  <c r="D2300" i="1"/>
  <c r="J2299" i="1"/>
  <c r="I2299" i="1"/>
  <c r="H2299" i="1"/>
  <c r="G2299" i="1"/>
  <c r="F2299" i="1"/>
  <c r="E2299" i="1"/>
  <c r="D2299" i="1"/>
  <c r="J2298" i="1"/>
  <c r="I2298" i="1"/>
  <c r="H2298" i="1"/>
  <c r="G2298" i="1"/>
  <c r="F2298" i="1"/>
  <c r="E2298" i="1"/>
  <c r="D2298" i="1"/>
  <c r="J2297" i="1"/>
  <c r="I2297" i="1"/>
  <c r="H2297" i="1"/>
  <c r="G2297" i="1"/>
  <c r="F2297" i="1"/>
  <c r="E2297" i="1"/>
  <c r="D2297" i="1"/>
  <c r="J2296" i="1"/>
  <c r="I2296" i="1"/>
  <c r="H2296" i="1"/>
  <c r="G2296" i="1"/>
  <c r="F2296" i="1"/>
  <c r="E2296" i="1"/>
  <c r="D2296" i="1"/>
  <c r="J2295" i="1"/>
  <c r="I2295" i="1"/>
  <c r="H2295" i="1"/>
  <c r="G2295" i="1"/>
  <c r="F2295" i="1"/>
  <c r="E2295" i="1"/>
  <c r="D2295" i="1"/>
  <c r="J2294" i="1"/>
  <c r="I2294" i="1"/>
  <c r="H2294" i="1"/>
  <c r="G2294" i="1"/>
  <c r="F2294" i="1"/>
  <c r="E2294" i="1"/>
  <c r="D2294" i="1"/>
  <c r="J2293" i="1"/>
  <c r="I2293" i="1"/>
  <c r="H2293" i="1"/>
  <c r="G2293" i="1"/>
  <c r="F2293" i="1"/>
  <c r="E2293" i="1"/>
  <c r="D2293" i="1"/>
  <c r="J2292" i="1"/>
  <c r="I2292" i="1"/>
  <c r="H2292" i="1"/>
  <c r="G2292" i="1"/>
  <c r="F2292" i="1"/>
  <c r="E2292" i="1"/>
  <c r="D2292" i="1"/>
  <c r="J2291" i="1"/>
  <c r="I2291" i="1"/>
  <c r="H2291" i="1"/>
  <c r="G2291" i="1"/>
  <c r="F2291" i="1"/>
  <c r="E2291" i="1"/>
  <c r="D2291" i="1"/>
  <c r="J2290" i="1"/>
  <c r="I2290" i="1"/>
  <c r="H2290" i="1"/>
  <c r="G2290" i="1"/>
  <c r="F2290" i="1"/>
  <c r="E2290" i="1"/>
  <c r="D2290" i="1"/>
  <c r="J2289" i="1"/>
  <c r="I2289" i="1"/>
  <c r="H2289" i="1"/>
  <c r="G2289" i="1"/>
  <c r="F2289" i="1"/>
  <c r="E2289" i="1"/>
  <c r="D2289" i="1"/>
  <c r="J2288" i="1"/>
  <c r="I2288" i="1"/>
  <c r="H2288" i="1"/>
  <c r="G2288" i="1"/>
  <c r="F2288" i="1"/>
  <c r="E2288" i="1"/>
  <c r="D2288" i="1"/>
  <c r="J2287" i="1"/>
  <c r="I2287" i="1"/>
  <c r="H2287" i="1"/>
  <c r="G2287" i="1"/>
  <c r="F2287" i="1"/>
  <c r="E2287" i="1"/>
  <c r="D2287" i="1"/>
  <c r="J2286" i="1"/>
  <c r="I2286" i="1"/>
  <c r="H2286" i="1"/>
  <c r="G2286" i="1"/>
  <c r="F2286" i="1"/>
  <c r="E2286" i="1"/>
  <c r="D2286" i="1"/>
  <c r="J2285" i="1"/>
  <c r="I2285" i="1"/>
  <c r="H2285" i="1"/>
  <c r="G2285" i="1"/>
  <c r="F2285" i="1"/>
  <c r="E2285" i="1"/>
  <c r="D2285" i="1"/>
  <c r="J2284" i="1"/>
  <c r="I2284" i="1"/>
  <c r="H2284" i="1"/>
  <c r="G2284" i="1"/>
  <c r="F2284" i="1"/>
  <c r="E2284" i="1"/>
  <c r="D2284" i="1"/>
  <c r="J2283" i="1"/>
  <c r="I2283" i="1"/>
  <c r="H2283" i="1"/>
  <c r="G2283" i="1"/>
  <c r="F2283" i="1"/>
  <c r="E2283" i="1"/>
  <c r="D2283" i="1"/>
  <c r="J2282" i="1"/>
  <c r="H2282" i="1"/>
  <c r="F2282" i="1"/>
  <c r="D2282" i="1"/>
  <c r="J2281" i="1"/>
  <c r="I2281" i="1"/>
  <c r="H2281" i="1"/>
  <c r="G2281" i="1"/>
  <c r="F2281" i="1"/>
  <c r="E2281" i="1"/>
  <c r="D2281" i="1"/>
  <c r="J2280" i="1"/>
  <c r="H2280" i="1"/>
  <c r="F2280" i="1"/>
  <c r="D2280" i="1"/>
  <c r="J2279" i="1"/>
  <c r="I2279" i="1"/>
  <c r="H2279" i="1"/>
  <c r="G2279" i="1"/>
  <c r="F2279" i="1"/>
  <c r="E2279" i="1"/>
  <c r="D2279" i="1"/>
  <c r="J2278" i="1"/>
  <c r="I2278" i="1"/>
  <c r="H2278" i="1"/>
  <c r="G2278" i="1"/>
  <c r="F2278" i="1"/>
  <c r="E2278" i="1"/>
  <c r="D2278" i="1"/>
  <c r="J2277" i="1"/>
  <c r="I2277" i="1"/>
  <c r="H2277" i="1"/>
  <c r="G2277" i="1"/>
  <c r="F2277" i="1"/>
  <c r="E2277" i="1"/>
  <c r="D2277" i="1"/>
  <c r="J2276" i="1"/>
  <c r="H2276" i="1"/>
  <c r="F2276" i="1"/>
  <c r="D2276" i="1"/>
  <c r="J2275" i="1"/>
  <c r="I2275" i="1"/>
  <c r="H2275" i="1"/>
  <c r="G2275" i="1"/>
  <c r="F2275" i="1"/>
  <c r="E2275" i="1"/>
  <c r="D2275" i="1"/>
  <c r="J2274" i="1"/>
  <c r="I2274" i="1"/>
  <c r="H2274" i="1"/>
  <c r="G2274" i="1"/>
  <c r="F2274" i="1"/>
  <c r="E2274" i="1"/>
  <c r="D2274" i="1"/>
  <c r="J2273" i="1"/>
  <c r="I2273" i="1"/>
  <c r="H2273" i="1"/>
  <c r="G2273" i="1"/>
  <c r="F2273" i="1"/>
  <c r="E2273" i="1"/>
  <c r="D2273" i="1"/>
  <c r="J2272" i="1"/>
  <c r="I2272" i="1"/>
  <c r="H2272" i="1"/>
  <c r="G2272" i="1"/>
  <c r="F2272" i="1"/>
  <c r="E2272" i="1"/>
  <c r="D2272" i="1"/>
  <c r="J2271" i="1"/>
  <c r="I2271" i="1"/>
  <c r="H2271" i="1"/>
  <c r="G2271" i="1"/>
  <c r="F2271" i="1"/>
  <c r="E2271" i="1"/>
  <c r="D2271" i="1"/>
  <c r="J2270" i="1"/>
  <c r="I2270" i="1"/>
  <c r="H2270" i="1"/>
  <c r="G2270" i="1"/>
  <c r="F2270" i="1"/>
  <c r="E2270" i="1"/>
  <c r="D2270" i="1"/>
  <c r="J2269" i="1"/>
  <c r="I2269" i="1"/>
  <c r="H2269" i="1"/>
  <c r="G2269" i="1"/>
  <c r="F2269" i="1"/>
  <c r="E2269" i="1"/>
  <c r="D2269" i="1"/>
  <c r="J2268" i="1"/>
  <c r="I2268" i="1"/>
  <c r="H2268" i="1"/>
  <c r="G2268" i="1"/>
  <c r="F2268" i="1"/>
  <c r="E2268" i="1"/>
  <c r="D2268" i="1"/>
  <c r="J2267" i="1"/>
  <c r="I2267" i="1"/>
  <c r="H2267" i="1"/>
  <c r="G2267" i="1"/>
  <c r="F2267" i="1"/>
  <c r="E2267" i="1"/>
  <c r="D2267" i="1"/>
  <c r="J2266" i="1"/>
  <c r="I2266" i="1"/>
  <c r="H2266" i="1"/>
  <c r="G2266" i="1"/>
  <c r="F2266" i="1"/>
  <c r="E2266" i="1"/>
  <c r="D2266" i="1"/>
  <c r="J2265" i="1"/>
  <c r="I2265" i="1"/>
  <c r="H2265" i="1"/>
  <c r="G2265" i="1"/>
  <c r="F2265" i="1"/>
  <c r="E2265" i="1"/>
  <c r="D2265" i="1"/>
  <c r="J2264" i="1"/>
  <c r="I2264" i="1"/>
  <c r="H2264" i="1"/>
  <c r="G2264" i="1"/>
  <c r="F2264" i="1"/>
  <c r="E2264" i="1"/>
  <c r="D2264" i="1"/>
  <c r="J2263" i="1"/>
  <c r="I2263" i="1"/>
  <c r="H2263" i="1"/>
  <c r="G2263" i="1"/>
  <c r="F2263" i="1"/>
  <c r="E2263" i="1"/>
  <c r="D2263" i="1"/>
  <c r="J2262" i="1"/>
  <c r="I2262" i="1"/>
  <c r="H2262" i="1"/>
  <c r="G2262" i="1"/>
  <c r="F2262" i="1"/>
  <c r="E2262" i="1"/>
  <c r="D2262" i="1"/>
  <c r="J2261" i="1"/>
  <c r="I2261" i="1"/>
  <c r="H2261" i="1"/>
  <c r="G2261" i="1"/>
  <c r="F2261" i="1"/>
  <c r="E2261" i="1"/>
  <c r="D2261" i="1"/>
  <c r="J2260" i="1"/>
  <c r="I2260" i="1"/>
  <c r="H2260" i="1"/>
  <c r="G2260" i="1"/>
  <c r="F2260" i="1"/>
  <c r="E2260" i="1"/>
  <c r="D2260" i="1"/>
  <c r="J2259" i="1"/>
  <c r="I2259" i="1"/>
  <c r="H2259" i="1"/>
  <c r="G2259" i="1"/>
  <c r="F2259" i="1"/>
  <c r="E2259" i="1"/>
  <c r="D2259" i="1"/>
  <c r="J2258" i="1"/>
  <c r="I2258" i="1"/>
  <c r="H2258" i="1"/>
  <c r="G2258" i="1"/>
  <c r="F2258" i="1"/>
  <c r="E2258" i="1"/>
  <c r="D2258" i="1"/>
  <c r="J2257" i="1"/>
  <c r="I2257" i="1"/>
  <c r="H2257" i="1"/>
  <c r="G2257" i="1"/>
  <c r="F2257" i="1"/>
  <c r="E2257" i="1"/>
  <c r="D2257" i="1"/>
  <c r="J2256" i="1"/>
  <c r="I2256" i="1"/>
  <c r="H2256" i="1"/>
  <c r="G2256" i="1"/>
  <c r="F2256" i="1"/>
  <c r="E2256" i="1"/>
  <c r="D2256" i="1"/>
  <c r="J2255" i="1"/>
  <c r="I2255" i="1"/>
  <c r="H2255" i="1"/>
  <c r="G2255" i="1"/>
  <c r="F2255" i="1"/>
  <c r="E2255" i="1"/>
  <c r="D2255" i="1"/>
  <c r="J2254" i="1"/>
  <c r="I2254" i="1"/>
  <c r="H2254" i="1"/>
  <c r="G2254" i="1"/>
  <c r="F2254" i="1"/>
  <c r="E2254" i="1"/>
  <c r="D2254" i="1"/>
  <c r="J2253" i="1"/>
  <c r="H2253" i="1"/>
  <c r="F2253" i="1"/>
  <c r="D2253" i="1"/>
  <c r="J2252" i="1"/>
  <c r="I2252" i="1"/>
  <c r="H2252" i="1"/>
  <c r="G2252" i="1"/>
  <c r="F2252" i="1"/>
  <c r="E2252" i="1"/>
  <c r="D2252" i="1"/>
  <c r="J2251" i="1"/>
  <c r="I2251" i="1"/>
  <c r="H2251" i="1"/>
  <c r="G2251" i="1"/>
  <c r="F2251" i="1"/>
  <c r="E2251" i="1"/>
  <c r="D2251" i="1"/>
  <c r="J2250" i="1"/>
  <c r="H2250" i="1"/>
  <c r="F2250" i="1"/>
  <c r="D2250" i="1"/>
  <c r="J2249" i="1"/>
  <c r="I2249" i="1"/>
  <c r="H2249" i="1"/>
  <c r="G2249" i="1"/>
  <c r="F2249" i="1"/>
  <c r="E2249" i="1"/>
  <c r="D2249" i="1"/>
  <c r="J2248" i="1"/>
  <c r="I2248" i="1"/>
  <c r="H2248" i="1"/>
  <c r="G2248" i="1"/>
  <c r="F2248" i="1"/>
  <c r="E2248" i="1"/>
  <c r="D2248" i="1"/>
  <c r="J2247" i="1"/>
  <c r="I2247" i="1"/>
  <c r="H2247" i="1"/>
  <c r="G2247" i="1"/>
  <c r="F2247" i="1"/>
  <c r="E2247" i="1"/>
  <c r="D2247" i="1"/>
  <c r="J2246" i="1"/>
  <c r="I2246" i="1"/>
  <c r="H2246" i="1"/>
  <c r="G2246" i="1"/>
  <c r="F2246" i="1"/>
  <c r="E2246" i="1"/>
  <c r="D2246" i="1"/>
  <c r="J2245" i="1"/>
  <c r="I2245" i="1"/>
  <c r="H2245" i="1"/>
  <c r="G2245" i="1"/>
  <c r="F2245" i="1"/>
  <c r="E2245" i="1"/>
  <c r="D2245" i="1"/>
  <c r="J2244" i="1"/>
  <c r="I2244" i="1"/>
  <c r="H2244" i="1"/>
  <c r="G2244" i="1"/>
  <c r="F2244" i="1"/>
  <c r="E2244" i="1"/>
  <c r="D2244" i="1"/>
  <c r="J2243" i="1"/>
  <c r="I2243" i="1"/>
  <c r="H2243" i="1"/>
  <c r="G2243" i="1"/>
  <c r="F2243" i="1"/>
  <c r="E2243" i="1"/>
  <c r="D2243" i="1"/>
  <c r="J2242" i="1"/>
  <c r="I2242" i="1"/>
  <c r="H2242" i="1"/>
  <c r="G2242" i="1"/>
  <c r="F2242" i="1"/>
  <c r="E2242" i="1"/>
  <c r="D2242" i="1"/>
  <c r="J2241" i="1"/>
  <c r="I2241" i="1"/>
  <c r="H2241" i="1"/>
  <c r="G2241" i="1"/>
  <c r="F2241" i="1"/>
  <c r="E2241" i="1"/>
  <c r="D2241" i="1"/>
  <c r="J2240" i="1"/>
  <c r="I2240" i="1"/>
  <c r="H2240" i="1"/>
  <c r="G2240" i="1"/>
  <c r="F2240" i="1"/>
  <c r="E2240" i="1"/>
  <c r="D2240" i="1"/>
  <c r="J2239" i="1"/>
  <c r="I2239" i="1"/>
  <c r="H2239" i="1"/>
  <c r="G2239" i="1"/>
  <c r="F2239" i="1"/>
  <c r="E2239" i="1"/>
  <c r="D2239" i="1"/>
  <c r="J2238" i="1"/>
  <c r="I2238" i="1"/>
  <c r="H2238" i="1"/>
  <c r="G2238" i="1"/>
  <c r="F2238" i="1"/>
  <c r="E2238" i="1"/>
  <c r="D2238" i="1"/>
  <c r="J2237" i="1"/>
  <c r="I2237" i="1"/>
  <c r="H2237" i="1"/>
  <c r="G2237" i="1"/>
  <c r="F2237" i="1"/>
  <c r="E2237" i="1"/>
  <c r="D2237" i="1"/>
  <c r="J2236" i="1"/>
  <c r="I2236" i="1"/>
  <c r="H2236" i="1"/>
  <c r="G2236" i="1"/>
  <c r="F2236" i="1"/>
  <c r="E2236" i="1"/>
  <c r="D2236" i="1"/>
  <c r="J2235" i="1"/>
  <c r="I2235" i="1"/>
  <c r="H2235" i="1"/>
  <c r="G2235" i="1"/>
  <c r="F2235" i="1"/>
  <c r="E2235" i="1"/>
  <c r="D2235" i="1"/>
  <c r="J2234" i="1"/>
  <c r="I2234" i="1"/>
  <c r="H2234" i="1"/>
  <c r="G2234" i="1"/>
  <c r="F2234" i="1"/>
  <c r="E2234" i="1"/>
  <c r="D2234" i="1"/>
  <c r="J2233" i="1"/>
  <c r="I2233" i="1"/>
  <c r="H2233" i="1"/>
  <c r="G2233" i="1"/>
  <c r="F2233" i="1"/>
  <c r="E2233" i="1"/>
  <c r="D2233" i="1"/>
  <c r="J2232" i="1"/>
  <c r="I2232" i="1"/>
  <c r="H2232" i="1"/>
  <c r="G2232" i="1"/>
  <c r="F2232" i="1"/>
  <c r="E2232" i="1"/>
  <c r="D2232" i="1"/>
  <c r="J2231" i="1"/>
  <c r="H2231" i="1"/>
  <c r="F2231" i="1"/>
  <c r="D2231" i="1"/>
  <c r="J2230" i="1"/>
  <c r="I2230" i="1"/>
  <c r="H2230" i="1"/>
  <c r="G2230" i="1"/>
  <c r="F2230" i="1"/>
  <c r="E2230" i="1"/>
  <c r="D2230" i="1"/>
  <c r="J2229" i="1"/>
  <c r="I2229" i="1"/>
  <c r="H2229" i="1"/>
  <c r="G2229" i="1"/>
  <c r="F2229" i="1"/>
  <c r="E2229" i="1"/>
  <c r="D2229" i="1"/>
  <c r="J2228" i="1"/>
  <c r="I2228" i="1"/>
  <c r="H2228" i="1"/>
  <c r="G2228" i="1"/>
  <c r="F2228" i="1"/>
  <c r="E2228" i="1"/>
  <c r="D2228" i="1"/>
  <c r="J2227" i="1"/>
  <c r="H2227" i="1"/>
  <c r="F2227" i="1"/>
  <c r="D2227" i="1"/>
  <c r="J2226" i="1"/>
  <c r="I2226" i="1"/>
  <c r="H2226" i="1"/>
  <c r="G2226" i="1"/>
  <c r="F2226" i="1"/>
  <c r="E2226" i="1"/>
  <c r="D2226" i="1"/>
  <c r="J2225" i="1"/>
  <c r="H2225" i="1"/>
  <c r="F2225" i="1"/>
  <c r="D2225" i="1"/>
  <c r="J2224" i="1"/>
  <c r="I2224" i="1"/>
  <c r="H2224" i="1"/>
  <c r="G2224" i="1"/>
  <c r="F2224" i="1"/>
  <c r="E2224" i="1"/>
  <c r="D2224" i="1"/>
  <c r="J2223" i="1"/>
  <c r="I2223" i="1"/>
  <c r="H2223" i="1"/>
  <c r="G2223" i="1"/>
  <c r="F2223" i="1"/>
  <c r="E2223" i="1"/>
  <c r="D2223" i="1"/>
  <c r="J2222" i="1"/>
  <c r="I2222" i="1"/>
  <c r="H2222" i="1"/>
  <c r="G2222" i="1"/>
  <c r="F2222" i="1"/>
  <c r="E2222" i="1"/>
  <c r="D2222" i="1"/>
  <c r="J2221" i="1"/>
  <c r="I2221" i="1"/>
  <c r="H2221" i="1"/>
  <c r="G2221" i="1"/>
  <c r="F2221" i="1"/>
  <c r="E2221" i="1"/>
  <c r="D2221" i="1"/>
  <c r="J2220" i="1"/>
  <c r="I2220" i="1"/>
  <c r="H2220" i="1"/>
  <c r="G2220" i="1"/>
  <c r="F2220" i="1"/>
  <c r="E2220" i="1"/>
  <c r="D2220" i="1"/>
  <c r="J2219" i="1"/>
  <c r="I2219" i="1"/>
  <c r="H2219" i="1"/>
  <c r="G2219" i="1"/>
  <c r="F2219" i="1"/>
  <c r="E2219" i="1"/>
  <c r="D2219" i="1"/>
  <c r="J2218" i="1"/>
  <c r="H2218" i="1"/>
  <c r="F2218" i="1"/>
  <c r="D2218" i="1"/>
  <c r="J2217" i="1"/>
  <c r="I2217" i="1"/>
  <c r="H2217" i="1"/>
  <c r="G2217" i="1"/>
  <c r="F2217" i="1"/>
  <c r="E2217" i="1"/>
  <c r="D2217" i="1"/>
  <c r="J2216" i="1"/>
  <c r="I2216" i="1"/>
  <c r="H2216" i="1"/>
  <c r="G2216" i="1"/>
  <c r="F2216" i="1"/>
  <c r="E2216" i="1"/>
  <c r="D2216" i="1"/>
  <c r="J2215" i="1"/>
  <c r="I2215" i="1"/>
  <c r="H2215" i="1"/>
  <c r="G2215" i="1"/>
  <c r="F2215" i="1"/>
  <c r="E2215" i="1"/>
  <c r="D2215" i="1"/>
  <c r="J2214" i="1"/>
  <c r="I2214" i="1"/>
  <c r="H2214" i="1"/>
  <c r="G2214" i="1"/>
  <c r="F2214" i="1"/>
  <c r="E2214" i="1"/>
  <c r="D2214" i="1"/>
  <c r="J2213" i="1"/>
  <c r="I2213" i="1"/>
  <c r="H2213" i="1"/>
  <c r="G2213" i="1"/>
  <c r="F2213" i="1"/>
  <c r="E2213" i="1"/>
  <c r="D2213" i="1"/>
  <c r="J2212" i="1"/>
  <c r="H2212" i="1"/>
  <c r="F2212" i="1"/>
  <c r="D2212" i="1"/>
  <c r="J2211" i="1"/>
  <c r="I2211" i="1"/>
  <c r="H2211" i="1"/>
  <c r="G2211" i="1"/>
  <c r="F2211" i="1"/>
  <c r="E2211" i="1"/>
  <c r="D2211" i="1"/>
  <c r="J2210" i="1"/>
  <c r="I2210" i="1"/>
  <c r="H2210" i="1"/>
  <c r="G2210" i="1"/>
  <c r="F2210" i="1"/>
  <c r="E2210" i="1"/>
  <c r="D2210" i="1"/>
  <c r="J2209" i="1"/>
  <c r="I2209" i="1"/>
  <c r="H2209" i="1"/>
  <c r="G2209" i="1"/>
  <c r="F2209" i="1"/>
  <c r="E2209" i="1"/>
  <c r="D2209" i="1"/>
  <c r="J2208" i="1"/>
  <c r="H2208" i="1"/>
  <c r="F2208" i="1"/>
  <c r="D2208" i="1"/>
  <c r="J2207" i="1"/>
  <c r="I2207" i="1"/>
  <c r="H2207" i="1"/>
  <c r="G2207" i="1"/>
  <c r="F2207" i="1"/>
  <c r="E2207" i="1"/>
  <c r="D2207" i="1"/>
  <c r="J2206" i="1"/>
  <c r="I2206" i="1"/>
  <c r="H2206" i="1"/>
  <c r="G2206" i="1"/>
  <c r="F2206" i="1"/>
  <c r="E2206" i="1"/>
  <c r="D2206" i="1"/>
  <c r="J2205" i="1"/>
  <c r="I2205" i="1"/>
  <c r="H2205" i="1"/>
  <c r="G2205" i="1"/>
  <c r="F2205" i="1"/>
  <c r="E2205" i="1"/>
  <c r="D2205" i="1"/>
  <c r="J2204" i="1"/>
  <c r="I2204" i="1"/>
  <c r="H2204" i="1"/>
  <c r="G2204" i="1"/>
  <c r="F2204" i="1"/>
  <c r="E2204" i="1"/>
  <c r="D2204" i="1"/>
  <c r="J2203" i="1"/>
  <c r="I2203" i="1"/>
  <c r="H2203" i="1"/>
  <c r="G2203" i="1"/>
  <c r="F2203" i="1"/>
  <c r="E2203" i="1"/>
  <c r="D2203" i="1"/>
  <c r="J2202" i="1"/>
  <c r="H2202" i="1"/>
  <c r="F2202" i="1"/>
  <c r="D2202" i="1"/>
  <c r="J2201" i="1"/>
  <c r="I2201" i="1"/>
  <c r="H2201" i="1"/>
  <c r="G2201" i="1"/>
  <c r="F2201" i="1"/>
  <c r="E2201" i="1"/>
  <c r="D2201" i="1"/>
  <c r="J2200" i="1"/>
  <c r="I2200" i="1"/>
  <c r="H2200" i="1"/>
  <c r="G2200" i="1"/>
  <c r="F2200" i="1"/>
  <c r="E2200" i="1"/>
  <c r="D2200" i="1"/>
  <c r="J2199" i="1"/>
  <c r="I2199" i="1"/>
  <c r="H2199" i="1"/>
  <c r="G2199" i="1"/>
  <c r="F2199" i="1"/>
  <c r="E2199" i="1"/>
  <c r="D2199" i="1"/>
  <c r="J2198" i="1"/>
  <c r="I2198" i="1"/>
  <c r="H2198" i="1"/>
  <c r="G2198" i="1"/>
  <c r="F2198" i="1"/>
  <c r="E2198" i="1"/>
  <c r="D2198" i="1"/>
  <c r="J2197" i="1"/>
  <c r="I2197" i="1"/>
  <c r="H2197" i="1"/>
  <c r="G2197" i="1"/>
  <c r="F2197" i="1"/>
  <c r="E2197" i="1"/>
  <c r="D2197" i="1"/>
  <c r="J2196" i="1"/>
  <c r="I2196" i="1"/>
  <c r="H2196" i="1"/>
  <c r="G2196" i="1"/>
  <c r="F2196" i="1"/>
  <c r="E2196" i="1"/>
  <c r="D2196" i="1"/>
  <c r="J2195" i="1"/>
  <c r="I2195" i="1"/>
  <c r="H2195" i="1"/>
  <c r="G2195" i="1"/>
  <c r="F2195" i="1"/>
  <c r="E2195" i="1"/>
  <c r="D2195" i="1"/>
  <c r="J2194" i="1"/>
  <c r="I2194" i="1"/>
  <c r="H2194" i="1"/>
  <c r="G2194" i="1"/>
  <c r="F2194" i="1"/>
  <c r="E2194" i="1"/>
  <c r="D2194" i="1"/>
  <c r="J2193" i="1"/>
  <c r="I2193" i="1"/>
  <c r="H2193" i="1"/>
  <c r="G2193" i="1"/>
  <c r="F2193" i="1"/>
  <c r="E2193" i="1"/>
  <c r="D2193" i="1"/>
  <c r="J2192" i="1"/>
  <c r="I2192" i="1"/>
  <c r="H2192" i="1"/>
  <c r="G2192" i="1"/>
  <c r="F2192" i="1"/>
  <c r="E2192" i="1"/>
  <c r="D2192" i="1"/>
  <c r="J2191" i="1"/>
  <c r="I2191" i="1"/>
  <c r="H2191" i="1"/>
  <c r="G2191" i="1"/>
  <c r="F2191" i="1"/>
  <c r="E2191" i="1"/>
  <c r="D2191" i="1"/>
  <c r="J2190" i="1"/>
  <c r="I2190" i="1"/>
  <c r="H2190" i="1"/>
  <c r="G2190" i="1"/>
  <c r="F2190" i="1"/>
  <c r="E2190" i="1"/>
  <c r="D2190" i="1"/>
  <c r="J2189" i="1"/>
  <c r="I2189" i="1"/>
  <c r="H2189" i="1"/>
  <c r="G2189" i="1"/>
  <c r="F2189" i="1"/>
  <c r="E2189" i="1"/>
  <c r="D2189" i="1"/>
  <c r="J2188" i="1"/>
  <c r="I2188" i="1"/>
  <c r="H2188" i="1"/>
  <c r="G2188" i="1"/>
  <c r="F2188" i="1"/>
  <c r="E2188" i="1"/>
  <c r="D2188" i="1"/>
  <c r="J2187" i="1"/>
  <c r="I2187" i="1"/>
  <c r="H2187" i="1"/>
  <c r="G2187" i="1"/>
  <c r="F2187" i="1"/>
  <c r="E2187" i="1"/>
  <c r="D2187" i="1"/>
  <c r="J2186" i="1"/>
  <c r="I2186" i="1"/>
  <c r="H2186" i="1"/>
  <c r="G2186" i="1"/>
  <c r="F2186" i="1"/>
  <c r="E2186" i="1"/>
  <c r="D2186" i="1"/>
  <c r="J2185" i="1"/>
  <c r="I2185" i="1"/>
  <c r="H2185" i="1"/>
  <c r="G2185" i="1"/>
  <c r="F2185" i="1"/>
  <c r="E2185" i="1"/>
  <c r="D2185" i="1"/>
  <c r="J2184" i="1"/>
  <c r="I2184" i="1"/>
  <c r="H2184" i="1"/>
  <c r="G2184" i="1"/>
  <c r="F2184" i="1"/>
  <c r="E2184" i="1"/>
  <c r="D2184" i="1"/>
  <c r="J2183" i="1"/>
  <c r="I2183" i="1"/>
  <c r="H2183" i="1"/>
  <c r="G2183" i="1"/>
  <c r="F2183" i="1"/>
  <c r="E2183" i="1"/>
  <c r="D2183" i="1"/>
  <c r="J2182" i="1"/>
  <c r="I2182" i="1"/>
  <c r="H2182" i="1"/>
  <c r="G2182" i="1"/>
  <c r="F2182" i="1"/>
  <c r="E2182" i="1"/>
  <c r="D2182" i="1"/>
  <c r="J2181" i="1"/>
  <c r="I2181" i="1"/>
  <c r="H2181" i="1"/>
  <c r="G2181" i="1"/>
  <c r="F2181" i="1"/>
  <c r="E2181" i="1"/>
  <c r="D2181" i="1"/>
  <c r="J2180" i="1"/>
  <c r="I2180" i="1"/>
  <c r="H2180" i="1"/>
  <c r="G2180" i="1"/>
  <c r="F2180" i="1"/>
  <c r="E2180" i="1"/>
  <c r="D2180" i="1"/>
  <c r="J2179" i="1"/>
  <c r="I2179" i="1"/>
  <c r="H2179" i="1"/>
  <c r="G2179" i="1"/>
  <c r="F2179" i="1"/>
  <c r="E2179" i="1"/>
  <c r="D2179" i="1"/>
  <c r="J2178" i="1"/>
  <c r="I2178" i="1"/>
  <c r="H2178" i="1"/>
  <c r="G2178" i="1"/>
  <c r="F2178" i="1"/>
  <c r="E2178" i="1"/>
  <c r="D2178" i="1"/>
  <c r="J2177" i="1"/>
  <c r="I2177" i="1"/>
  <c r="H2177" i="1"/>
  <c r="G2177" i="1"/>
  <c r="F2177" i="1"/>
  <c r="E2177" i="1"/>
  <c r="D2177" i="1"/>
  <c r="J2176" i="1"/>
  <c r="I2176" i="1"/>
  <c r="H2176" i="1"/>
  <c r="G2176" i="1"/>
  <c r="F2176" i="1"/>
  <c r="E2176" i="1"/>
  <c r="D2176" i="1"/>
  <c r="J2175" i="1"/>
  <c r="I2175" i="1"/>
  <c r="H2175" i="1"/>
  <c r="G2175" i="1"/>
  <c r="F2175" i="1"/>
  <c r="E2175" i="1"/>
  <c r="D2175" i="1"/>
  <c r="J2174" i="1"/>
  <c r="I2174" i="1"/>
  <c r="H2174" i="1"/>
  <c r="G2174" i="1"/>
  <c r="F2174" i="1"/>
  <c r="E2174" i="1"/>
  <c r="D2174" i="1"/>
  <c r="J2173" i="1"/>
  <c r="I2173" i="1"/>
  <c r="H2173" i="1"/>
  <c r="G2173" i="1"/>
  <c r="F2173" i="1"/>
  <c r="E2173" i="1"/>
  <c r="D2173" i="1"/>
  <c r="J2172" i="1"/>
  <c r="I2172" i="1"/>
  <c r="H2172" i="1"/>
  <c r="G2172" i="1"/>
  <c r="F2172" i="1"/>
  <c r="E2172" i="1"/>
  <c r="D2172" i="1"/>
  <c r="J2171" i="1"/>
  <c r="I2171" i="1"/>
  <c r="H2171" i="1"/>
  <c r="G2171" i="1"/>
  <c r="F2171" i="1"/>
  <c r="E2171" i="1"/>
  <c r="D2171" i="1"/>
  <c r="J2170" i="1"/>
  <c r="I2170" i="1"/>
  <c r="H2170" i="1"/>
  <c r="G2170" i="1"/>
  <c r="F2170" i="1"/>
  <c r="E2170" i="1"/>
  <c r="D2170" i="1"/>
  <c r="J2169" i="1"/>
  <c r="I2169" i="1"/>
  <c r="H2169" i="1"/>
  <c r="G2169" i="1"/>
  <c r="F2169" i="1"/>
  <c r="E2169" i="1"/>
  <c r="D2169" i="1"/>
  <c r="J2168" i="1"/>
  <c r="I2168" i="1"/>
  <c r="H2168" i="1"/>
  <c r="G2168" i="1"/>
  <c r="F2168" i="1"/>
  <c r="E2168" i="1"/>
  <c r="D2168" i="1"/>
  <c r="J2167" i="1"/>
  <c r="I2167" i="1"/>
  <c r="H2167" i="1"/>
  <c r="G2167" i="1"/>
  <c r="F2167" i="1"/>
  <c r="E2167" i="1"/>
  <c r="D2167" i="1"/>
  <c r="J2166" i="1"/>
  <c r="I2166" i="1"/>
  <c r="H2166" i="1"/>
  <c r="G2166" i="1"/>
  <c r="F2166" i="1"/>
  <c r="E2166" i="1"/>
  <c r="D2166" i="1"/>
  <c r="J2165" i="1"/>
  <c r="I2165" i="1"/>
  <c r="H2165" i="1"/>
  <c r="G2165" i="1"/>
  <c r="F2165" i="1"/>
  <c r="E2165" i="1"/>
  <c r="D2165" i="1"/>
  <c r="J2164" i="1"/>
  <c r="I2164" i="1"/>
  <c r="H2164" i="1"/>
  <c r="G2164" i="1"/>
  <c r="F2164" i="1"/>
  <c r="E2164" i="1"/>
  <c r="D2164" i="1"/>
  <c r="J2163" i="1"/>
  <c r="I2163" i="1"/>
  <c r="H2163" i="1"/>
  <c r="G2163" i="1"/>
  <c r="F2163" i="1"/>
  <c r="E2163" i="1"/>
  <c r="D2163" i="1"/>
  <c r="J2162" i="1"/>
  <c r="I2162" i="1"/>
  <c r="H2162" i="1"/>
  <c r="G2162" i="1"/>
  <c r="F2162" i="1"/>
  <c r="E2162" i="1"/>
  <c r="D2162" i="1"/>
  <c r="J2161" i="1"/>
  <c r="I2161" i="1"/>
  <c r="H2161" i="1"/>
  <c r="G2161" i="1"/>
  <c r="F2161" i="1"/>
  <c r="E2161" i="1"/>
  <c r="D2161" i="1"/>
  <c r="J2160" i="1"/>
  <c r="I2160" i="1"/>
  <c r="H2160" i="1"/>
  <c r="G2160" i="1"/>
  <c r="F2160" i="1"/>
  <c r="E2160" i="1"/>
  <c r="D2160" i="1"/>
  <c r="J2159" i="1"/>
  <c r="I2159" i="1"/>
  <c r="H2159" i="1"/>
  <c r="G2159" i="1"/>
  <c r="F2159" i="1"/>
  <c r="E2159" i="1"/>
  <c r="D2159" i="1"/>
  <c r="J2158" i="1"/>
  <c r="I2158" i="1"/>
  <c r="H2158" i="1"/>
  <c r="G2158" i="1"/>
  <c r="F2158" i="1"/>
  <c r="E2158" i="1"/>
  <c r="D2158" i="1"/>
  <c r="J2157" i="1"/>
  <c r="I2157" i="1"/>
  <c r="H2157" i="1"/>
  <c r="G2157" i="1"/>
  <c r="F2157" i="1"/>
  <c r="E2157" i="1"/>
  <c r="D2157" i="1"/>
  <c r="J2156" i="1"/>
  <c r="I2156" i="1"/>
  <c r="H2156" i="1"/>
  <c r="G2156" i="1"/>
  <c r="F2156" i="1"/>
  <c r="E2156" i="1"/>
  <c r="D2156" i="1"/>
  <c r="J2155" i="1"/>
  <c r="H2155" i="1"/>
  <c r="F2155" i="1"/>
  <c r="D2155" i="1"/>
  <c r="J2154" i="1"/>
  <c r="I2154" i="1"/>
  <c r="H2154" i="1"/>
  <c r="G2154" i="1"/>
  <c r="F2154" i="1"/>
  <c r="E2154" i="1"/>
  <c r="D2154" i="1"/>
  <c r="J2153" i="1"/>
  <c r="I2153" i="1"/>
  <c r="H2153" i="1"/>
  <c r="G2153" i="1"/>
  <c r="F2153" i="1"/>
  <c r="E2153" i="1"/>
  <c r="D2153" i="1"/>
  <c r="J2152" i="1"/>
  <c r="I2152" i="1"/>
  <c r="H2152" i="1"/>
  <c r="G2152" i="1"/>
  <c r="F2152" i="1"/>
  <c r="E2152" i="1"/>
  <c r="D2152" i="1"/>
  <c r="J2151" i="1"/>
  <c r="I2151" i="1"/>
  <c r="H2151" i="1"/>
  <c r="G2151" i="1"/>
  <c r="F2151" i="1"/>
  <c r="E2151" i="1"/>
  <c r="D2151" i="1"/>
  <c r="J2150" i="1"/>
  <c r="I2150" i="1"/>
  <c r="H2150" i="1"/>
  <c r="G2150" i="1"/>
  <c r="F2150" i="1"/>
  <c r="E2150" i="1"/>
  <c r="D2150" i="1"/>
  <c r="J2149" i="1"/>
  <c r="I2149" i="1"/>
  <c r="H2149" i="1"/>
  <c r="G2149" i="1"/>
  <c r="F2149" i="1"/>
  <c r="E2149" i="1"/>
  <c r="D2149" i="1"/>
  <c r="J2148" i="1"/>
  <c r="I2148" i="1"/>
  <c r="H2148" i="1"/>
  <c r="G2148" i="1"/>
  <c r="F2148" i="1"/>
  <c r="E2148" i="1"/>
  <c r="D2148" i="1"/>
  <c r="J2147" i="1"/>
  <c r="I2147" i="1"/>
  <c r="H2147" i="1"/>
  <c r="G2147" i="1"/>
  <c r="F2147" i="1"/>
  <c r="E2147" i="1"/>
  <c r="D2147" i="1"/>
  <c r="J2146" i="1"/>
  <c r="I2146" i="1"/>
  <c r="H2146" i="1"/>
  <c r="G2146" i="1"/>
  <c r="F2146" i="1"/>
  <c r="E2146" i="1"/>
  <c r="D2146" i="1"/>
  <c r="J2145" i="1"/>
  <c r="I2145" i="1"/>
  <c r="H2145" i="1"/>
  <c r="G2145" i="1"/>
  <c r="F2145" i="1"/>
  <c r="E2145" i="1"/>
  <c r="D2145" i="1"/>
  <c r="J2144" i="1"/>
  <c r="I2144" i="1"/>
  <c r="H2144" i="1"/>
  <c r="G2144" i="1"/>
  <c r="F2144" i="1"/>
  <c r="E2144" i="1"/>
  <c r="D2144" i="1"/>
  <c r="J2143" i="1"/>
  <c r="I2143" i="1"/>
  <c r="H2143" i="1"/>
  <c r="G2143" i="1"/>
  <c r="F2143" i="1"/>
  <c r="E2143" i="1"/>
  <c r="D2143" i="1"/>
  <c r="J2142" i="1"/>
  <c r="I2142" i="1"/>
  <c r="H2142" i="1"/>
  <c r="G2142" i="1"/>
  <c r="F2142" i="1"/>
  <c r="E2142" i="1"/>
  <c r="D2142" i="1"/>
  <c r="J2141" i="1"/>
  <c r="H2141" i="1"/>
  <c r="F2141" i="1"/>
  <c r="D2141" i="1"/>
  <c r="J2140" i="1"/>
  <c r="I2140" i="1"/>
  <c r="H2140" i="1"/>
  <c r="G2140" i="1"/>
  <c r="F2140" i="1"/>
  <c r="E2140" i="1"/>
  <c r="D2140" i="1"/>
  <c r="J2139" i="1"/>
  <c r="I2139" i="1"/>
  <c r="H2139" i="1"/>
  <c r="G2139" i="1"/>
  <c r="F2139" i="1"/>
  <c r="E2139" i="1"/>
  <c r="D2139" i="1"/>
  <c r="J2138" i="1"/>
  <c r="I2138" i="1"/>
  <c r="H2138" i="1"/>
  <c r="G2138" i="1"/>
  <c r="F2138" i="1"/>
  <c r="E2138" i="1"/>
  <c r="D2138" i="1"/>
  <c r="J2137" i="1"/>
  <c r="H2137" i="1"/>
  <c r="F2137" i="1"/>
  <c r="D2137" i="1"/>
  <c r="J2136" i="1"/>
  <c r="I2136" i="1"/>
  <c r="H2136" i="1"/>
  <c r="G2136" i="1"/>
  <c r="F2136" i="1"/>
  <c r="E2136" i="1"/>
  <c r="D2136" i="1"/>
  <c r="J2135" i="1"/>
  <c r="I2135" i="1"/>
  <c r="H2135" i="1"/>
  <c r="G2135" i="1"/>
  <c r="F2135" i="1"/>
  <c r="E2135" i="1"/>
  <c r="D2135" i="1"/>
  <c r="J2134" i="1"/>
  <c r="I2134" i="1"/>
  <c r="H2134" i="1"/>
  <c r="G2134" i="1"/>
  <c r="F2134" i="1"/>
  <c r="E2134" i="1"/>
  <c r="D2134" i="1"/>
  <c r="J2133" i="1"/>
  <c r="I2133" i="1"/>
  <c r="H2133" i="1"/>
  <c r="G2133" i="1"/>
  <c r="F2133" i="1"/>
  <c r="E2133" i="1"/>
  <c r="D2133" i="1"/>
  <c r="J2132" i="1"/>
  <c r="I2132" i="1"/>
  <c r="H2132" i="1"/>
  <c r="G2132" i="1"/>
  <c r="F2132" i="1"/>
  <c r="E2132" i="1"/>
  <c r="D2132" i="1"/>
  <c r="J2131" i="1"/>
  <c r="I2131" i="1"/>
  <c r="H2131" i="1"/>
  <c r="G2131" i="1"/>
  <c r="F2131" i="1"/>
  <c r="E2131" i="1"/>
  <c r="D2131" i="1"/>
  <c r="J2130" i="1"/>
  <c r="I2130" i="1"/>
  <c r="H2130" i="1"/>
  <c r="G2130" i="1"/>
  <c r="F2130" i="1"/>
  <c r="E2130" i="1"/>
  <c r="D2130" i="1"/>
  <c r="J2129" i="1"/>
  <c r="I2129" i="1"/>
  <c r="H2129" i="1"/>
  <c r="G2129" i="1"/>
  <c r="F2129" i="1"/>
  <c r="E2129" i="1"/>
  <c r="D2129" i="1"/>
  <c r="J2128" i="1"/>
  <c r="I2128" i="1"/>
  <c r="H2128" i="1"/>
  <c r="G2128" i="1"/>
  <c r="F2128" i="1"/>
  <c r="E2128" i="1"/>
  <c r="D2128" i="1"/>
  <c r="J2127" i="1"/>
  <c r="I2127" i="1"/>
  <c r="H2127" i="1"/>
  <c r="G2127" i="1"/>
  <c r="F2127" i="1"/>
  <c r="E2127" i="1"/>
  <c r="D2127" i="1"/>
  <c r="J2126" i="1"/>
  <c r="I2126" i="1"/>
  <c r="H2126" i="1"/>
  <c r="G2126" i="1"/>
  <c r="F2126" i="1"/>
  <c r="E2126" i="1"/>
  <c r="D2126" i="1"/>
  <c r="J2125" i="1"/>
  <c r="I2125" i="1"/>
  <c r="H2125" i="1"/>
  <c r="G2125" i="1"/>
  <c r="F2125" i="1"/>
  <c r="E2125" i="1"/>
  <c r="D2125" i="1"/>
  <c r="J2124" i="1"/>
  <c r="I2124" i="1"/>
  <c r="H2124" i="1"/>
  <c r="G2124" i="1"/>
  <c r="F2124" i="1"/>
  <c r="E2124" i="1"/>
  <c r="D2124" i="1"/>
  <c r="J2123" i="1"/>
  <c r="I2123" i="1"/>
  <c r="H2123" i="1"/>
  <c r="G2123" i="1"/>
  <c r="F2123" i="1"/>
  <c r="E2123" i="1"/>
  <c r="D2123" i="1"/>
  <c r="J2122" i="1"/>
  <c r="I2122" i="1"/>
  <c r="H2122" i="1"/>
  <c r="G2122" i="1"/>
  <c r="F2122" i="1"/>
  <c r="E2122" i="1"/>
  <c r="D2122" i="1"/>
  <c r="J2121" i="1"/>
  <c r="I2121" i="1"/>
  <c r="H2121" i="1"/>
  <c r="G2121" i="1"/>
  <c r="F2121" i="1"/>
  <c r="E2121" i="1"/>
  <c r="D2121" i="1"/>
  <c r="J2120" i="1"/>
  <c r="I2120" i="1"/>
  <c r="H2120" i="1"/>
  <c r="G2120" i="1"/>
  <c r="F2120" i="1"/>
  <c r="E2120" i="1"/>
  <c r="D2120" i="1"/>
  <c r="J2119" i="1"/>
  <c r="I2119" i="1"/>
  <c r="H2119" i="1"/>
  <c r="G2119" i="1"/>
  <c r="F2119" i="1"/>
  <c r="E2119" i="1"/>
  <c r="D2119" i="1"/>
  <c r="J2118" i="1"/>
  <c r="I2118" i="1"/>
  <c r="H2118" i="1"/>
  <c r="G2118" i="1"/>
  <c r="F2118" i="1"/>
  <c r="E2118" i="1"/>
  <c r="D2118" i="1"/>
  <c r="J2117" i="1"/>
  <c r="I2117" i="1"/>
  <c r="H2117" i="1"/>
  <c r="G2117" i="1"/>
  <c r="F2117" i="1"/>
  <c r="E2117" i="1"/>
  <c r="D2117" i="1"/>
  <c r="J2116" i="1"/>
  <c r="I2116" i="1"/>
  <c r="H2116" i="1"/>
  <c r="G2116" i="1"/>
  <c r="F2116" i="1"/>
  <c r="E2116" i="1"/>
  <c r="D2116" i="1"/>
  <c r="J2115" i="1"/>
  <c r="I2115" i="1"/>
  <c r="H2115" i="1"/>
  <c r="G2115" i="1"/>
  <c r="F2115" i="1"/>
  <c r="E2115" i="1"/>
  <c r="D2115" i="1"/>
  <c r="J2114" i="1"/>
  <c r="I2114" i="1"/>
  <c r="H2114" i="1"/>
  <c r="G2114" i="1"/>
  <c r="F2114" i="1"/>
  <c r="E2114" i="1"/>
  <c r="D2114" i="1"/>
  <c r="J2113" i="1"/>
  <c r="I2113" i="1"/>
  <c r="H2113" i="1"/>
  <c r="G2113" i="1"/>
  <c r="F2113" i="1"/>
  <c r="E2113" i="1"/>
  <c r="D2113" i="1"/>
  <c r="J2112" i="1"/>
  <c r="I2112" i="1"/>
  <c r="H2112" i="1"/>
  <c r="G2112" i="1"/>
  <c r="F2112" i="1"/>
  <c r="E2112" i="1"/>
  <c r="D2112" i="1"/>
  <c r="J2111" i="1"/>
  <c r="I2111" i="1"/>
  <c r="H2111" i="1"/>
  <c r="G2111" i="1"/>
  <c r="F2111" i="1"/>
  <c r="E2111" i="1"/>
  <c r="D2111" i="1"/>
  <c r="J2110" i="1"/>
  <c r="I2110" i="1"/>
  <c r="H2110" i="1"/>
  <c r="G2110" i="1"/>
  <c r="F2110" i="1"/>
  <c r="E2110" i="1"/>
  <c r="D2110" i="1"/>
  <c r="J2109" i="1"/>
  <c r="I2109" i="1"/>
  <c r="H2109" i="1"/>
  <c r="G2109" i="1"/>
  <c r="F2109" i="1"/>
  <c r="E2109" i="1"/>
  <c r="D2109" i="1"/>
  <c r="J2108" i="1"/>
  <c r="I2108" i="1"/>
  <c r="H2108" i="1"/>
  <c r="G2108" i="1"/>
  <c r="F2108" i="1"/>
  <c r="E2108" i="1"/>
  <c r="D2108" i="1"/>
  <c r="J2107" i="1"/>
  <c r="I2107" i="1"/>
  <c r="H2107" i="1"/>
  <c r="G2107" i="1"/>
  <c r="F2107" i="1"/>
  <c r="E2107" i="1"/>
  <c r="D2107" i="1"/>
  <c r="J2106" i="1"/>
  <c r="I2106" i="1"/>
  <c r="H2106" i="1"/>
  <c r="G2106" i="1"/>
  <c r="F2106" i="1"/>
  <c r="E2106" i="1"/>
  <c r="D2106" i="1"/>
  <c r="J2105" i="1"/>
  <c r="I2105" i="1"/>
  <c r="H2105" i="1"/>
  <c r="G2105" i="1"/>
  <c r="F2105" i="1"/>
  <c r="E2105" i="1"/>
  <c r="D2105" i="1"/>
  <c r="J2104" i="1"/>
  <c r="I2104" i="1"/>
  <c r="H2104" i="1"/>
  <c r="G2104" i="1"/>
  <c r="F2104" i="1"/>
  <c r="E2104" i="1"/>
  <c r="D2104" i="1"/>
  <c r="J2103" i="1"/>
  <c r="I2103" i="1"/>
  <c r="H2103" i="1"/>
  <c r="G2103" i="1"/>
  <c r="F2103" i="1"/>
  <c r="E2103" i="1"/>
  <c r="D2103" i="1"/>
  <c r="J2102" i="1"/>
  <c r="I2102" i="1"/>
  <c r="H2102" i="1"/>
  <c r="G2102" i="1"/>
  <c r="F2102" i="1"/>
  <c r="E2102" i="1"/>
  <c r="D2102" i="1"/>
  <c r="J2101" i="1"/>
  <c r="I2101" i="1"/>
  <c r="H2101" i="1"/>
  <c r="G2101" i="1"/>
  <c r="F2101" i="1"/>
  <c r="E2101" i="1"/>
  <c r="D2101" i="1"/>
  <c r="J2100" i="1"/>
  <c r="I2100" i="1"/>
  <c r="H2100" i="1"/>
  <c r="G2100" i="1"/>
  <c r="F2100" i="1"/>
  <c r="E2100" i="1"/>
  <c r="D2100" i="1"/>
  <c r="J2099" i="1"/>
  <c r="I2099" i="1"/>
  <c r="H2099" i="1"/>
  <c r="G2099" i="1"/>
  <c r="F2099" i="1"/>
  <c r="E2099" i="1"/>
  <c r="D2099" i="1"/>
  <c r="J2098" i="1"/>
  <c r="I2098" i="1"/>
  <c r="H2098" i="1"/>
  <c r="G2098" i="1"/>
  <c r="F2098" i="1"/>
  <c r="E2098" i="1"/>
  <c r="D2098" i="1"/>
  <c r="J2097" i="1"/>
  <c r="I2097" i="1"/>
  <c r="H2097" i="1"/>
  <c r="G2097" i="1"/>
  <c r="F2097" i="1"/>
  <c r="E2097" i="1"/>
  <c r="D2097" i="1"/>
  <c r="J2096" i="1"/>
  <c r="I2096" i="1"/>
  <c r="H2096" i="1"/>
  <c r="G2096" i="1"/>
  <c r="F2096" i="1"/>
  <c r="E2096" i="1"/>
  <c r="D2096" i="1"/>
  <c r="J2095" i="1"/>
  <c r="I2095" i="1"/>
  <c r="H2095" i="1"/>
  <c r="G2095" i="1"/>
  <c r="F2095" i="1"/>
  <c r="E2095" i="1"/>
  <c r="D2095" i="1"/>
  <c r="J2094" i="1"/>
  <c r="I2094" i="1"/>
  <c r="H2094" i="1"/>
  <c r="G2094" i="1"/>
  <c r="F2094" i="1"/>
  <c r="E2094" i="1"/>
  <c r="D2094" i="1"/>
  <c r="J2093" i="1"/>
  <c r="I2093" i="1"/>
  <c r="H2093" i="1"/>
  <c r="G2093" i="1"/>
  <c r="F2093" i="1"/>
  <c r="E2093" i="1"/>
  <c r="D2093" i="1"/>
  <c r="J2092" i="1"/>
  <c r="I2092" i="1"/>
  <c r="H2092" i="1"/>
  <c r="G2092" i="1"/>
  <c r="F2092" i="1"/>
  <c r="E2092" i="1"/>
  <c r="D2092" i="1"/>
  <c r="J2091" i="1"/>
  <c r="I2091" i="1"/>
  <c r="H2091" i="1"/>
  <c r="G2091" i="1"/>
  <c r="F2091" i="1"/>
  <c r="E2091" i="1"/>
  <c r="D2091" i="1"/>
  <c r="J2090" i="1"/>
  <c r="I2090" i="1"/>
  <c r="H2090" i="1"/>
  <c r="G2090" i="1"/>
  <c r="F2090" i="1"/>
  <c r="E2090" i="1"/>
  <c r="D2090" i="1"/>
  <c r="J2089" i="1"/>
  <c r="I2089" i="1"/>
  <c r="H2089" i="1"/>
  <c r="G2089" i="1"/>
  <c r="F2089" i="1"/>
  <c r="E2089" i="1"/>
  <c r="D2089" i="1"/>
  <c r="J2088" i="1"/>
  <c r="I2088" i="1"/>
  <c r="H2088" i="1"/>
  <c r="G2088" i="1"/>
  <c r="F2088" i="1"/>
  <c r="E2088" i="1"/>
  <c r="D2088" i="1"/>
  <c r="J2087" i="1"/>
  <c r="I2087" i="1"/>
  <c r="H2087" i="1"/>
  <c r="G2087" i="1"/>
  <c r="F2087" i="1"/>
  <c r="E2087" i="1"/>
  <c r="D2087" i="1"/>
  <c r="J2086" i="1"/>
  <c r="I2086" i="1"/>
  <c r="H2086" i="1"/>
  <c r="G2086" i="1"/>
  <c r="F2086" i="1"/>
  <c r="E2086" i="1"/>
  <c r="D2086" i="1"/>
  <c r="J2085" i="1"/>
  <c r="H2085" i="1"/>
  <c r="F2085" i="1"/>
  <c r="D2085" i="1"/>
  <c r="J2084" i="1"/>
  <c r="I2084" i="1"/>
  <c r="H2084" i="1"/>
  <c r="G2084" i="1"/>
  <c r="F2084" i="1"/>
  <c r="E2084" i="1"/>
  <c r="D2084" i="1"/>
  <c r="J2083" i="1"/>
  <c r="H2083" i="1"/>
  <c r="F2083" i="1"/>
  <c r="D2083" i="1"/>
  <c r="J2082" i="1"/>
  <c r="I2082" i="1"/>
  <c r="H2082" i="1"/>
  <c r="G2082" i="1"/>
  <c r="F2082" i="1"/>
  <c r="E2082" i="1"/>
  <c r="D2082" i="1"/>
  <c r="J2081" i="1"/>
  <c r="I2081" i="1"/>
  <c r="H2081" i="1"/>
  <c r="G2081" i="1"/>
  <c r="F2081" i="1"/>
  <c r="E2081" i="1"/>
  <c r="D2081" i="1"/>
  <c r="J2080" i="1"/>
  <c r="I2080" i="1"/>
  <c r="H2080" i="1"/>
  <c r="G2080" i="1"/>
  <c r="F2080" i="1"/>
  <c r="E2080" i="1"/>
  <c r="D2080" i="1"/>
  <c r="J2079" i="1"/>
  <c r="I2079" i="1"/>
  <c r="H2079" i="1"/>
  <c r="G2079" i="1"/>
  <c r="F2079" i="1"/>
  <c r="E2079" i="1"/>
  <c r="D2079" i="1"/>
  <c r="J2078" i="1"/>
  <c r="I2078" i="1"/>
  <c r="H2078" i="1"/>
  <c r="G2078" i="1"/>
  <c r="F2078" i="1"/>
  <c r="E2078" i="1"/>
  <c r="D2078" i="1"/>
  <c r="J2077" i="1"/>
  <c r="H2077" i="1"/>
  <c r="F2077" i="1"/>
  <c r="D2077" i="1"/>
  <c r="J2076" i="1"/>
  <c r="I2076" i="1"/>
  <c r="H2076" i="1"/>
  <c r="G2076" i="1"/>
  <c r="F2076" i="1"/>
  <c r="E2076" i="1"/>
  <c r="D2076" i="1"/>
  <c r="J2075" i="1"/>
  <c r="I2075" i="1"/>
  <c r="H2075" i="1"/>
  <c r="G2075" i="1"/>
  <c r="F2075" i="1"/>
  <c r="E2075" i="1"/>
  <c r="D2075" i="1"/>
  <c r="J2074" i="1"/>
  <c r="I2074" i="1"/>
  <c r="H2074" i="1"/>
  <c r="G2074" i="1"/>
  <c r="F2074" i="1"/>
  <c r="E2074" i="1"/>
  <c r="D2074" i="1"/>
  <c r="J2073" i="1"/>
  <c r="I2073" i="1"/>
  <c r="H2073" i="1"/>
  <c r="G2073" i="1"/>
  <c r="F2073" i="1"/>
  <c r="E2073" i="1"/>
  <c r="D2073" i="1"/>
  <c r="J2072" i="1"/>
  <c r="I2072" i="1"/>
  <c r="H2072" i="1"/>
  <c r="G2072" i="1"/>
  <c r="F2072" i="1"/>
  <c r="E2072" i="1"/>
  <c r="D2072" i="1"/>
  <c r="J2071" i="1"/>
  <c r="I2071" i="1"/>
  <c r="H2071" i="1"/>
  <c r="G2071" i="1"/>
  <c r="F2071" i="1"/>
  <c r="E2071" i="1"/>
  <c r="D2071" i="1"/>
  <c r="J2070" i="1"/>
  <c r="I2070" i="1"/>
  <c r="H2070" i="1"/>
  <c r="G2070" i="1"/>
  <c r="F2070" i="1"/>
  <c r="E2070" i="1"/>
  <c r="D2070" i="1"/>
  <c r="J2069" i="1"/>
  <c r="I2069" i="1"/>
  <c r="H2069" i="1"/>
  <c r="G2069" i="1"/>
  <c r="F2069" i="1"/>
  <c r="E2069" i="1"/>
  <c r="D2069" i="1"/>
  <c r="J2068" i="1"/>
  <c r="I2068" i="1"/>
  <c r="H2068" i="1"/>
  <c r="G2068" i="1"/>
  <c r="F2068" i="1"/>
  <c r="E2068" i="1"/>
  <c r="D2068" i="1"/>
  <c r="J2067" i="1"/>
  <c r="I2067" i="1"/>
  <c r="H2067" i="1"/>
  <c r="G2067" i="1"/>
  <c r="F2067" i="1"/>
  <c r="E2067" i="1"/>
  <c r="D2067" i="1"/>
  <c r="J2066" i="1"/>
  <c r="I2066" i="1"/>
  <c r="H2066" i="1"/>
  <c r="G2066" i="1"/>
  <c r="F2066" i="1"/>
  <c r="E2066" i="1"/>
  <c r="D2066" i="1"/>
  <c r="J2065" i="1"/>
  <c r="I2065" i="1"/>
  <c r="H2065" i="1"/>
  <c r="G2065" i="1"/>
  <c r="F2065" i="1"/>
  <c r="E2065" i="1"/>
  <c r="D2065" i="1"/>
  <c r="J2064" i="1"/>
  <c r="I2064" i="1"/>
  <c r="H2064" i="1"/>
  <c r="G2064" i="1"/>
  <c r="F2064" i="1"/>
  <c r="E2064" i="1"/>
  <c r="D2064" i="1"/>
  <c r="J2063" i="1"/>
  <c r="I2063" i="1"/>
  <c r="H2063" i="1"/>
  <c r="G2063" i="1"/>
  <c r="F2063" i="1"/>
  <c r="E2063" i="1"/>
  <c r="D2063" i="1"/>
  <c r="J2062" i="1"/>
  <c r="I2062" i="1"/>
  <c r="H2062" i="1"/>
  <c r="G2062" i="1"/>
  <c r="F2062" i="1"/>
  <c r="E2062" i="1"/>
  <c r="D2062" i="1"/>
  <c r="J2061" i="1"/>
  <c r="I2061" i="1"/>
  <c r="H2061" i="1"/>
  <c r="G2061" i="1"/>
  <c r="F2061" i="1"/>
  <c r="E2061" i="1"/>
  <c r="D2061" i="1"/>
  <c r="J2060" i="1"/>
  <c r="I2060" i="1"/>
  <c r="H2060" i="1"/>
  <c r="G2060" i="1"/>
  <c r="F2060" i="1"/>
  <c r="E2060" i="1"/>
  <c r="D2060" i="1"/>
  <c r="J2059" i="1"/>
  <c r="I2059" i="1"/>
  <c r="H2059" i="1"/>
  <c r="G2059" i="1"/>
  <c r="F2059" i="1"/>
  <c r="E2059" i="1"/>
  <c r="D2059" i="1"/>
  <c r="J2058" i="1"/>
  <c r="I2058" i="1"/>
  <c r="H2058" i="1"/>
  <c r="G2058" i="1"/>
  <c r="F2058" i="1"/>
  <c r="E2058" i="1"/>
  <c r="D2058" i="1"/>
  <c r="J2057" i="1"/>
  <c r="I2057" i="1"/>
  <c r="H2057" i="1"/>
  <c r="G2057" i="1"/>
  <c r="F2057" i="1"/>
  <c r="E2057" i="1"/>
  <c r="D2057" i="1"/>
  <c r="J2056" i="1"/>
  <c r="I2056" i="1"/>
  <c r="H2056" i="1"/>
  <c r="G2056" i="1"/>
  <c r="F2056" i="1"/>
  <c r="E2056" i="1"/>
  <c r="D2056" i="1"/>
  <c r="J2055" i="1"/>
  <c r="I2055" i="1"/>
  <c r="H2055" i="1"/>
  <c r="G2055" i="1"/>
  <c r="F2055" i="1"/>
  <c r="E2055" i="1"/>
  <c r="D2055" i="1"/>
  <c r="J2054" i="1"/>
  <c r="I2054" i="1"/>
  <c r="H2054" i="1"/>
  <c r="G2054" i="1"/>
  <c r="F2054" i="1"/>
  <c r="E2054" i="1"/>
  <c r="D2054" i="1"/>
  <c r="J2053" i="1"/>
  <c r="H2053" i="1"/>
  <c r="F2053" i="1"/>
  <c r="D2053" i="1"/>
  <c r="J2052" i="1"/>
  <c r="I2052" i="1"/>
  <c r="H2052" i="1"/>
  <c r="G2052" i="1"/>
  <c r="F2052" i="1"/>
  <c r="E2052" i="1"/>
  <c r="D2052" i="1"/>
  <c r="J2051" i="1"/>
  <c r="I2051" i="1"/>
  <c r="H2051" i="1"/>
  <c r="G2051" i="1"/>
  <c r="F2051" i="1"/>
  <c r="E2051" i="1"/>
  <c r="D2051" i="1"/>
  <c r="J2050" i="1"/>
  <c r="I2050" i="1"/>
  <c r="H2050" i="1"/>
  <c r="G2050" i="1"/>
  <c r="F2050" i="1"/>
  <c r="E2050" i="1"/>
  <c r="D2050" i="1"/>
  <c r="J2049" i="1"/>
  <c r="I2049" i="1"/>
  <c r="H2049" i="1"/>
  <c r="G2049" i="1"/>
  <c r="F2049" i="1"/>
  <c r="E2049" i="1"/>
  <c r="D2049" i="1"/>
  <c r="J2048" i="1"/>
  <c r="I2048" i="1"/>
  <c r="H2048" i="1"/>
  <c r="G2048" i="1"/>
  <c r="F2048" i="1"/>
  <c r="E2048" i="1"/>
  <c r="D2048" i="1"/>
  <c r="J2047" i="1"/>
  <c r="I2047" i="1"/>
  <c r="H2047" i="1"/>
  <c r="G2047" i="1"/>
  <c r="F2047" i="1"/>
  <c r="E2047" i="1"/>
  <c r="D2047" i="1"/>
  <c r="J2046" i="1"/>
  <c r="I2046" i="1"/>
  <c r="H2046" i="1"/>
  <c r="G2046" i="1"/>
  <c r="F2046" i="1"/>
  <c r="E2046" i="1"/>
  <c r="D2046" i="1"/>
  <c r="J2045" i="1"/>
  <c r="I2045" i="1"/>
  <c r="H2045" i="1"/>
  <c r="G2045" i="1"/>
  <c r="F2045" i="1"/>
  <c r="E2045" i="1"/>
  <c r="D2045" i="1"/>
  <c r="J2044" i="1"/>
  <c r="I2044" i="1"/>
  <c r="H2044" i="1"/>
  <c r="G2044" i="1"/>
  <c r="F2044" i="1"/>
  <c r="E2044" i="1"/>
  <c r="D2044" i="1"/>
  <c r="J2043" i="1"/>
  <c r="I2043" i="1"/>
  <c r="H2043" i="1"/>
  <c r="G2043" i="1"/>
  <c r="F2043" i="1"/>
  <c r="E2043" i="1"/>
  <c r="D2043" i="1"/>
  <c r="J2042" i="1"/>
  <c r="I2042" i="1"/>
  <c r="H2042" i="1"/>
  <c r="G2042" i="1"/>
  <c r="F2042" i="1"/>
  <c r="E2042" i="1"/>
  <c r="D2042" i="1"/>
  <c r="J2041" i="1"/>
  <c r="I2041" i="1"/>
  <c r="H2041" i="1"/>
  <c r="G2041" i="1"/>
  <c r="F2041" i="1"/>
  <c r="E2041" i="1"/>
  <c r="D2041" i="1"/>
  <c r="J2040" i="1"/>
  <c r="I2040" i="1"/>
  <c r="H2040" i="1"/>
  <c r="G2040" i="1"/>
  <c r="F2040" i="1"/>
  <c r="E2040" i="1"/>
  <c r="D2040" i="1"/>
  <c r="J2039" i="1"/>
  <c r="I2039" i="1"/>
  <c r="H2039" i="1"/>
  <c r="G2039" i="1"/>
  <c r="F2039" i="1"/>
  <c r="E2039" i="1"/>
  <c r="D2039" i="1"/>
  <c r="J2038" i="1"/>
  <c r="I2038" i="1"/>
  <c r="H2038" i="1"/>
  <c r="G2038" i="1"/>
  <c r="F2038" i="1"/>
  <c r="E2038" i="1"/>
  <c r="D2038" i="1"/>
  <c r="J2037" i="1"/>
  <c r="H2037" i="1"/>
  <c r="F2037" i="1"/>
  <c r="D2037" i="1"/>
  <c r="J2036" i="1"/>
  <c r="I2036" i="1"/>
  <c r="H2036" i="1"/>
  <c r="G2036" i="1"/>
  <c r="F2036" i="1"/>
  <c r="E2036" i="1"/>
  <c r="D2036" i="1"/>
  <c r="J2035" i="1"/>
  <c r="I2035" i="1"/>
  <c r="H2035" i="1"/>
  <c r="G2035" i="1"/>
  <c r="F2035" i="1"/>
  <c r="E2035" i="1"/>
  <c r="D2035" i="1"/>
  <c r="J2034" i="1"/>
  <c r="I2034" i="1"/>
  <c r="H2034" i="1"/>
  <c r="G2034" i="1"/>
  <c r="F2034" i="1"/>
  <c r="E2034" i="1"/>
  <c r="D2034" i="1"/>
  <c r="J2033" i="1"/>
  <c r="I2033" i="1"/>
  <c r="H2033" i="1"/>
  <c r="G2033" i="1"/>
  <c r="F2033" i="1"/>
  <c r="E2033" i="1"/>
  <c r="D2033" i="1"/>
  <c r="J2032" i="1"/>
  <c r="H2032" i="1"/>
  <c r="F2032" i="1"/>
  <c r="D2032" i="1"/>
  <c r="J2031" i="1"/>
  <c r="I2031" i="1"/>
  <c r="H2031" i="1"/>
  <c r="G2031" i="1"/>
  <c r="F2031" i="1"/>
  <c r="E2031" i="1"/>
  <c r="D2031" i="1"/>
  <c r="J2030" i="1"/>
  <c r="I2030" i="1"/>
  <c r="H2030" i="1"/>
  <c r="G2030" i="1"/>
  <c r="F2030" i="1"/>
  <c r="E2030" i="1"/>
  <c r="D2030" i="1"/>
  <c r="J2029" i="1"/>
  <c r="I2029" i="1"/>
  <c r="H2029" i="1"/>
  <c r="G2029" i="1"/>
  <c r="F2029" i="1"/>
  <c r="E2029" i="1"/>
  <c r="D2029" i="1"/>
  <c r="J2028" i="1"/>
  <c r="I2028" i="1"/>
  <c r="H2028" i="1"/>
  <c r="G2028" i="1"/>
  <c r="F2028" i="1"/>
  <c r="E2028" i="1"/>
  <c r="D2028" i="1"/>
  <c r="J2027" i="1"/>
  <c r="I2027" i="1"/>
  <c r="H2027" i="1"/>
  <c r="G2027" i="1"/>
  <c r="F2027" i="1"/>
  <c r="E2027" i="1"/>
  <c r="D2027" i="1"/>
  <c r="J2026" i="1"/>
  <c r="I2026" i="1"/>
  <c r="H2026" i="1"/>
  <c r="G2026" i="1"/>
  <c r="F2026" i="1"/>
  <c r="E2026" i="1"/>
  <c r="D2026" i="1"/>
  <c r="J2025" i="1"/>
  <c r="I2025" i="1"/>
  <c r="H2025" i="1"/>
  <c r="G2025" i="1"/>
  <c r="F2025" i="1"/>
  <c r="E2025" i="1"/>
  <c r="D2025" i="1"/>
  <c r="J2024" i="1"/>
  <c r="I2024" i="1"/>
  <c r="H2024" i="1"/>
  <c r="G2024" i="1"/>
  <c r="F2024" i="1"/>
  <c r="E2024" i="1"/>
  <c r="D2024" i="1"/>
  <c r="J2023" i="1"/>
  <c r="I2023" i="1"/>
  <c r="H2023" i="1"/>
  <c r="G2023" i="1"/>
  <c r="F2023" i="1"/>
  <c r="E2023" i="1"/>
  <c r="D2023" i="1"/>
  <c r="J2022" i="1"/>
  <c r="I2022" i="1"/>
  <c r="H2022" i="1"/>
  <c r="G2022" i="1"/>
  <c r="F2022" i="1"/>
  <c r="E2022" i="1"/>
  <c r="D2022" i="1"/>
  <c r="J2021" i="1"/>
  <c r="I2021" i="1"/>
  <c r="H2021" i="1"/>
  <c r="G2021" i="1"/>
  <c r="F2021" i="1"/>
  <c r="E2021" i="1"/>
  <c r="D2021" i="1"/>
  <c r="J2020" i="1"/>
  <c r="I2020" i="1"/>
  <c r="H2020" i="1"/>
  <c r="G2020" i="1"/>
  <c r="F2020" i="1"/>
  <c r="E2020" i="1"/>
  <c r="D2020" i="1"/>
  <c r="J2019" i="1"/>
  <c r="I2019" i="1"/>
  <c r="H2019" i="1"/>
  <c r="G2019" i="1"/>
  <c r="F2019" i="1"/>
  <c r="E2019" i="1"/>
  <c r="D2019" i="1"/>
  <c r="J2018" i="1"/>
  <c r="I2018" i="1"/>
  <c r="H2018" i="1"/>
  <c r="G2018" i="1"/>
  <c r="F2018" i="1"/>
  <c r="E2018" i="1"/>
  <c r="D2018" i="1"/>
  <c r="J2017" i="1"/>
  <c r="I2017" i="1"/>
  <c r="H2017" i="1"/>
  <c r="G2017" i="1"/>
  <c r="F2017" i="1"/>
  <c r="E2017" i="1"/>
  <c r="D2017" i="1"/>
  <c r="J2016" i="1"/>
  <c r="I2016" i="1"/>
  <c r="H2016" i="1"/>
  <c r="G2016" i="1"/>
  <c r="F2016" i="1"/>
  <c r="E2016" i="1"/>
  <c r="D2016" i="1"/>
  <c r="J2015" i="1"/>
  <c r="I2015" i="1"/>
  <c r="H2015" i="1"/>
  <c r="G2015" i="1"/>
  <c r="F2015" i="1"/>
  <c r="E2015" i="1"/>
  <c r="D2015" i="1"/>
  <c r="J2014" i="1"/>
  <c r="H2014" i="1"/>
  <c r="F2014" i="1"/>
  <c r="D2014" i="1"/>
  <c r="J2013" i="1"/>
  <c r="I2013" i="1"/>
  <c r="H2013" i="1"/>
  <c r="G2013" i="1"/>
  <c r="F2013" i="1"/>
  <c r="E2013" i="1"/>
  <c r="D2013" i="1"/>
  <c r="J2012" i="1"/>
  <c r="I2012" i="1"/>
  <c r="H2012" i="1"/>
  <c r="G2012" i="1"/>
  <c r="F2012" i="1"/>
  <c r="E2012" i="1"/>
  <c r="D2012" i="1"/>
  <c r="J2011" i="1"/>
  <c r="I2011" i="1"/>
  <c r="H2011" i="1"/>
  <c r="G2011" i="1"/>
  <c r="F2011" i="1"/>
  <c r="E2011" i="1"/>
  <c r="D2011" i="1"/>
  <c r="J2010" i="1"/>
  <c r="I2010" i="1"/>
  <c r="H2010" i="1"/>
  <c r="G2010" i="1"/>
  <c r="F2010" i="1"/>
  <c r="E2010" i="1"/>
  <c r="D2010" i="1"/>
  <c r="J2009" i="1"/>
  <c r="I2009" i="1"/>
  <c r="H2009" i="1"/>
  <c r="G2009" i="1"/>
  <c r="F2009" i="1"/>
  <c r="E2009" i="1"/>
  <c r="D2009" i="1"/>
  <c r="J2008" i="1"/>
  <c r="I2008" i="1"/>
  <c r="H2008" i="1"/>
  <c r="G2008" i="1"/>
  <c r="F2008" i="1"/>
  <c r="E2008" i="1"/>
  <c r="D2008" i="1"/>
  <c r="J2007" i="1"/>
  <c r="I2007" i="1"/>
  <c r="H2007" i="1"/>
  <c r="G2007" i="1"/>
  <c r="F2007" i="1"/>
  <c r="E2007" i="1"/>
  <c r="D2007" i="1"/>
  <c r="J2006" i="1"/>
  <c r="I2006" i="1"/>
  <c r="H2006" i="1"/>
  <c r="G2006" i="1"/>
  <c r="F2006" i="1"/>
  <c r="E2006" i="1"/>
  <c r="D2006" i="1"/>
  <c r="J2005" i="1"/>
  <c r="I2005" i="1"/>
  <c r="H2005" i="1"/>
  <c r="G2005" i="1"/>
  <c r="F2005" i="1"/>
  <c r="E2005" i="1"/>
  <c r="D2005" i="1"/>
  <c r="J2004" i="1"/>
  <c r="I2004" i="1"/>
  <c r="H2004" i="1"/>
  <c r="G2004" i="1"/>
  <c r="F2004" i="1"/>
  <c r="E2004" i="1"/>
  <c r="D2004" i="1"/>
  <c r="J2003" i="1"/>
  <c r="I2003" i="1"/>
  <c r="H2003" i="1"/>
  <c r="G2003" i="1"/>
  <c r="F2003" i="1"/>
  <c r="E2003" i="1"/>
  <c r="D2003" i="1"/>
  <c r="J2002" i="1"/>
  <c r="I2002" i="1"/>
  <c r="H2002" i="1"/>
  <c r="G2002" i="1"/>
  <c r="F2002" i="1"/>
  <c r="E2002" i="1"/>
  <c r="D2002" i="1"/>
  <c r="J2001" i="1"/>
  <c r="I2001" i="1"/>
  <c r="H2001" i="1"/>
  <c r="G2001" i="1"/>
  <c r="F2001" i="1"/>
  <c r="E2001" i="1"/>
  <c r="D2001" i="1"/>
  <c r="J2000" i="1"/>
  <c r="I2000" i="1"/>
  <c r="H2000" i="1"/>
  <c r="G2000" i="1"/>
  <c r="F2000" i="1"/>
  <c r="E2000" i="1"/>
  <c r="D2000" i="1"/>
  <c r="J1999" i="1"/>
  <c r="I1999" i="1"/>
  <c r="H1999" i="1"/>
  <c r="G1999" i="1"/>
  <c r="F1999" i="1"/>
  <c r="E1999" i="1"/>
  <c r="D1999" i="1"/>
  <c r="J1998" i="1"/>
  <c r="I1998" i="1"/>
  <c r="H1998" i="1"/>
  <c r="G1998" i="1"/>
  <c r="F1998" i="1"/>
  <c r="E1998" i="1"/>
  <c r="D1998" i="1"/>
  <c r="J1997" i="1"/>
  <c r="I1997" i="1"/>
  <c r="H1997" i="1"/>
  <c r="G1997" i="1"/>
  <c r="F1997" i="1"/>
  <c r="E1997" i="1"/>
  <c r="D1997" i="1"/>
  <c r="J1996" i="1"/>
  <c r="I1996" i="1"/>
  <c r="H1996" i="1"/>
  <c r="G1996" i="1"/>
  <c r="F1996" i="1"/>
  <c r="E1996" i="1"/>
  <c r="D1996" i="1"/>
  <c r="J1995" i="1"/>
  <c r="I1995" i="1"/>
  <c r="H1995" i="1"/>
  <c r="G1995" i="1"/>
  <c r="F1995" i="1"/>
  <c r="E1995" i="1"/>
  <c r="D1995" i="1"/>
  <c r="J1994" i="1"/>
  <c r="I1994" i="1"/>
  <c r="H1994" i="1"/>
  <c r="G1994" i="1"/>
  <c r="F1994" i="1"/>
  <c r="E1994" i="1"/>
  <c r="D1994" i="1"/>
  <c r="J1993" i="1"/>
  <c r="I1993" i="1"/>
  <c r="H1993" i="1"/>
  <c r="G1993" i="1"/>
  <c r="F1993" i="1"/>
  <c r="E1993" i="1"/>
  <c r="D1993" i="1"/>
  <c r="J1992" i="1"/>
  <c r="I1992" i="1"/>
  <c r="H1992" i="1"/>
  <c r="G1992" i="1"/>
  <c r="F1992" i="1"/>
  <c r="E1992" i="1"/>
  <c r="D1992" i="1"/>
  <c r="J1991" i="1"/>
  <c r="I1991" i="1"/>
  <c r="H1991" i="1"/>
  <c r="G1991" i="1"/>
  <c r="F1991" i="1"/>
  <c r="E1991" i="1"/>
  <c r="D1991" i="1"/>
  <c r="J1990" i="1"/>
  <c r="I1990" i="1"/>
  <c r="H1990" i="1"/>
  <c r="G1990" i="1"/>
  <c r="F1990" i="1"/>
  <c r="E1990" i="1"/>
  <c r="D1990" i="1"/>
  <c r="J1989" i="1"/>
  <c r="I1989" i="1"/>
  <c r="H1989" i="1"/>
  <c r="G1989" i="1"/>
  <c r="F1989" i="1"/>
  <c r="E1989" i="1"/>
  <c r="D1989" i="1"/>
  <c r="J1988" i="1"/>
  <c r="I1988" i="1"/>
  <c r="H1988" i="1"/>
  <c r="G1988" i="1"/>
  <c r="F1988" i="1"/>
  <c r="E1988" i="1"/>
  <c r="D1988" i="1"/>
  <c r="J1987" i="1"/>
  <c r="I1987" i="1"/>
  <c r="H1987" i="1"/>
  <c r="G1987" i="1"/>
  <c r="F1987" i="1"/>
  <c r="E1987" i="1"/>
  <c r="D1987" i="1"/>
  <c r="J1986" i="1"/>
  <c r="I1986" i="1"/>
  <c r="H1986" i="1"/>
  <c r="G1986" i="1"/>
  <c r="F1986" i="1"/>
  <c r="E1986" i="1"/>
  <c r="D1986" i="1"/>
  <c r="J1985" i="1"/>
  <c r="I1985" i="1"/>
  <c r="H1985" i="1"/>
  <c r="G1985" i="1"/>
  <c r="F1985" i="1"/>
  <c r="E1985" i="1"/>
  <c r="D1985" i="1"/>
  <c r="J1984" i="1"/>
  <c r="I1984" i="1"/>
  <c r="H1984" i="1"/>
  <c r="G1984" i="1"/>
  <c r="F1984" i="1"/>
  <c r="E1984" i="1"/>
  <c r="D1984" i="1"/>
  <c r="J1983" i="1"/>
  <c r="I1983" i="1"/>
  <c r="H1983" i="1"/>
  <c r="G1983" i="1"/>
  <c r="F1983" i="1"/>
  <c r="E1983" i="1"/>
  <c r="D1983" i="1"/>
  <c r="J1982" i="1"/>
  <c r="I1982" i="1"/>
  <c r="H1982" i="1"/>
  <c r="G1982" i="1"/>
  <c r="F1982" i="1"/>
  <c r="E1982" i="1"/>
  <c r="D1982" i="1"/>
  <c r="J1981" i="1"/>
  <c r="I1981" i="1"/>
  <c r="H1981" i="1"/>
  <c r="G1981" i="1"/>
  <c r="F1981" i="1"/>
  <c r="E1981" i="1"/>
  <c r="D1981" i="1"/>
  <c r="J1980" i="1"/>
  <c r="I1980" i="1"/>
  <c r="H1980" i="1"/>
  <c r="G1980" i="1"/>
  <c r="F1980" i="1"/>
  <c r="E1980" i="1"/>
  <c r="D1980" i="1"/>
  <c r="J1979" i="1"/>
  <c r="I1979" i="1"/>
  <c r="H1979" i="1"/>
  <c r="G1979" i="1"/>
  <c r="F1979" i="1"/>
  <c r="E1979" i="1"/>
  <c r="D1979" i="1"/>
  <c r="J1978" i="1"/>
  <c r="I1978" i="1"/>
  <c r="H1978" i="1"/>
  <c r="G1978" i="1"/>
  <c r="F1978" i="1"/>
  <c r="E1978" i="1"/>
  <c r="D1978" i="1"/>
  <c r="J1977" i="1"/>
  <c r="I1977" i="1"/>
  <c r="H1977" i="1"/>
  <c r="G1977" i="1"/>
  <c r="F1977" i="1"/>
  <c r="E1977" i="1"/>
  <c r="D1977" i="1"/>
  <c r="J1976" i="1"/>
  <c r="H1976" i="1"/>
  <c r="F1976" i="1"/>
  <c r="D1976" i="1"/>
  <c r="J1975" i="1"/>
  <c r="I1975" i="1"/>
  <c r="H1975" i="1"/>
  <c r="G1975" i="1"/>
  <c r="F1975" i="1"/>
  <c r="E1975" i="1"/>
  <c r="D1975" i="1"/>
  <c r="J1974" i="1"/>
  <c r="H1974" i="1"/>
  <c r="F1974" i="1"/>
  <c r="D1974" i="1"/>
  <c r="J1973" i="1"/>
  <c r="I1973" i="1"/>
  <c r="H1973" i="1"/>
  <c r="G1973" i="1"/>
  <c r="F1973" i="1"/>
  <c r="E1973" i="1"/>
  <c r="D1973" i="1"/>
  <c r="J1972" i="1"/>
  <c r="I1972" i="1"/>
  <c r="H1972" i="1"/>
  <c r="G1972" i="1"/>
  <c r="F1972" i="1"/>
  <c r="E1972" i="1"/>
  <c r="D1972" i="1"/>
  <c r="J1971" i="1"/>
  <c r="I1971" i="1"/>
  <c r="H1971" i="1"/>
  <c r="G1971" i="1"/>
  <c r="F1971" i="1"/>
  <c r="E1971" i="1"/>
  <c r="D1971" i="1"/>
  <c r="J1970" i="1"/>
  <c r="I1970" i="1"/>
  <c r="H1970" i="1"/>
  <c r="G1970" i="1"/>
  <c r="F1970" i="1"/>
  <c r="E1970" i="1"/>
  <c r="D1970" i="1"/>
  <c r="J1969" i="1"/>
  <c r="I1969" i="1"/>
  <c r="H1969" i="1"/>
  <c r="G1969" i="1"/>
  <c r="F1969" i="1"/>
  <c r="E1969" i="1"/>
  <c r="D1969" i="1"/>
  <c r="J1968" i="1"/>
  <c r="I1968" i="1"/>
  <c r="H1968" i="1"/>
  <c r="G1968" i="1"/>
  <c r="F1968" i="1"/>
  <c r="E1968" i="1"/>
  <c r="D1968" i="1"/>
  <c r="J1967" i="1"/>
  <c r="I1967" i="1"/>
  <c r="H1967" i="1"/>
  <c r="G1967" i="1"/>
  <c r="F1967" i="1"/>
  <c r="E1967" i="1"/>
  <c r="D1967" i="1"/>
  <c r="J1966" i="1"/>
  <c r="I1966" i="1"/>
  <c r="H1966" i="1"/>
  <c r="G1966" i="1"/>
  <c r="F1966" i="1"/>
  <c r="E1966" i="1"/>
  <c r="D1966" i="1"/>
  <c r="J1965" i="1"/>
  <c r="I1965" i="1"/>
  <c r="H1965" i="1"/>
  <c r="G1965" i="1"/>
  <c r="F1965" i="1"/>
  <c r="E1965" i="1"/>
  <c r="D1965" i="1"/>
  <c r="J1964" i="1"/>
  <c r="H1964" i="1"/>
  <c r="F1964" i="1"/>
  <c r="D1964" i="1"/>
  <c r="J1963" i="1"/>
  <c r="I1963" i="1"/>
  <c r="H1963" i="1"/>
  <c r="G1963" i="1"/>
  <c r="F1963" i="1"/>
  <c r="E1963" i="1"/>
  <c r="D1963" i="1"/>
  <c r="J1962" i="1"/>
  <c r="H1962" i="1"/>
  <c r="F1962" i="1"/>
  <c r="D1962" i="1"/>
  <c r="J1961" i="1"/>
  <c r="I1961" i="1"/>
  <c r="H1961" i="1"/>
  <c r="G1961" i="1"/>
  <c r="F1961" i="1"/>
  <c r="E1961" i="1"/>
  <c r="D1961" i="1"/>
  <c r="J1960" i="1"/>
  <c r="I1960" i="1"/>
  <c r="H1960" i="1"/>
  <c r="G1960" i="1"/>
  <c r="F1960" i="1"/>
  <c r="E1960" i="1"/>
  <c r="D1960" i="1"/>
  <c r="J1959" i="1"/>
  <c r="I1959" i="1"/>
  <c r="H1959" i="1"/>
  <c r="G1959" i="1"/>
  <c r="F1959" i="1"/>
  <c r="E1959" i="1"/>
  <c r="D1959" i="1"/>
  <c r="J1958" i="1"/>
  <c r="I1958" i="1"/>
  <c r="H1958" i="1"/>
  <c r="G1958" i="1"/>
  <c r="F1958" i="1"/>
  <c r="E1958" i="1"/>
  <c r="D1958" i="1"/>
  <c r="J1957" i="1"/>
  <c r="H1957" i="1"/>
  <c r="F1957" i="1"/>
  <c r="D1957" i="1"/>
  <c r="J1956" i="1"/>
  <c r="I1956" i="1"/>
  <c r="H1956" i="1"/>
  <c r="G1956" i="1"/>
  <c r="F1956" i="1"/>
  <c r="E1956" i="1"/>
  <c r="D1956" i="1"/>
  <c r="J1955" i="1"/>
  <c r="I1955" i="1"/>
  <c r="H1955" i="1"/>
  <c r="G1955" i="1"/>
  <c r="F1955" i="1"/>
  <c r="E1955" i="1"/>
  <c r="D1955" i="1"/>
  <c r="J1954" i="1"/>
  <c r="I1954" i="1"/>
  <c r="H1954" i="1"/>
  <c r="G1954" i="1"/>
  <c r="F1954" i="1"/>
  <c r="E1954" i="1"/>
  <c r="D1954" i="1"/>
  <c r="J1953" i="1"/>
  <c r="I1953" i="1"/>
  <c r="H1953" i="1"/>
  <c r="G1953" i="1"/>
  <c r="F1953" i="1"/>
  <c r="E1953" i="1"/>
  <c r="D1953" i="1"/>
  <c r="J1952" i="1"/>
  <c r="I1952" i="1"/>
  <c r="H1952" i="1"/>
  <c r="G1952" i="1"/>
  <c r="F1952" i="1"/>
  <c r="E1952" i="1"/>
  <c r="D1952" i="1"/>
  <c r="J1951" i="1"/>
  <c r="I1951" i="1"/>
  <c r="H1951" i="1"/>
  <c r="G1951" i="1"/>
  <c r="F1951" i="1"/>
  <c r="E1951" i="1"/>
  <c r="D1951" i="1"/>
  <c r="J1950" i="1"/>
  <c r="I1950" i="1"/>
  <c r="H1950" i="1"/>
  <c r="G1950" i="1"/>
  <c r="F1950" i="1"/>
  <c r="E1950" i="1"/>
  <c r="D1950" i="1"/>
  <c r="J1949" i="1"/>
  <c r="H1949" i="1"/>
  <c r="F1949" i="1"/>
  <c r="D1949" i="1"/>
  <c r="J1948" i="1"/>
  <c r="I1948" i="1"/>
  <c r="H1948" i="1"/>
  <c r="G1948" i="1"/>
  <c r="F1948" i="1"/>
  <c r="E1948" i="1"/>
  <c r="D1948" i="1"/>
  <c r="J1947" i="1"/>
  <c r="I1947" i="1"/>
  <c r="H1947" i="1"/>
  <c r="G1947" i="1"/>
  <c r="F1947" i="1"/>
  <c r="E1947" i="1"/>
  <c r="D1947" i="1"/>
  <c r="J1946" i="1"/>
  <c r="I1946" i="1"/>
  <c r="H1946" i="1"/>
  <c r="G1946" i="1"/>
  <c r="F1946" i="1"/>
  <c r="E1946" i="1"/>
  <c r="D1946" i="1"/>
  <c r="J1945" i="1"/>
  <c r="I1945" i="1"/>
  <c r="H1945" i="1"/>
  <c r="G1945" i="1"/>
  <c r="F1945" i="1"/>
  <c r="E1945" i="1"/>
  <c r="D1945" i="1"/>
  <c r="J1944" i="1"/>
  <c r="I1944" i="1"/>
  <c r="H1944" i="1"/>
  <c r="G1944" i="1"/>
  <c r="F1944" i="1"/>
  <c r="E1944" i="1"/>
  <c r="D1944" i="1"/>
  <c r="J1943" i="1"/>
  <c r="I1943" i="1"/>
  <c r="H1943" i="1"/>
  <c r="G1943" i="1"/>
  <c r="F1943" i="1"/>
  <c r="E1943" i="1"/>
  <c r="D1943" i="1"/>
  <c r="J1942" i="1"/>
  <c r="I1942" i="1"/>
  <c r="H1942" i="1"/>
  <c r="G1942" i="1"/>
  <c r="F1942" i="1"/>
  <c r="E1942" i="1"/>
  <c r="D1942" i="1"/>
  <c r="J1941" i="1"/>
  <c r="I1941" i="1"/>
  <c r="H1941" i="1"/>
  <c r="G1941" i="1"/>
  <c r="F1941" i="1"/>
  <c r="E1941" i="1"/>
  <c r="D1941" i="1"/>
  <c r="J1940" i="1"/>
  <c r="I1940" i="1"/>
  <c r="H1940" i="1"/>
  <c r="G1940" i="1"/>
  <c r="F1940" i="1"/>
  <c r="E1940" i="1"/>
  <c r="D1940" i="1"/>
  <c r="J1939" i="1"/>
  <c r="I1939" i="1"/>
  <c r="H1939" i="1"/>
  <c r="G1939" i="1"/>
  <c r="F1939" i="1"/>
  <c r="E1939" i="1"/>
  <c r="D1939" i="1"/>
  <c r="J1938" i="1"/>
  <c r="I1938" i="1"/>
  <c r="H1938" i="1"/>
  <c r="G1938" i="1"/>
  <c r="F1938" i="1"/>
  <c r="E1938" i="1"/>
  <c r="D1938" i="1"/>
  <c r="J1937" i="1"/>
  <c r="I1937" i="1"/>
  <c r="H1937" i="1"/>
  <c r="G1937" i="1"/>
  <c r="F1937" i="1"/>
  <c r="E1937" i="1"/>
  <c r="D1937" i="1"/>
  <c r="J1936" i="1"/>
  <c r="I1936" i="1"/>
  <c r="H1936" i="1"/>
  <c r="G1936" i="1"/>
  <c r="F1936" i="1"/>
  <c r="E1936" i="1"/>
  <c r="D1936" i="1"/>
  <c r="J1935" i="1"/>
  <c r="I1935" i="1"/>
  <c r="H1935" i="1"/>
  <c r="G1935" i="1"/>
  <c r="F1935" i="1"/>
  <c r="E1935" i="1"/>
  <c r="D1935" i="1"/>
  <c r="J1934" i="1"/>
  <c r="I1934" i="1"/>
  <c r="H1934" i="1"/>
  <c r="G1934" i="1"/>
  <c r="F1934" i="1"/>
  <c r="E1934" i="1"/>
  <c r="D1934" i="1"/>
  <c r="J1933" i="1"/>
  <c r="I1933" i="1"/>
  <c r="H1933" i="1"/>
  <c r="G1933" i="1"/>
  <c r="F1933" i="1"/>
  <c r="E1933" i="1"/>
  <c r="D1933" i="1"/>
  <c r="J1932" i="1"/>
  <c r="I1932" i="1"/>
  <c r="H1932" i="1"/>
  <c r="G1932" i="1"/>
  <c r="F1932" i="1"/>
  <c r="E1932" i="1"/>
  <c r="D1932" i="1"/>
  <c r="J1931" i="1"/>
  <c r="I1931" i="1"/>
  <c r="H1931" i="1"/>
  <c r="G1931" i="1"/>
  <c r="F1931" i="1"/>
  <c r="E1931" i="1"/>
  <c r="D1931" i="1"/>
  <c r="J1930" i="1"/>
  <c r="I1930" i="1"/>
  <c r="H1930" i="1"/>
  <c r="G1930" i="1"/>
  <c r="F1930" i="1"/>
  <c r="E1930" i="1"/>
  <c r="D1930" i="1"/>
  <c r="J1929" i="1"/>
  <c r="I1929" i="1"/>
  <c r="H1929" i="1"/>
  <c r="G1929" i="1"/>
  <c r="F1929" i="1"/>
  <c r="E1929" i="1"/>
  <c r="D1929" i="1"/>
  <c r="J1928" i="1"/>
  <c r="I1928" i="1"/>
  <c r="H1928" i="1"/>
  <c r="G1928" i="1"/>
  <c r="F1928" i="1"/>
  <c r="E1928" i="1"/>
  <c r="D1928" i="1"/>
  <c r="J1927" i="1"/>
  <c r="I1927" i="1"/>
  <c r="H1927" i="1"/>
  <c r="G1927" i="1"/>
  <c r="F1927" i="1"/>
  <c r="E1927" i="1"/>
  <c r="D1927" i="1"/>
  <c r="J1926" i="1"/>
  <c r="I1926" i="1"/>
  <c r="H1926" i="1"/>
  <c r="G1926" i="1"/>
  <c r="F1926" i="1"/>
  <c r="E1926" i="1"/>
  <c r="D1926" i="1"/>
  <c r="J1925" i="1"/>
  <c r="I1925" i="1"/>
  <c r="H1925" i="1"/>
  <c r="G1925" i="1"/>
  <c r="F1925" i="1"/>
  <c r="E1925" i="1"/>
  <c r="D1925" i="1"/>
  <c r="J1924" i="1"/>
  <c r="I1924" i="1"/>
  <c r="H1924" i="1"/>
  <c r="G1924" i="1"/>
  <c r="F1924" i="1"/>
  <c r="E1924" i="1"/>
  <c r="D1924" i="1"/>
  <c r="J1923" i="1"/>
  <c r="I1923" i="1"/>
  <c r="H1923" i="1"/>
  <c r="G1923" i="1"/>
  <c r="F1923" i="1"/>
  <c r="E1923" i="1"/>
  <c r="D1923" i="1"/>
  <c r="J1922" i="1"/>
  <c r="I1922" i="1"/>
  <c r="H1922" i="1"/>
  <c r="G1922" i="1"/>
  <c r="F1922" i="1"/>
  <c r="E1922" i="1"/>
  <c r="D1922" i="1"/>
  <c r="J1921" i="1"/>
  <c r="H1921" i="1"/>
  <c r="F1921" i="1"/>
  <c r="D1921" i="1"/>
  <c r="J1920" i="1"/>
  <c r="H1920" i="1"/>
  <c r="F1920" i="1"/>
  <c r="D1920" i="1"/>
  <c r="J1919" i="1"/>
  <c r="I1919" i="1"/>
  <c r="H1919" i="1"/>
  <c r="G1919" i="1"/>
  <c r="F1919" i="1"/>
  <c r="E1919" i="1"/>
  <c r="D1919" i="1"/>
  <c r="J1918" i="1"/>
  <c r="I1918" i="1"/>
  <c r="H1918" i="1"/>
  <c r="G1918" i="1"/>
  <c r="F1918" i="1"/>
  <c r="E1918" i="1"/>
  <c r="D1918" i="1"/>
  <c r="J1917" i="1"/>
  <c r="I1917" i="1"/>
  <c r="H1917" i="1"/>
  <c r="G1917" i="1"/>
  <c r="F1917" i="1"/>
  <c r="E1917" i="1"/>
  <c r="D1917" i="1"/>
  <c r="J1916" i="1"/>
  <c r="I1916" i="1"/>
  <c r="H1916" i="1"/>
  <c r="G1916" i="1"/>
  <c r="F1916" i="1"/>
  <c r="E1916" i="1"/>
  <c r="D1916" i="1"/>
  <c r="J1915" i="1"/>
  <c r="I1915" i="1"/>
  <c r="H1915" i="1"/>
  <c r="G1915" i="1"/>
  <c r="F1915" i="1"/>
  <c r="E1915" i="1"/>
  <c r="D1915" i="1"/>
  <c r="J1914" i="1"/>
  <c r="I1914" i="1"/>
  <c r="H1914" i="1"/>
  <c r="G1914" i="1"/>
  <c r="F1914" i="1"/>
  <c r="E1914" i="1"/>
  <c r="D1914" i="1"/>
  <c r="J1913" i="1"/>
  <c r="I1913" i="1"/>
  <c r="H1913" i="1"/>
  <c r="G1913" i="1"/>
  <c r="F1913" i="1"/>
  <c r="E1913" i="1"/>
  <c r="D1913" i="1"/>
  <c r="J1912" i="1"/>
  <c r="I1912" i="1"/>
  <c r="H1912" i="1"/>
  <c r="G1912" i="1"/>
  <c r="F1912" i="1"/>
  <c r="E1912" i="1"/>
  <c r="D1912" i="1"/>
  <c r="J1911" i="1"/>
  <c r="I1911" i="1"/>
  <c r="H1911" i="1"/>
  <c r="G1911" i="1"/>
  <c r="F1911" i="1"/>
  <c r="E1911" i="1"/>
  <c r="D1911" i="1"/>
  <c r="J1910" i="1"/>
  <c r="I1910" i="1"/>
  <c r="H1910" i="1"/>
  <c r="G1910" i="1"/>
  <c r="F1910" i="1"/>
  <c r="E1910" i="1"/>
  <c r="D1910" i="1"/>
  <c r="J1909" i="1"/>
  <c r="I1909" i="1"/>
  <c r="H1909" i="1"/>
  <c r="G1909" i="1"/>
  <c r="F1909" i="1"/>
  <c r="E1909" i="1"/>
  <c r="D1909" i="1"/>
  <c r="J1908" i="1"/>
  <c r="I1908" i="1"/>
  <c r="H1908" i="1"/>
  <c r="G1908" i="1"/>
  <c r="F1908" i="1"/>
  <c r="E1908" i="1"/>
  <c r="D1908" i="1"/>
  <c r="J1907" i="1"/>
  <c r="I1907" i="1"/>
  <c r="H1907" i="1"/>
  <c r="G1907" i="1"/>
  <c r="F1907" i="1"/>
  <c r="E1907" i="1"/>
  <c r="D1907" i="1"/>
  <c r="J1906" i="1"/>
  <c r="I1906" i="1"/>
  <c r="H1906" i="1"/>
  <c r="G1906" i="1"/>
  <c r="F1906" i="1"/>
  <c r="E1906" i="1"/>
  <c r="D1906" i="1"/>
  <c r="J1905" i="1"/>
  <c r="H1905" i="1"/>
  <c r="F1905" i="1"/>
  <c r="D1905" i="1"/>
  <c r="J1904" i="1"/>
  <c r="I1904" i="1"/>
  <c r="H1904" i="1"/>
  <c r="G1904" i="1"/>
  <c r="F1904" i="1"/>
  <c r="E1904" i="1"/>
  <c r="D1904" i="1"/>
  <c r="J1903" i="1"/>
  <c r="I1903" i="1"/>
  <c r="H1903" i="1"/>
  <c r="G1903" i="1"/>
  <c r="F1903" i="1"/>
  <c r="E1903" i="1"/>
  <c r="D1903" i="1"/>
  <c r="J1902" i="1"/>
  <c r="I1902" i="1"/>
  <c r="H1902" i="1"/>
  <c r="G1902" i="1"/>
  <c r="F1902" i="1"/>
  <c r="E1902" i="1"/>
  <c r="D1902" i="1"/>
  <c r="J1901" i="1"/>
  <c r="I1901" i="1"/>
  <c r="H1901" i="1"/>
  <c r="G1901" i="1"/>
  <c r="F1901" i="1"/>
  <c r="E1901" i="1"/>
  <c r="D1901" i="1"/>
  <c r="J1900" i="1"/>
  <c r="I1900" i="1"/>
  <c r="H1900" i="1"/>
  <c r="G1900" i="1"/>
  <c r="F1900" i="1"/>
  <c r="E1900" i="1"/>
  <c r="D1900" i="1"/>
  <c r="J1899" i="1"/>
  <c r="I1899" i="1"/>
  <c r="H1899" i="1"/>
  <c r="G1899" i="1"/>
  <c r="F1899" i="1"/>
  <c r="E1899" i="1"/>
  <c r="D1899" i="1"/>
  <c r="J1898" i="1"/>
  <c r="I1898" i="1"/>
  <c r="H1898" i="1"/>
  <c r="G1898" i="1"/>
  <c r="F1898" i="1"/>
  <c r="E1898" i="1"/>
  <c r="D1898" i="1"/>
  <c r="J1897" i="1"/>
  <c r="I1897" i="1"/>
  <c r="H1897" i="1"/>
  <c r="G1897" i="1"/>
  <c r="F1897" i="1"/>
  <c r="E1897" i="1"/>
  <c r="D1897" i="1"/>
  <c r="J1896" i="1"/>
  <c r="I1896" i="1"/>
  <c r="H1896" i="1"/>
  <c r="G1896" i="1"/>
  <c r="F1896" i="1"/>
  <c r="E1896" i="1"/>
  <c r="D1896" i="1"/>
  <c r="J1895" i="1"/>
  <c r="I1895" i="1"/>
  <c r="H1895" i="1"/>
  <c r="G1895" i="1"/>
  <c r="F1895" i="1"/>
  <c r="E1895" i="1"/>
  <c r="D1895" i="1"/>
  <c r="J1894" i="1"/>
  <c r="I1894" i="1"/>
  <c r="H1894" i="1"/>
  <c r="G1894" i="1"/>
  <c r="F1894" i="1"/>
  <c r="E1894" i="1"/>
  <c r="D1894" i="1"/>
  <c r="J1893" i="1"/>
  <c r="I1893" i="1"/>
  <c r="H1893" i="1"/>
  <c r="G1893" i="1"/>
  <c r="F1893" i="1"/>
  <c r="E1893" i="1"/>
  <c r="D1893" i="1"/>
  <c r="J1892" i="1"/>
  <c r="I1892" i="1"/>
  <c r="H1892" i="1"/>
  <c r="G1892" i="1"/>
  <c r="F1892" i="1"/>
  <c r="E1892" i="1"/>
  <c r="D1892" i="1"/>
  <c r="J1891" i="1"/>
  <c r="I1891" i="1"/>
  <c r="H1891" i="1"/>
  <c r="G1891" i="1"/>
  <c r="F1891" i="1"/>
  <c r="E1891" i="1"/>
  <c r="D1891" i="1"/>
  <c r="J1890" i="1"/>
  <c r="I1890" i="1"/>
  <c r="H1890" i="1"/>
  <c r="G1890" i="1"/>
  <c r="F1890" i="1"/>
  <c r="E1890" i="1"/>
  <c r="D1890" i="1"/>
  <c r="J1889" i="1"/>
  <c r="I1889" i="1"/>
  <c r="H1889" i="1"/>
  <c r="G1889" i="1"/>
  <c r="F1889" i="1"/>
  <c r="E1889" i="1"/>
  <c r="D1889" i="1"/>
  <c r="J1888" i="1"/>
  <c r="I1888" i="1"/>
  <c r="H1888" i="1"/>
  <c r="G1888" i="1"/>
  <c r="F1888" i="1"/>
  <c r="E1888" i="1"/>
  <c r="D1888" i="1"/>
  <c r="J1887" i="1"/>
  <c r="I1887" i="1"/>
  <c r="H1887" i="1"/>
  <c r="G1887" i="1"/>
  <c r="F1887" i="1"/>
  <c r="E1887" i="1"/>
  <c r="D1887" i="1"/>
  <c r="J1886" i="1"/>
  <c r="I1886" i="1"/>
  <c r="H1886" i="1"/>
  <c r="G1886" i="1"/>
  <c r="F1886" i="1"/>
  <c r="E1886" i="1"/>
  <c r="D1886" i="1"/>
  <c r="J1885" i="1"/>
  <c r="I1885" i="1"/>
  <c r="H1885" i="1"/>
  <c r="G1885" i="1"/>
  <c r="F1885" i="1"/>
  <c r="E1885" i="1"/>
  <c r="D1885" i="1"/>
  <c r="J1884" i="1"/>
  <c r="I1884" i="1"/>
  <c r="H1884" i="1"/>
  <c r="G1884" i="1"/>
  <c r="F1884" i="1"/>
  <c r="E1884" i="1"/>
  <c r="D1884" i="1"/>
  <c r="J1883" i="1"/>
  <c r="I1883" i="1"/>
  <c r="H1883" i="1"/>
  <c r="G1883" i="1"/>
  <c r="F1883" i="1"/>
  <c r="E1883" i="1"/>
  <c r="D1883" i="1"/>
  <c r="J1882" i="1"/>
  <c r="H1882" i="1"/>
  <c r="F1882" i="1"/>
  <c r="D1882" i="1"/>
  <c r="J1881" i="1"/>
  <c r="H1881" i="1"/>
  <c r="F1881" i="1"/>
  <c r="D1881" i="1"/>
  <c r="J1880" i="1"/>
  <c r="I1880" i="1"/>
  <c r="H1880" i="1"/>
  <c r="G1880" i="1"/>
  <c r="F1880" i="1"/>
  <c r="E1880" i="1"/>
  <c r="D1880" i="1"/>
  <c r="J1879" i="1"/>
  <c r="I1879" i="1"/>
  <c r="H1879" i="1"/>
  <c r="G1879" i="1"/>
  <c r="F1879" i="1"/>
  <c r="E1879" i="1"/>
  <c r="D1879" i="1"/>
  <c r="J1878" i="1"/>
  <c r="I1878" i="1"/>
  <c r="H1878" i="1"/>
  <c r="G1878" i="1"/>
  <c r="F1878" i="1"/>
  <c r="E1878" i="1"/>
  <c r="D1878" i="1"/>
  <c r="J1877" i="1"/>
  <c r="H1877" i="1"/>
  <c r="F1877" i="1"/>
  <c r="D1877" i="1"/>
  <c r="J1876" i="1"/>
  <c r="I1876" i="1"/>
  <c r="H1876" i="1"/>
  <c r="G1876" i="1"/>
  <c r="F1876" i="1"/>
  <c r="E1876" i="1"/>
  <c r="D1876" i="1"/>
  <c r="J1875" i="1"/>
  <c r="I1875" i="1"/>
  <c r="H1875" i="1"/>
  <c r="G1875" i="1"/>
  <c r="F1875" i="1"/>
  <c r="E1875" i="1"/>
  <c r="D1875" i="1"/>
  <c r="J1874" i="1"/>
  <c r="I1874" i="1"/>
  <c r="H1874" i="1"/>
  <c r="G1874" i="1"/>
  <c r="F1874" i="1"/>
  <c r="E1874" i="1"/>
  <c r="D1874" i="1"/>
  <c r="J1873" i="1"/>
  <c r="I1873" i="1"/>
  <c r="H1873" i="1"/>
  <c r="G1873" i="1"/>
  <c r="F1873" i="1"/>
  <c r="E1873" i="1"/>
  <c r="D1873" i="1"/>
  <c r="J1872" i="1"/>
  <c r="I1872" i="1"/>
  <c r="H1872" i="1"/>
  <c r="G1872" i="1"/>
  <c r="F1872" i="1"/>
  <c r="E1872" i="1"/>
  <c r="D1872" i="1"/>
  <c r="J1871" i="1"/>
  <c r="I1871" i="1"/>
  <c r="H1871" i="1"/>
  <c r="G1871" i="1"/>
  <c r="F1871" i="1"/>
  <c r="E1871" i="1"/>
  <c r="D1871" i="1"/>
  <c r="J1870" i="1"/>
  <c r="I1870" i="1"/>
  <c r="H1870" i="1"/>
  <c r="G1870" i="1"/>
  <c r="F1870" i="1"/>
  <c r="E1870" i="1"/>
  <c r="D1870" i="1"/>
  <c r="J1869" i="1"/>
  <c r="I1869" i="1"/>
  <c r="H1869" i="1"/>
  <c r="G1869" i="1"/>
  <c r="F1869" i="1"/>
  <c r="E1869" i="1"/>
  <c r="D1869" i="1"/>
  <c r="J1868" i="1"/>
  <c r="I1868" i="1"/>
  <c r="H1868" i="1"/>
  <c r="G1868" i="1"/>
  <c r="F1868" i="1"/>
  <c r="E1868" i="1"/>
  <c r="D1868" i="1"/>
  <c r="J1867" i="1"/>
  <c r="I1867" i="1"/>
  <c r="H1867" i="1"/>
  <c r="G1867" i="1"/>
  <c r="F1867" i="1"/>
  <c r="E1867" i="1"/>
  <c r="D1867" i="1"/>
  <c r="J1866" i="1"/>
  <c r="I1866" i="1"/>
  <c r="H1866" i="1"/>
  <c r="G1866" i="1"/>
  <c r="F1866" i="1"/>
  <c r="E1866" i="1"/>
  <c r="D1866" i="1"/>
  <c r="J1865" i="1"/>
  <c r="I1865" i="1"/>
  <c r="H1865" i="1"/>
  <c r="G1865" i="1"/>
  <c r="F1865" i="1"/>
  <c r="E1865" i="1"/>
  <c r="D1865" i="1"/>
  <c r="J1864" i="1"/>
  <c r="H1864" i="1"/>
  <c r="F1864" i="1"/>
  <c r="D1864" i="1"/>
  <c r="J1863" i="1"/>
  <c r="I1863" i="1"/>
  <c r="H1863" i="1"/>
  <c r="G1863" i="1"/>
  <c r="F1863" i="1"/>
  <c r="E1863" i="1"/>
  <c r="D1863" i="1"/>
  <c r="J1862" i="1"/>
  <c r="I1862" i="1"/>
  <c r="H1862" i="1"/>
  <c r="G1862" i="1"/>
  <c r="F1862" i="1"/>
  <c r="E1862" i="1"/>
  <c r="D1862" i="1"/>
  <c r="J1861" i="1"/>
  <c r="I1861" i="1"/>
  <c r="H1861" i="1"/>
  <c r="G1861" i="1"/>
  <c r="F1861" i="1"/>
  <c r="E1861" i="1"/>
  <c r="D1861" i="1"/>
  <c r="J1860" i="1"/>
  <c r="I1860" i="1"/>
  <c r="H1860" i="1"/>
  <c r="G1860" i="1"/>
  <c r="F1860" i="1"/>
  <c r="E1860" i="1"/>
  <c r="D1860" i="1"/>
  <c r="J1859" i="1"/>
  <c r="I1859" i="1"/>
  <c r="H1859" i="1"/>
  <c r="G1859" i="1"/>
  <c r="F1859" i="1"/>
  <c r="E1859" i="1"/>
  <c r="D1859" i="1"/>
  <c r="J1858" i="1"/>
  <c r="H1858" i="1"/>
  <c r="F1858" i="1"/>
  <c r="D1858" i="1"/>
  <c r="J1857" i="1"/>
  <c r="I1857" i="1"/>
  <c r="H1857" i="1"/>
  <c r="G1857" i="1"/>
  <c r="F1857" i="1"/>
  <c r="E1857" i="1"/>
  <c r="D1857" i="1"/>
  <c r="J1856" i="1"/>
  <c r="I1856" i="1"/>
  <c r="H1856" i="1"/>
  <c r="G1856" i="1"/>
  <c r="F1856" i="1"/>
  <c r="E1856" i="1"/>
  <c r="D1856" i="1"/>
  <c r="J1855" i="1"/>
  <c r="I1855" i="1"/>
  <c r="H1855" i="1"/>
  <c r="G1855" i="1"/>
  <c r="F1855" i="1"/>
  <c r="E1855" i="1"/>
  <c r="D1855" i="1"/>
  <c r="J1854" i="1"/>
  <c r="I1854" i="1"/>
  <c r="H1854" i="1"/>
  <c r="G1854" i="1"/>
  <c r="F1854" i="1"/>
  <c r="E1854" i="1"/>
  <c r="D1854" i="1"/>
  <c r="J1853" i="1"/>
  <c r="I1853" i="1"/>
  <c r="H1853" i="1"/>
  <c r="G1853" i="1"/>
  <c r="F1853" i="1"/>
  <c r="E1853" i="1"/>
  <c r="D1853" i="1"/>
  <c r="J1852" i="1"/>
  <c r="I1852" i="1"/>
  <c r="H1852" i="1"/>
  <c r="G1852" i="1"/>
  <c r="F1852" i="1"/>
  <c r="E1852" i="1"/>
  <c r="D1852" i="1"/>
  <c r="J1851" i="1"/>
  <c r="I1851" i="1"/>
  <c r="H1851" i="1"/>
  <c r="G1851" i="1"/>
  <c r="F1851" i="1"/>
  <c r="E1851" i="1"/>
  <c r="D1851" i="1"/>
  <c r="J1850" i="1"/>
  <c r="I1850" i="1"/>
  <c r="H1850" i="1"/>
  <c r="G1850" i="1"/>
  <c r="F1850" i="1"/>
  <c r="E1850" i="1"/>
  <c r="D1850" i="1"/>
  <c r="J1849" i="1"/>
  <c r="I1849" i="1"/>
  <c r="H1849" i="1"/>
  <c r="G1849" i="1"/>
  <c r="F1849" i="1"/>
  <c r="E1849" i="1"/>
  <c r="D1849" i="1"/>
  <c r="J1848" i="1"/>
  <c r="I1848" i="1"/>
  <c r="H1848" i="1"/>
  <c r="G1848" i="1"/>
  <c r="F1848" i="1"/>
  <c r="E1848" i="1"/>
  <c r="D1848" i="1"/>
  <c r="J1847" i="1"/>
  <c r="I1847" i="1"/>
  <c r="H1847" i="1"/>
  <c r="G1847" i="1"/>
  <c r="F1847" i="1"/>
  <c r="E1847" i="1"/>
  <c r="D1847" i="1"/>
  <c r="J1846" i="1"/>
  <c r="I1846" i="1"/>
  <c r="H1846" i="1"/>
  <c r="G1846" i="1"/>
  <c r="F1846" i="1"/>
  <c r="E1846" i="1"/>
  <c r="D1846" i="1"/>
  <c r="J1845" i="1"/>
  <c r="I1845" i="1"/>
  <c r="H1845" i="1"/>
  <c r="G1845" i="1"/>
  <c r="F1845" i="1"/>
  <c r="E1845" i="1"/>
  <c r="D1845" i="1"/>
  <c r="J1844" i="1"/>
  <c r="I1844" i="1"/>
  <c r="H1844" i="1"/>
  <c r="G1844" i="1"/>
  <c r="F1844" i="1"/>
  <c r="E1844" i="1"/>
  <c r="D1844" i="1"/>
  <c r="J1843" i="1"/>
  <c r="I1843" i="1"/>
  <c r="H1843" i="1"/>
  <c r="G1843" i="1"/>
  <c r="F1843" i="1"/>
  <c r="E1843" i="1"/>
  <c r="D1843" i="1"/>
  <c r="J1842" i="1"/>
  <c r="I1842" i="1"/>
  <c r="H1842" i="1"/>
  <c r="G1842" i="1"/>
  <c r="F1842" i="1"/>
  <c r="E1842" i="1"/>
  <c r="D1842" i="1"/>
  <c r="J1841" i="1"/>
  <c r="I1841" i="1"/>
  <c r="H1841" i="1"/>
  <c r="G1841" i="1"/>
  <c r="F1841" i="1"/>
  <c r="E1841" i="1"/>
  <c r="D1841" i="1"/>
  <c r="J1840" i="1"/>
  <c r="H1840" i="1"/>
  <c r="F1840" i="1"/>
  <c r="D1840" i="1"/>
  <c r="J1839" i="1"/>
  <c r="I1839" i="1"/>
  <c r="H1839" i="1"/>
  <c r="G1839" i="1"/>
  <c r="F1839" i="1"/>
  <c r="E1839" i="1"/>
  <c r="D1839" i="1"/>
  <c r="J1838" i="1"/>
  <c r="I1838" i="1"/>
  <c r="H1838" i="1"/>
  <c r="G1838" i="1"/>
  <c r="F1838" i="1"/>
  <c r="E1838" i="1"/>
  <c r="D1838" i="1"/>
  <c r="J1837" i="1"/>
  <c r="H1837" i="1"/>
  <c r="F1837" i="1"/>
  <c r="D1837" i="1"/>
  <c r="J1836" i="1"/>
  <c r="I1836" i="1"/>
  <c r="H1836" i="1"/>
  <c r="G1836" i="1"/>
  <c r="F1836" i="1"/>
  <c r="E1836" i="1"/>
  <c r="D1836" i="1"/>
  <c r="J1835" i="1"/>
  <c r="I1835" i="1"/>
  <c r="H1835" i="1"/>
  <c r="G1835" i="1"/>
  <c r="F1835" i="1"/>
  <c r="E1835" i="1"/>
  <c r="D1835" i="1"/>
  <c r="J1834" i="1"/>
  <c r="I1834" i="1"/>
  <c r="H1834" i="1"/>
  <c r="G1834" i="1"/>
  <c r="F1834" i="1"/>
  <c r="E1834" i="1"/>
  <c r="D1834" i="1"/>
  <c r="J1833" i="1"/>
  <c r="I1833" i="1"/>
  <c r="H1833" i="1"/>
  <c r="G1833" i="1"/>
  <c r="F1833" i="1"/>
  <c r="E1833" i="1"/>
  <c r="D1833" i="1"/>
  <c r="J1832" i="1"/>
  <c r="I1832" i="1"/>
  <c r="H1832" i="1"/>
  <c r="G1832" i="1"/>
  <c r="F1832" i="1"/>
  <c r="E1832" i="1"/>
  <c r="D1832" i="1"/>
  <c r="J1831" i="1"/>
  <c r="I1831" i="1"/>
  <c r="H1831" i="1"/>
  <c r="G1831" i="1"/>
  <c r="F1831" i="1"/>
  <c r="E1831" i="1"/>
  <c r="D1831" i="1"/>
  <c r="J1830" i="1"/>
  <c r="I1830" i="1"/>
  <c r="H1830" i="1"/>
  <c r="G1830" i="1"/>
  <c r="F1830" i="1"/>
  <c r="E1830" i="1"/>
  <c r="D1830" i="1"/>
  <c r="J1829" i="1"/>
  <c r="I1829" i="1"/>
  <c r="H1829" i="1"/>
  <c r="G1829" i="1"/>
  <c r="F1829" i="1"/>
  <c r="E1829" i="1"/>
  <c r="D1829" i="1"/>
  <c r="J1828" i="1"/>
  <c r="I1828" i="1"/>
  <c r="H1828" i="1"/>
  <c r="G1828" i="1"/>
  <c r="F1828" i="1"/>
  <c r="E1828" i="1"/>
  <c r="D1828" i="1"/>
  <c r="J1827" i="1"/>
  <c r="I1827" i="1"/>
  <c r="H1827" i="1"/>
  <c r="G1827" i="1"/>
  <c r="F1827" i="1"/>
  <c r="E1827" i="1"/>
  <c r="D1827" i="1"/>
  <c r="J1826" i="1"/>
  <c r="I1826" i="1"/>
  <c r="H1826" i="1"/>
  <c r="G1826" i="1"/>
  <c r="F1826" i="1"/>
  <c r="E1826" i="1"/>
  <c r="D1826" i="1"/>
  <c r="J1825" i="1"/>
  <c r="I1825" i="1"/>
  <c r="H1825" i="1"/>
  <c r="G1825" i="1"/>
  <c r="F1825" i="1"/>
  <c r="E1825" i="1"/>
  <c r="D1825" i="1"/>
  <c r="J1824" i="1"/>
  <c r="I1824" i="1"/>
  <c r="H1824" i="1"/>
  <c r="G1824" i="1"/>
  <c r="F1824" i="1"/>
  <c r="E1824" i="1"/>
  <c r="D1824" i="1"/>
  <c r="J1823" i="1"/>
  <c r="I1823" i="1"/>
  <c r="H1823" i="1"/>
  <c r="G1823" i="1"/>
  <c r="F1823" i="1"/>
  <c r="E1823" i="1"/>
  <c r="D1823" i="1"/>
  <c r="J1822" i="1"/>
  <c r="I1822" i="1"/>
  <c r="H1822" i="1"/>
  <c r="G1822" i="1"/>
  <c r="F1822" i="1"/>
  <c r="E1822" i="1"/>
  <c r="D1822" i="1"/>
  <c r="J1821" i="1"/>
  <c r="I1821" i="1"/>
  <c r="H1821" i="1"/>
  <c r="G1821" i="1"/>
  <c r="F1821" i="1"/>
  <c r="E1821" i="1"/>
  <c r="D1821" i="1"/>
  <c r="J1820" i="1"/>
  <c r="I1820" i="1"/>
  <c r="H1820" i="1"/>
  <c r="G1820" i="1"/>
  <c r="F1820" i="1"/>
  <c r="E1820" i="1"/>
  <c r="D1820" i="1"/>
  <c r="J1819" i="1"/>
  <c r="I1819" i="1"/>
  <c r="H1819" i="1"/>
  <c r="G1819" i="1"/>
  <c r="F1819" i="1"/>
  <c r="E1819" i="1"/>
  <c r="D1819" i="1"/>
  <c r="J1818" i="1"/>
  <c r="I1818" i="1"/>
  <c r="H1818" i="1"/>
  <c r="G1818" i="1"/>
  <c r="F1818" i="1"/>
  <c r="E1818" i="1"/>
  <c r="D1818" i="1"/>
  <c r="J1817" i="1"/>
  <c r="I1817" i="1"/>
  <c r="H1817" i="1"/>
  <c r="G1817" i="1"/>
  <c r="F1817" i="1"/>
  <c r="E1817" i="1"/>
  <c r="D1817" i="1"/>
  <c r="J1816" i="1"/>
  <c r="I1816" i="1"/>
  <c r="H1816" i="1"/>
  <c r="G1816" i="1"/>
  <c r="F1816" i="1"/>
  <c r="E1816" i="1"/>
  <c r="D1816" i="1"/>
  <c r="J1815" i="1"/>
  <c r="I1815" i="1"/>
  <c r="H1815" i="1"/>
  <c r="G1815" i="1"/>
  <c r="F1815" i="1"/>
  <c r="E1815" i="1"/>
  <c r="D1815" i="1"/>
  <c r="J1814" i="1"/>
  <c r="I1814" i="1"/>
  <c r="H1814" i="1"/>
  <c r="G1814" i="1"/>
  <c r="F1814" i="1"/>
  <c r="E1814" i="1"/>
  <c r="D1814" i="1"/>
  <c r="J1813" i="1"/>
  <c r="I1813" i="1"/>
  <c r="H1813" i="1"/>
  <c r="G1813" i="1"/>
  <c r="F1813" i="1"/>
  <c r="E1813" i="1"/>
  <c r="D1813" i="1"/>
  <c r="J1812" i="1"/>
  <c r="I1812" i="1"/>
  <c r="H1812" i="1"/>
  <c r="G1812" i="1"/>
  <c r="F1812" i="1"/>
  <c r="E1812" i="1"/>
  <c r="D1812" i="1"/>
  <c r="J1811" i="1"/>
  <c r="I1811" i="1"/>
  <c r="H1811" i="1"/>
  <c r="G1811" i="1"/>
  <c r="F1811" i="1"/>
  <c r="E1811" i="1"/>
  <c r="D1811" i="1"/>
  <c r="J1810" i="1"/>
  <c r="I1810" i="1"/>
  <c r="H1810" i="1"/>
  <c r="G1810" i="1"/>
  <c r="F1810" i="1"/>
  <c r="E1810" i="1"/>
  <c r="D1810" i="1"/>
  <c r="J1809" i="1"/>
  <c r="I1809" i="1"/>
  <c r="H1809" i="1"/>
  <c r="G1809" i="1"/>
  <c r="F1809" i="1"/>
  <c r="E1809" i="1"/>
  <c r="D1809" i="1"/>
  <c r="J1808" i="1"/>
  <c r="I1808" i="1"/>
  <c r="H1808" i="1"/>
  <c r="G1808" i="1"/>
  <c r="F1808" i="1"/>
  <c r="E1808" i="1"/>
  <c r="D1808" i="1"/>
  <c r="J1807" i="1"/>
  <c r="I1807" i="1"/>
  <c r="H1807" i="1"/>
  <c r="G1807" i="1"/>
  <c r="F1807" i="1"/>
  <c r="E1807" i="1"/>
  <c r="D1807" i="1"/>
  <c r="J1806" i="1"/>
  <c r="I1806" i="1"/>
  <c r="H1806" i="1"/>
  <c r="G1806" i="1"/>
  <c r="F1806" i="1"/>
  <c r="E1806" i="1"/>
  <c r="D1806" i="1"/>
  <c r="J1805" i="1"/>
  <c r="I1805" i="1"/>
  <c r="H1805" i="1"/>
  <c r="G1805" i="1"/>
  <c r="F1805" i="1"/>
  <c r="E1805" i="1"/>
  <c r="D1805" i="1"/>
  <c r="J1804" i="1"/>
  <c r="I1804" i="1"/>
  <c r="H1804" i="1"/>
  <c r="G1804" i="1"/>
  <c r="F1804" i="1"/>
  <c r="E1804" i="1"/>
  <c r="D1804" i="1"/>
  <c r="J1803" i="1"/>
  <c r="I1803" i="1"/>
  <c r="H1803" i="1"/>
  <c r="G1803" i="1"/>
  <c r="F1803" i="1"/>
  <c r="E1803" i="1"/>
  <c r="D1803" i="1"/>
  <c r="J1802" i="1"/>
  <c r="I1802" i="1"/>
  <c r="H1802" i="1"/>
  <c r="G1802" i="1"/>
  <c r="F1802" i="1"/>
  <c r="E1802" i="1"/>
  <c r="D1802" i="1"/>
  <c r="J1801" i="1"/>
  <c r="I1801" i="1"/>
  <c r="H1801" i="1"/>
  <c r="G1801" i="1"/>
  <c r="F1801" i="1"/>
  <c r="E1801" i="1"/>
  <c r="D1801" i="1"/>
  <c r="J1800" i="1"/>
  <c r="I1800" i="1"/>
  <c r="H1800" i="1"/>
  <c r="G1800" i="1"/>
  <c r="F1800" i="1"/>
  <c r="E1800" i="1"/>
  <c r="D1800" i="1"/>
  <c r="J1799" i="1"/>
  <c r="I1799" i="1"/>
  <c r="H1799" i="1"/>
  <c r="G1799" i="1"/>
  <c r="F1799" i="1"/>
  <c r="E1799" i="1"/>
  <c r="D1799" i="1"/>
  <c r="J1798" i="1"/>
  <c r="I1798" i="1"/>
  <c r="H1798" i="1"/>
  <c r="G1798" i="1"/>
  <c r="F1798" i="1"/>
  <c r="E1798" i="1"/>
  <c r="D1798" i="1"/>
  <c r="J1797" i="1"/>
  <c r="I1797" i="1"/>
  <c r="H1797" i="1"/>
  <c r="G1797" i="1"/>
  <c r="F1797" i="1"/>
  <c r="E1797" i="1"/>
  <c r="D1797" i="1"/>
  <c r="J1796" i="1"/>
  <c r="I1796" i="1"/>
  <c r="H1796" i="1"/>
  <c r="G1796" i="1"/>
  <c r="F1796" i="1"/>
  <c r="E1796" i="1"/>
  <c r="D1796" i="1"/>
  <c r="J1795" i="1"/>
  <c r="I1795" i="1"/>
  <c r="H1795" i="1"/>
  <c r="G1795" i="1"/>
  <c r="F1795" i="1"/>
  <c r="E1795" i="1"/>
  <c r="D1795" i="1"/>
  <c r="J1794" i="1"/>
  <c r="I1794" i="1"/>
  <c r="H1794" i="1"/>
  <c r="G1794" i="1"/>
  <c r="F1794" i="1"/>
  <c r="E1794" i="1"/>
  <c r="D1794" i="1"/>
  <c r="J1793" i="1"/>
  <c r="I1793" i="1"/>
  <c r="H1793" i="1"/>
  <c r="G1793" i="1"/>
  <c r="F1793" i="1"/>
  <c r="E1793" i="1"/>
  <c r="D1793" i="1"/>
  <c r="J1792" i="1"/>
  <c r="I1792" i="1"/>
  <c r="H1792" i="1"/>
  <c r="G1792" i="1"/>
  <c r="F1792" i="1"/>
  <c r="E1792" i="1"/>
  <c r="D1792" i="1"/>
  <c r="J1791" i="1"/>
  <c r="I1791" i="1"/>
  <c r="H1791" i="1"/>
  <c r="G1791" i="1"/>
  <c r="F1791" i="1"/>
  <c r="E1791" i="1"/>
  <c r="D1791" i="1"/>
  <c r="J1790" i="1"/>
  <c r="I1790" i="1"/>
  <c r="H1790" i="1"/>
  <c r="G1790" i="1"/>
  <c r="F1790" i="1"/>
  <c r="E1790" i="1"/>
  <c r="D1790" i="1"/>
  <c r="J1789" i="1"/>
  <c r="I1789" i="1"/>
  <c r="H1789" i="1"/>
  <c r="G1789" i="1"/>
  <c r="F1789" i="1"/>
  <c r="E1789" i="1"/>
  <c r="D1789" i="1"/>
  <c r="J1788" i="1"/>
  <c r="I1788" i="1"/>
  <c r="H1788" i="1"/>
  <c r="G1788" i="1"/>
  <c r="F1788" i="1"/>
  <c r="E1788" i="1"/>
  <c r="D1788" i="1"/>
  <c r="J1787" i="1"/>
  <c r="I1787" i="1"/>
  <c r="H1787" i="1"/>
  <c r="G1787" i="1"/>
  <c r="F1787" i="1"/>
  <c r="E1787" i="1"/>
  <c r="D1787" i="1"/>
  <c r="J1786" i="1"/>
  <c r="I1786" i="1"/>
  <c r="H1786" i="1"/>
  <c r="G1786" i="1"/>
  <c r="F1786" i="1"/>
  <c r="E1786" i="1"/>
  <c r="D1786" i="1"/>
  <c r="J1785" i="1"/>
  <c r="H1785" i="1"/>
  <c r="F1785" i="1"/>
  <c r="D1785" i="1"/>
  <c r="J1784" i="1"/>
  <c r="I1784" i="1"/>
  <c r="H1784" i="1"/>
  <c r="G1784" i="1"/>
  <c r="F1784" i="1"/>
  <c r="E1784" i="1"/>
  <c r="D1784" i="1"/>
  <c r="J1783" i="1"/>
  <c r="I1783" i="1"/>
  <c r="H1783" i="1"/>
  <c r="G1783" i="1"/>
  <c r="F1783" i="1"/>
  <c r="E1783" i="1"/>
  <c r="D1783" i="1"/>
  <c r="J1782" i="1"/>
  <c r="I1782" i="1"/>
  <c r="H1782" i="1"/>
  <c r="G1782" i="1"/>
  <c r="F1782" i="1"/>
  <c r="E1782" i="1"/>
  <c r="D1782" i="1"/>
  <c r="J1781" i="1"/>
  <c r="I1781" i="1"/>
  <c r="H1781" i="1"/>
  <c r="G1781" i="1"/>
  <c r="F1781" i="1"/>
  <c r="E1781" i="1"/>
  <c r="D1781" i="1"/>
  <c r="J1780" i="1"/>
  <c r="I1780" i="1"/>
  <c r="H1780" i="1"/>
  <c r="G1780" i="1"/>
  <c r="F1780" i="1"/>
  <c r="E1780" i="1"/>
  <c r="D1780" i="1"/>
  <c r="J1779" i="1"/>
  <c r="I1779" i="1"/>
  <c r="H1779" i="1"/>
  <c r="G1779" i="1"/>
  <c r="F1779" i="1"/>
  <c r="E1779" i="1"/>
  <c r="D1779" i="1"/>
  <c r="J1778" i="1"/>
  <c r="I1778" i="1"/>
  <c r="H1778" i="1"/>
  <c r="G1778" i="1"/>
  <c r="F1778" i="1"/>
  <c r="E1778" i="1"/>
  <c r="D1778" i="1"/>
  <c r="J1777" i="1"/>
  <c r="I1777" i="1"/>
  <c r="H1777" i="1"/>
  <c r="G1777" i="1"/>
  <c r="F1777" i="1"/>
  <c r="E1777" i="1"/>
  <c r="D1777" i="1"/>
  <c r="J1776" i="1"/>
  <c r="I1776" i="1"/>
  <c r="H1776" i="1"/>
  <c r="G1776" i="1"/>
  <c r="F1776" i="1"/>
  <c r="E1776" i="1"/>
  <c r="D1776" i="1"/>
  <c r="J1775" i="1"/>
  <c r="I1775" i="1"/>
  <c r="H1775" i="1"/>
  <c r="G1775" i="1"/>
  <c r="F1775" i="1"/>
  <c r="E1775" i="1"/>
  <c r="D1775" i="1"/>
  <c r="J1774" i="1"/>
  <c r="I1774" i="1"/>
  <c r="H1774" i="1"/>
  <c r="G1774" i="1"/>
  <c r="F1774" i="1"/>
  <c r="E1774" i="1"/>
  <c r="D1774" i="1"/>
  <c r="J1773" i="1"/>
  <c r="I1773" i="1"/>
  <c r="H1773" i="1"/>
  <c r="G1773" i="1"/>
  <c r="F1773" i="1"/>
  <c r="E1773" i="1"/>
  <c r="D1773" i="1"/>
  <c r="J1772" i="1"/>
  <c r="I1772" i="1"/>
  <c r="H1772" i="1"/>
  <c r="G1772" i="1"/>
  <c r="F1772" i="1"/>
  <c r="E1772" i="1"/>
  <c r="D1772" i="1"/>
  <c r="J1771" i="1"/>
  <c r="I1771" i="1"/>
  <c r="H1771" i="1"/>
  <c r="G1771" i="1"/>
  <c r="F1771" i="1"/>
  <c r="E1771" i="1"/>
  <c r="D1771" i="1"/>
  <c r="J1770" i="1"/>
  <c r="I1770" i="1"/>
  <c r="H1770" i="1"/>
  <c r="G1770" i="1"/>
  <c r="F1770" i="1"/>
  <c r="E1770" i="1"/>
  <c r="D1770" i="1"/>
  <c r="J1769" i="1"/>
  <c r="I1769" i="1"/>
  <c r="H1769" i="1"/>
  <c r="G1769" i="1"/>
  <c r="F1769" i="1"/>
  <c r="E1769" i="1"/>
  <c r="D1769" i="1"/>
  <c r="J1768" i="1"/>
  <c r="I1768" i="1"/>
  <c r="H1768" i="1"/>
  <c r="G1768" i="1"/>
  <c r="F1768" i="1"/>
  <c r="E1768" i="1"/>
  <c r="D1768" i="1"/>
  <c r="J1767" i="1"/>
  <c r="I1767" i="1"/>
  <c r="H1767" i="1"/>
  <c r="G1767" i="1"/>
  <c r="F1767" i="1"/>
  <c r="E1767" i="1"/>
  <c r="D1767" i="1"/>
  <c r="J1766" i="1"/>
  <c r="I1766" i="1"/>
  <c r="H1766" i="1"/>
  <c r="G1766" i="1"/>
  <c r="F1766" i="1"/>
  <c r="E1766" i="1"/>
  <c r="D1766" i="1"/>
  <c r="J1765" i="1"/>
  <c r="I1765" i="1"/>
  <c r="H1765" i="1"/>
  <c r="G1765" i="1"/>
  <c r="F1765" i="1"/>
  <c r="E1765" i="1"/>
  <c r="D1765" i="1"/>
  <c r="J1764" i="1"/>
  <c r="I1764" i="1"/>
  <c r="H1764" i="1"/>
  <c r="G1764" i="1"/>
  <c r="F1764" i="1"/>
  <c r="E1764" i="1"/>
  <c r="D1764" i="1"/>
  <c r="J1763" i="1"/>
  <c r="I1763" i="1"/>
  <c r="H1763" i="1"/>
  <c r="G1763" i="1"/>
  <c r="F1763" i="1"/>
  <c r="E1763" i="1"/>
  <c r="D1763" i="1"/>
  <c r="J1762" i="1"/>
  <c r="I1762" i="1"/>
  <c r="H1762" i="1"/>
  <c r="G1762" i="1"/>
  <c r="F1762" i="1"/>
  <c r="E1762" i="1"/>
  <c r="D1762" i="1"/>
  <c r="J1761" i="1"/>
  <c r="I1761" i="1"/>
  <c r="H1761" i="1"/>
  <c r="G1761" i="1"/>
  <c r="F1761" i="1"/>
  <c r="E1761" i="1"/>
  <c r="D1761" i="1"/>
  <c r="J1760" i="1"/>
  <c r="I1760" i="1"/>
  <c r="H1760" i="1"/>
  <c r="G1760" i="1"/>
  <c r="F1760" i="1"/>
  <c r="E1760" i="1"/>
  <c r="D1760" i="1"/>
  <c r="J1759" i="1"/>
  <c r="I1759" i="1"/>
  <c r="H1759" i="1"/>
  <c r="G1759" i="1"/>
  <c r="F1759" i="1"/>
  <c r="E1759" i="1"/>
  <c r="D1759" i="1"/>
  <c r="J1758" i="1"/>
  <c r="I1758" i="1"/>
  <c r="H1758" i="1"/>
  <c r="G1758" i="1"/>
  <c r="F1758" i="1"/>
  <c r="E1758" i="1"/>
  <c r="D1758" i="1"/>
  <c r="J1757" i="1"/>
  <c r="I1757" i="1"/>
  <c r="H1757" i="1"/>
  <c r="G1757" i="1"/>
  <c r="F1757" i="1"/>
  <c r="E1757" i="1"/>
  <c r="D1757" i="1"/>
  <c r="J1756" i="1"/>
  <c r="I1756" i="1"/>
  <c r="H1756" i="1"/>
  <c r="G1756" i="1"/>
  <c r="F1756" i="1"/>
  <c r="E1756" i="1"/>
  <c r="D1756" i="1"/>
  <c r="J1755" i="1"/>
  <c r="I1755" i="1"/>
  <c r="H1755" i="1"/>
  <c r="G1755" i="1"/>
  <c r="F1755" i="1"/>
  <c r="E1755" i="1"/>
  <c r="D1755" i="1"/>
  <c r="J1754" i="1"/>
  <c r="I1754" i="1"/>
  <c r="H1754" i="1"/>
  <c r="G1754" i="1"/>
  <c r="F1754" i="1"/>
  <c r="E1754" i="1"/>
  <c r="D1754" i="1"/>
  <c r="J1753" i="1"/>
  <c r="I1753" i="1"/>
  <c r="H1753" i="1"/>
  <c r="G1753" i="1"/>
  <c r="F1753" i="1"/>
  <c r="E1753" i="1"/>
  <c r="D1753" i="1"/>
  <c r="J1752" i="1"/>
  <c r="I1752" i="1"/>
  <c r="H1752" i="1"/>
  <c r="G1752" i="1"/>
  <c r="F1752" i="1"/>
  <c r="E1752" i="1"/>
  <c r="D1752" i="1"/>
  <c r="J1751" i="1"/>
  <c r="I1751" i="1"/>
  <c r="H1751" i="1"/>
  <c r="G1751" i="1"/>
  <c r="F1751" i="1"/>
  <c r="E1751" i="1"/>
  <c r="D1751" i="1"/>
  <c r="J1750" i="1"/>
  <c r="I1750" i="1"/>
  <c r="H1750" i="1"/>
  <c r="G1750" i="1"/>
  <c r="F1750" i="1"/>
  <c r="E1750" i="1"/>
  <c r="D1750" i="1"/>
  <c r="J1749" i="1"/>
  <c r="I1749" i="1"/>
  <c r="H1749" i="1"/>
  <c r="G1749" i="1"/>
  <c r="F1749" i="1"/>
  <c r="E1749" i="1"/>
  <c r="D1749" i="1"/>
  <c r="J1748" i="1"/>
  <c r="I1748" i="1"/>
  <c r="H1748" i="1"/>
  <c r="G1748" i="1"/>
  <c r="F1748" i="1"/>
  <c r="E1748" i="1"/>
  <c r="D1748" i="1"/>
  <c r="J1747" i="1"/>
  <c r="I1747" i="1"/>
  <c r="H1747" i="1"/>
  <c r="G1747" i="1"/>
  <c r="F1747" i="1"/>
  <c r="E1747" i="1"/>
  <c r="D1747" i="1"/>
  <c r="J1746" i="1"/>
  <c r="I1746" i="1"/>
  <c r="H1746" i="1"/>
  <c r="G1746" i="1"/>
  <c r="F1746" i="1"/>
  <c r="E1746" i="1"/>
  <c r="D1746" i="1"/>
  <c r="J1745" i="1"/>
  <c r="I1745" i="1"/>
  <c r="H1745" i="1"/>
  <c r="G1745" i="1"/>
  <c r="F1745" i="1"/>
  <c r="E1745" i="1"/>
  <c r="D1745" i="1"/>
  <c r="J1744" i="1"/>
  <c r="I1744" i="1"/>
  <c r="H1744" i="1"/>
  <c r="G1744" i="1"/>
  <c r="F1744" i="1"/>
  <c r="E1744" i="1"/>
  <c r="D1744" i="1"/>
  <c r="J1743" i="1"/>
  <c r="I1743" i="1"/>
  <c r="H1743" i="1"/>
  <c r="G1743" i="1"/>
  <c r="F1743" i="1"/>
  <c r="E1743" i="1"/>
  <c r="D1743" i="1"/>
  <c r="J1742" i="1"/>
  <c r="I1742" i="1"/>
  <c r="H1742" i="1"/>
  <c r="G1742" i="1"/>
  <c r="F1742" i="1"/>
  <c r="E1742" i="1"/>
  <c r="D1742" i="1"/>
  <c r="J1741" i="1"/>
  <c r="I1741" i="1"/>
  <c r="H1741" i="1"/>
  <c r="G1741" i="1"/>
  <c r="F1741" i="1"/>
  <c r="E1741" i="1"/>
  <c r="D1741" i="1"/>
  <c r="J1740" i="1"/>
  <c r="I1740" i="1"/>
  <c r="H1740" i="1"/>
  <c r="G1740" i="1"/>
  <c r="F1740" i="1"/>
  <c r="E1740" i="1"/>
  <c r="D1740" i="1"/>
  <c r="J1739" i="1"/>
  <c r="I1739" i="1"/>
  <c r="H1739" i="1"/>
  <c r="G1739" i="1"/>
  <c r="F1739" i="1"/>
  <c r="E1739" i="1"/>
  <c r="D1739" i="1"/>
  <c r="J1738" i="1"/>
  <c r="I1738" i="1"/>
  <c r="H1738" i="1"/>
  <c r="G1738" i="1"/>
  <c r="F1738" i="1"/>
  <c r="E1738" i="1"/>
  <c r="D1738" i="1"/>
  <c r="J1737" i="1"/>
  <c r="I1737" i="1"/>
  <c r="H1737" i="1"/>
  <c r="G1737" i="1"/>
  <c r="F1737" i="1"/>
  <c r="E1737" i="1"/>
  <c r="D1737" i="1"/>
  <c r="J1736" i="1"/>
  <c r="I1736" i="1"/>
  <c r="H1736" i="1"/>
  <c r="G1736" i="1"/>
  <c r="F1736" i="1"/>
  <c r="E1736" i="1"/>
  <c r="D1736" i="1"/>
  <c r="J1735" i="1"/>
  <c r="H1735" i="1"/>
  <c r="F1735" i="1"/>
  <c r="D1735" i="1"/>
  <c r="J1734" i="1"/>
  <c r="I1734" i="1"/>
  <c r="H1734" i="1"/>
  <c r="G1734" i="1"/>
  <c r="F1734" i="1"/>
  <c r="E1734" i="1"/>
  <c r="D1734" i="1"/>
  <c r="J1733" i="1"/>
  <c r="H1733" i="1"/>
  <c r="F1733" i="1"/>
  <c r="D1733" i="1"/>
  <c r="J1732" i="1"/>
  <c r="I1732" i="1"/>
  <c r="H1732" i="1"/>
  <c r="G1732" i="1"/>
  <c r="F1732" i="1"/>
  <c r="E1732" i="1"/>
  <c r="D1732" i="1"/>
  <c r="J1731" i="1"/>
  <c r="I1731" i="1"/>
  <c r="H1731" i="1"/>
  <c r="G1731" i="1"/>
  <c r="F1731" i="1"/>
  <c r="E1731" i="1"/>
  <c r="D1731" i="1"/>
  <c r="J1730" i="1"/>
  <c r="I1730" i="1"/>
  <c r="H1730" i="1"/>
  <c r="G1730" i="1"/>
  <c r="F1730" i="1"/>
  <c r="E1730" i="1"/>
  <c r="D1730" i="1"/>
  <c r="J1729" i="1"/>
  <c r="I1729" i="1"/>
  <c r="H1729" i="1"/>
  <c r="G1729" i="1"/>
  <c r="F1729" i="1"/>
  <c r="E1729" i="1"/>
  <c r="D1729" i="1"/>
  <c r="J1728" i="1"/>
  <c r="I1728" i="1"/>
  <c r="H1728" i="1"/>
  <c r="G1728" i="1"/>
  <c r="F1728" i="1"/>
  <c r="E1728" i="1"/>
  <c r="D1728" i="1"/>
  <c r="J1727" i="1"/>
  <c r="I1727" i="1"/>
  <c r="H1727" i="1"/>
  <c r="G1727" i="1"/>
  <c r="F1727" i="1"/>
  <c r="E1727" i="1"/>
  <c r="D1727" i="1"/>
  <c r="J1726" i="1"/>
  <c r="I1726" i="1"/>
  <c r="H1726" i="1"/>
  <c r="G1726" i="1"/>
  <c r="F1726" i="1"/>
  <c r="E1726" i="1"/>
  <c r="D1726" i="1"/>
  <c r="J1725" i="1"/>
  <c r="I1725" i="1"/>
  <c r="H1725" i="1"/>
  <c r="G1725" i="1"/>
  <c r="F1725" i="1"/>
  <c r="E1725" i="1"/>
  <c r="D1725" i="1"/>
  <c r="J1724" i="1"/>
  <c r="I1724" i="1"/>
  <c r="H1724" i="1"/>
  <c r="G1724" i="1"/>
  <c r="F1724" i="1"/>
  <c r="E1724" i="1"/>
  <c r="D1724" i="1"/>
  <c r="J1723" i="1"/>
  <c r="I1723" i="1"/>
  <c r="H1723" i="1"/>
  <c r="G1723" i="1"/>
  <c r="F1723" i="1"/>
  <c r="E1723" i="1"/>
  <c r="D1723" i="1"/>
  <c r="J1722" i="1"/>
  <c r="I1722" i="1"/>
  <c r="H1722" i="1"/>
  <c r="G1722" i="1"/>
  <c r="F1722" i="1"/>
  <c r="E1722" i="1"/>
  <c r="D1722" i="1"/>
  <c r="J1721" i="1"/>
  <c r="I1721" i="1"/>
  <c r="H1721" i="1"/>
  <c r="G1721" i="1"/>
  <c r="F1721" i="1"/>
  <c r="E1721" i="1"/>
  <c r="D1721" i="1"/>
  <c r="J1720" i="1"/>
  <c r="I1720" i="1"/>
  <c r="H1720" i="1"/>
  <c r="G1720" i="1"/>
  <c r="F1720" i="1"/>
  <c r="E1720" i="1"/>
  <c r="D1720" i="1"/>
  <c r="J1719" i="1"/>
  <c r="I1719" i="1"/>
  <c r="H1719" i="1"/>
  <c r="G1719" i="1"/>
  <c r="F1719" i="1"/>
  <c r="E1719" i="1"/>
  <c r="D1719" i="1"/>
  <c r="J1718" i="1"/>
  <c r="I1718" i="1"/>
  <c r="H1718" i="1"/>
  <c r="G1718" i="1"/>
  <c r="F1718" i="1"/>
  <c r="E1718" i="1"/>
  <c r="D1718" i="1"/>
  <c r="J1717" i="1"/>
  <c r="I1717" i="1"/>
  <c r="H1717" i="1"/>
  <c r="G1717" i="1"/>
  <c r="F1717" i="1"/>
  <c r="E1717" i="1"/>
  <c r="D1717" i="1"/>
  <c r="J1716" i="1"/>
  <c r="I1716" i="1"/>
  <c r="H1716" i="1"/>
  <c r="G1716" i="1"/>
  <c r="F1716" i="1"/>
  <c r="E1716" i="1"/>
  <c r="D1716" i="1"/>
  <c r="J1715" i="1"/>
  <c r="I1715" i="1"/>
  <c r="H1715" i="1"/>
  <c r="G1715" i="1"/>
  <c r="F1715" i="1"/>
  <c r="E1715" i="1"/>
  <c r="D1715" i="1"/>
  <c r="J1714" i="1"/>
  <c r="I1714" i="1"/>
  <c r="H1714" i="1"/>
  <c r="G1714" i="1"/>
  <c r="F1714" i="1"/>
  <c r="E1714" i="1"/>
  <c r="D1714" i="1"/>
  <c r="J1713" i="1"/>
  <c r="I1713" i="1"/>
  <c r="H1713" i="1"/>
  <c r="G1713" i="1"/>
  <c r="F1713" i="1"/>
  <c r="E1713" i="1"/>
  <c r="D1713" i="1"/>
  <c r="J1712" i="1"/>
  <c r="H1712" i="1"/>
  <c r="F1712" i="1"/>
  <c r="D1712" i="1"/>
  <c r="J1711" i="1"/>
  <c r="I1711" i="1"/>
  <c r="H1711" i="1"/>
  <c r="G1711" i="1"/>
  <c r="F1711" i="1"/>
  <c r="E1711" i="1"/>
  <c r="D1711" i="1"/>
  <c r="J1710" i="1"/>
  <c r="I1710" i="1"/>
  <c r="H1710" i="1"/>
  <c r="G1710" i="1"/>
  <c r="F1710" i="1"/>
  <c r="E1710" i="1"/>
  <c r="D1710" i="1"/>
  <c r="J1709" i="1"/>
  <c r="I1709" i="1"/>
  <c r="H1709" i="1"/>
  <c r="G1709" i="1"/>
  <c r="F1709" i="1"/>
  <c r="E1709" i="1"/>
  <c r="D1709" i="1"/>
  <c r="J1708" i="1"/>
  <c r="I1708" i="1"/>
  <c r="H1708" i="1"/>
  <c r="G1708" i="1"/>
  <c r="F1708" i="1"/>
  <c r="E1708" i="1"/>
  <c r="D1708" i="1"/>
  <c r="J1707" i="1"/>
  <c r="I1707" i="1"/>
  <c r="H1707" i="1"/>
  <c r="G1707" i="1"/>
  <c r="F1707" i="1"/>
  <c r="E1707" i="1"/>
  <c r="D1707" i="1"/>
  <c r="J1706" i="1"/>
  <c r="I1706" i="1"/>
  <c r="H1706" i="1"/>
  <c r="G1706" i="1"/>
  <c r="F1706" i="1"/>
  <c r="E1706" i="1"/>
  <c r="D1706" i="1"/>
  <c r="J1705" i="1"/>
  <c r="I1705" i="1"/>
  <c r="H1705" i="1"/>
  <c r="G1705" i="1"/>
  <c r="F1705" i="1"/>
  <c r="E1705" i="1"/>
  <c r="D1705" i="1"/>
  <c r="J1704" i="1"/>
  <c r="I1704" i="1"/>
  <c r="H1704" i="1"/>
  <c r="G1704" i="1"/>
  <c r="F1704" i="1"/>
  <c r="E1704" i="1"/>
  <c r="D1704" i="1"/>
  <c r="J1703" i="1"/>
  <c r="I1703" i="1"/>
  <c r="H1703" i="1"/>
  <c r="G1703" i="1"/>
  <c r="F1703" i="1"/>
  <c r="E1703" i="1"/>
  <c r="D1703" i="1"/>
  <c r="J1702" i="1"/>
  <c r="I1702" i="1"/>
  <c r="H1702" i="1"/>
  <c r="G1702" i="1"/>
  <c r="F1702" i="1"/>
  <c r="E1702" i="1"/>
  <c r="D1702" i="1"/>
  <c r="J1701" i="1"/>
  <c r="I1701" i="1"/>
  <c r="H1701" i="1"/>
  <c r="G1701" i="1"/>
  <c r="F1701" i="1"/>
  <c r="E1701" i="1"/>
  <c r="D1701" i="1"/>
  <c r="J1700" i="1"/>
  <c r="I1700" i="1"/>
  <c r="H1700" i="1"/>
  <c r="G1700" i="1"/>
  <c r="F1700" i="1"/>
  <c r="E1700" i="1"/>
  <c r="D1700" i="1"/>
  <c r="J1699" i="1"/>
  <c r="I1699" i="1"/>
  <c r="H1699" i="1"/>
  <c r="G1699" i="1"/>
  <c r="F1699" i="1"/>
  <c r="E1699" i="1"/>
  <c r="D1699" i="1"/>
  <c r="J1698" i="1"/>
  <c r="I1698" i="1"/>
  <c r="H1698" i="1"/>
  <c r="G1698" i="1"/>
  <c r="F1698" i="1"/>
  <c r="E1698" i="1"/>
  <c r="D1698" i="1"/>
  <c r="J1697" i="1"/>
  <c r="I1697" i="1"/>
  <c r="H1697" i="1"/>
  <c r="G1697" i="1"/>
  <c r="F1697" i="1"/>
  <c r="E1697" i="1"/>
  <c r="D1697" i="1"/>
  <c r="J1696" i="1"/>
  <c r="I1696" i="1"/>
  <c r="H1696" i="1"/>
  <c r="G1696" i="1"/>
  <c r="F1696" i="1"/>
  <c r="E1696" i="1"/>
  <c r="D1696" i="1"/>
  <c r="J1695" i="1"/>
  <c r="I1695" i="1"/>
  <c r="H1695" i="1"/>
  <c r="G1695" i="1"/>
  <c r="F1695" i="1"/>
  <c r="E1695" i="1"/>
  <c r="D1695" i="1"/>
  <c r="J1694" i="1"/>
  <c r="I1694" i="1"/>
  <c r="H1694" i="1"/>
  <c r="G1694" i="1"/>
  <c r="F1694" i="1"/>
  <c r="E1694" i="1"/>
  <c r="D1694" i="1"/>
  <c r="J1693" i="1"/>
  <c r="I1693" i="1"/>
  <c r="H1693" i="1"/>
  <c r="G1693" i="1"/>
  <c r="F1693" i="1"/>
  <c r="E1693" i="1"/>
  <c r="D1693" i="1"/>
  <c r="J1692" i="1"/>
  <c r="I1692" i="1"/>
  <c r="H1692" i="1"/>
  <c r="G1692" i="1"/>
  <c r="F1692" i="1"/>
  <c r="E1692" i="1"/>
  <c r="D1692" i="1"/>
  <c r="J1691" i="1"/>
  <c r="I1691" i="1"/>
  <c r="H1691" i="1"/>
  <c r="G1691" i="1"/>
  <c r="F1691" i="1"/>
  <c r="E1691" i="1"/>
  <c r="D1691" i="1"/>
  <c r="J1690" i="1"/>
  <c r="I1690" i="1"/>
  <c r="H1690" i="1"/>
  <c r="G1690" i="1"/>
  <c r="F1690" i="1"/>
  <c r="E1690" i="1"/>
  <c r="D1690" i="1"/>
  <c r="J1689" i="1"/>
  <c r="I1689" i="1"/>
  <c r="H1689" i="1"/>
  <c r="G1689" i="1"/>
  <c r="F1689" i="1"/>
  <c r="E1689" i="1"/>
  <c r="D1689" i="1"/>
  <c r="J1688" i="1"/>
  <c r="I1688" i="1"/>
  <c r="H1688" i="1"/>
  <c r="G1688" i="1"/>
  <c r="F1688" i="1"/>
  <c r="E1688" i="1"/>
  <c r="D1688" i="1"/>
  <c r="J1687" i="1"/>
  <c r="I1687" i="1"/>
  <c r="H1687" i="1"/>
  <c r="G1687" i="1"/>
  <c r="F1687" i="1"/>
  <c r="E1687" i="1"/>
  <c r="D1687" i="1"/>
  <c r="J1686" i="1"/>
  <c r="I1686" i="1"/>
  <c r="H1686" i="1"/>
  <c r="G1686" i="1"/>
  <c r="F1686" i="1"/>
  <c r="E1686" i="1"/>
  <c r="D1686" i="1"/>
  <c r="J1685" i="1"/>
  <c r="I1685" i="1"/>
  <c r="H1685" i="1"/>
  <c r="G1685" i="1"/>
  <c r="F1685" i="1"/>
  <c r="E1685" i="1"/>
  <c r="D1685" i="1"/>
  <c r="J1684" i="1"/>
  <c r="I1684" i="1"/>
  <c r="H1684" i="1"/>
  <c r="G1684" i="1"/>
  <c r="F1684" i="1"/>
  <c r="E1684" i="1"/>
  <c r="D1684" i="1"/>
  <c r="J1683" i="1"/>
  <c r="I1683" i="1"/>
  <c r="H1683" i="1"/>
  <c r="G1683" i="1"/>
  <c r="F1683" i="1"/>
  <c r="E1683" i="1"/>
  <c r="D1683" i="1"/>
  <c r="J1682" i="1"/>
  <c r="I1682" i="1"/>
  <c r="H1682" i="1"/>
  <c r="G1682" i="1"/>
  <c r="F1682" i="1"/>
  <c r="E1682" i="1"/>
  <c r="D1682" i="1"/>
  <c r="J1681" i="1"/>
  <c r="I1681" i="1"/>
  <c r="H1681" i="1"/>
  <c r="G1681" i="1"/>
  <c r="F1681" i="1"/>
  <c r="E1681" i="1"/>
  <c r="D1681" i="1"/>
  <c r="J1680" i="1"/>
  <c r="I1680" i="1"/>
  <c r="H1680" i="1"/>
  <c r="G1680" i="1"/>
  <c r="F1680" i="1"/>
  <c r="E1680" i="1"/>
  <c r="D1680" i="1"/>
  <c r="J1679" i="1"/>
  <c r="I1679" i="1"/>
  <c r="H1679" i="1"/>
  <c r="G1679" i="1"/>
  <c r="F1679" i="1"/>
  <c r="E1679" i="1"/>
  <c r="D1679" i="1"/>
  <c r="J1678" i="1"/>
  <c r="I1678" i="1"/>
  <c r="H1678" i="1"/>
  <c r="G1678" i="1"/>
  <c r="F1678" i="1"/>
  <c r="E1678" i="1"/>
  <c r="D1678" i="1"/>
  <c r="J1677" i="1"/>
  <c r="I1677" i="1"/>
  <c r="H1677" i="1"/>
  <c r="G1677" i="1"/>
  <c r="F1677" i="1"/>
  <c r="E1677" i="1"/>
  <c r="D1677" i="1"/>
  <c r="J1676" i="1"/>
  <c r="I1676" i="1"/>
  <c r="H1676" i="1"/>
  <c r="G1676" i="1"/>
  <c r="F1676" i="1"/>
  <c r="E1676" i="1"/>
  <c r="D1676" i="1"/>
  <c r="J1675" i="1"/>
  <c r="I1675" i="1"/>
  <c r="H1675" i="1"/>
  <c r="G1675" i="1"/>
  <c r="F1675" i="1"/>
  <c r="E1675" i="1"/>
  <c r="D1675" i="1"/>
  <c r="J1674" i="1"/>
  <c r="I1674" i="1"/>
  <c r="H1674" i="1"/>
  <c r="G1674" i="1"/>
  <c r="F1674" i="1"/>
  <c r="E1674" i="1"/>
  <c r="D1674" i="1"/>
  <c r="J1673" i="1"/>
  <c r="I1673" i="1"/>
  <c r="H1673" i="1"/>
  <c r="G1673" i="1"/>
  <c r="F1673" i="1"/>
  <c r="E1673" i="1"/>
  <c r="D1673" i="1"/>
  <c r="J1672" i="1"/>
  <c r="I1672" i="1"/>
  <c r="H1672" i="1"/>
  <c r="G1672" i="1"/>
  <c r="F1672" i="1"/>
  <c r="E1672" i="1"/>
  <c r="D1672" i="1"/>
  <c r="J1671" i="1"/>
  <c r="I1671" i="1"/>
  <c r="H1671" i="1"/>
  <c r="G1671" i="1"/>
  <c r="F1671" i="1"/>
  <c r="E1671" i="1"/>
  <c r="D1671" i="1"/>
  <c r="J1670" i="1"/>
  <c r="H1670" i="1"/>
  <c r="F1670" i="1"/>
  <c r="D1670" i="1"/>
  <c r="J1669" i="1"/>
  <c r="I1669" i="1"/>
  <c r="H1669" i="1"/>
  <c r="G1669" i="1"/>
  <c r="F1669" i="1"/>
  <c r="E1669" i="1"/>
  <c r="D1669" i="1"/>
  <c r="J1668" i="1"/>
  <c r="I1668" i="1"/>
  <c r="H1668" i="1"/>
  <c r="G1668" i="1"/>
  <c r="F1668" i="1"/>
  <c r="E1668" i="1"/>
  <c r="D1668" i="1"/>
  <c r="J1667" i="1"/>
  <c r="I1667" i="1"/>
  <c r="H1667" i="1"/>
  <c r="G1667" i="1"/>
  <c r="F1667" i="1"/>
  <c r="E1667" i="1"/>
  <c r="D1667" i="1"/>
  <c r="J1666" i="1"/>
  <c r="I1666" i="1"/>
  <c r="H1666" i="1"/>
  <c r="G1666" i="1"/>
  <c r="F1666" i="1"/>
  <c r="E1666" i="1"/>
  <c r="D1666" i="1"/>
  <c r="J1665" i="1"/>
  <c r="I1665" i="1"/>
  <c r="H1665" i="1"/>
  <c r="G1665" i="1"/>
  <c r="F1665" i="1"/>
  <c r="E1665" i="1"/>
  <c r="D1665" i="1"/>
  <c r="J1664" i="1"/>
  <c r="H1664" i="1"/>
  <c r="F1664" i="1"/>
  <c r="D1664" i="1"/>
  <c r="J1663" i="1"/>
  <c r="I1663" i="1"/>
  <c r="H1663" i="1"/>
  <c r="G1663" i="1"/>
  <c r="F1663" i="1"/>
  <c r="E1663" i="1"/>
  <c r="D1663" i="1"/>
  <c r="J1662" i="1"/>
  <c r="I1662" i="1"/>
  <c r="H1662" i="1"/>
  <c r="G1662" i="1"/>
  <c r="F1662" i="1"/>
  <c r="E1662" i="1"/>
  <c r="D1662" i="1"/>
  <c r="J1661" i="1"/>
  <c r="I1661" i="1"/>
  <c r="H1661" i="1"/>
  <c r="G1661" i="1"/>
  <c r="F1661" i="1"/>
  <c r="E1661" i="1"/>
  <c r="D1661" i="1"/>
  <c r="J1660" i="1"/>
  <c r="I1660" i="1"/>
  <c r="H1660" i="1"/>
  <c r="G1660" i="1"/>
  <c r="F1660" i="1"/>
  <c r="E1660" i="1"/>
  <c r="D1660" i="1"/>
  <c r="J1659" i="1"/>
  <c r="I1659" i="1"/>
  <c r="H1659" i="1"/>
  <c r="G1659" i="1"/>
  <c r="F1659" i="1"/>
  <c r="E1659" i="1"/>
  <c r="D1659" i="1"/>
  <c r="J1658" i="1"/>
  <c r="I1658" i="1"/>
  <c r="H1658" i="1"/>
  <c r="G1658" i="1"/>
  <c r="F1658" i="1"/>
  <c r="E1658" i="1"/>
  <c r="D1658" i="1"/>
  <c r="J1657" i="1"/>
  <c r="I1657" i="1"/>
  <c r="H1657" i="1"/>
  <c r="G1657" i="1"/>
  <c r="F1657" i="1"/>
  <c r="E1657" i="1"/>
  <c r="D1657" i="1"/>
  <c r="J1656" i="1"/>
  <c r="H1656" i="1"/>
  <c r="F1656" i="1"/>
  <c r="D1656" i="1"/>
  <c r="J1655" i="1"/>
  <c r="I1655" i="1"/>
  <c r="H1655" i="1"/>
  <c r="G1655" i="1"/>
  <c r="F1655" i="1"/>
  <c r="E1655" i="1"/>
  <c r="D1655" i="1"/>
  <c r="J1654" i="1"/>
  <c r="I1654" i="1"/>
  <c r="H1654" i="1"/>
  <c r="G1654" i="1"/>
  <c r="F1654" i="1"/>
  <c r="E1654" i="1"/>
  <c r="D1654" i="1"/>
  <c r="J1653" i="1"/>
  <c r="I1653" i="1"/>
  <c r="H1653" i="1"/>
  <c r="G1653" i="1"/>
  <c r="F1653" i="1"/>
  <c r="E1653" i="1"/>
  <c r="D1653" i="1"/>
  <c r="J1652" i="1"/>
  <c r="I1652" i="1"/>
  <c r="H1652" i="1"/>
  <c r="G1652" i="1"/>
  <c r="F1652" i="1"/>
  <c r="E1652" i="1"/>
  <c r="D1652" i="1"/>
  <c r="J1651" i="1"/>
  <c r="I1651" i="1"/>
  <c r="H1651" i="1"/>
  <c r="G1651" i="1"/>
  <c r="F1651" i="1"/>
  <c r="E1651" i="1"/>
  <c r="D1651" i="1"/>
  <c r="J1650" i="1"/>
  <c r="I1650" i="1"/>
  <c r="H1650" i="1"/>
  <c r="G1650" i="1"/>
  <c r="F1650" i="1"/>
  <c r="E1650" i="1"/>
  <c r="D1650" i="1"/>
  <c r="J1649" i="1"/>
  <c r="I1649" i="1"/>
  <c r="H1649" i="1"/>
  <c r="G1649" i="1"/>
  <c r="F1649" i="1"/>
  <c r="E1649" i="1"/>
  <c r="D1649" i="1"/>
  <c r="J1648" i="1"/>
  <c r="I1648" i="1"/>
  <c r="H1648" i="1"/>
  <c r="G1648" i="1"/>
  <c r="F1648" i="1"/>
  <c r="E1648" i="1"/>
  <c r="D1648" i="1"/>
  <c r="J1647" i="1"/>
  <c r="H1647" i="1"/>
  <c r="F1647" i="1"/>
  <c r="D1647" i="1"/>
  <c r="J1646" i="1"/>
  <c r="I1646" i="1"/>
  <c r="H1646" i="1"/>
  <c r="G1646" i="1"/>
  <c r="F1646" i="1"/>
  <c r="E1646" i="1"/>
  <c r="D1646" i="1"/>
  <c r="J1645" i="1"/>
  <c r="I1645" i="1"/>
  <c r="H1645" i="1"/>
  <c r="G1645" i="1"/>
  <c r="F1645" i="1"/>
  <c r="E1645" i="1"/>
  <c r="D1645" i="1"/>
  <c r="J1644" i="1"/>
  <c r="I1644" i="1"/>
  <c r="H1644" i="1"/>
  <c r="G1644" i="1"/>
  <c r="F1644" i="1"/>
  <c r="E1644" i="1"/>
  <c r="D1644" i="1"/>
  <c r="J1643" i="1"/>
  <c r="I1643" i="1"/>
  <c r="H1643" i="1"/>
  <c r="G1643" i="1"/>
  <c r="F1643" i="1"/>
  <c r="E1643" i="1"/>
  <c r="D1643" i="1"/>
  <c r="J1642" i="1"/>
  <c r="I1642" i="1"/>
  <c r="H1642" i="1"/>
  <c r="G1642" i="1"/>
  <c r="F1642" i="1"/>
  <c r="E1642" i="1"/>
  <c r="D1642" i="1"/>
  <c r="J1641" i="1"/>
  <c r="I1641" i="1"/>
  <c r="H1641" i="1"/>
  <c r="G1641" i="1"/>
  <c r="F1641" i="1"/>
  <c r="E1641" i="1"/>
  <c r="D1641" i="1"/>
  <c r="J1640" i="1"/>
  <c r="I1640" i="1"/>
  <c r="H1640" i="1"/>
  <c r="G1640" i="1"/>
  <c r="F1640" i="1"/>
  <c r="E1640" i="1"/>
  <c r="D1640" i="1"/>
  <c r="J1639" i="1"/>
  <c r="I1639" i="1"/>
  <c r="H1639" i="1"/>
  <c r="G1639" i="1"/>
  <c r="F1639" i="1"/>
  <c r="E1639" i="1"/>
  <c r="D1639" i="1"/>
  <c r="J1638" i="1"/>
  <c r="I1638" i="1"/>
  <c r="H1638" i="1"/>
  <c r="G1638" i="1"/>
  <c r="F1638" i="1"/>
  <c r="E1638" i="1"/>
  <c r="D1638" i="1"/>
  <c r="J1637" i="1"/>
  <c r="I1637" i="1"/>
  <c r="H1637" i="1"/>
  <c r="G1637" i="1"/>
  <c r="F1637" i="1"/>
  <c r="E1637" i="1"/>
  <c r="D1637" i="1"/>
  <c r="J1636" i="1"/>
  <c r="I1636" i="1"/>
  <c r="H1636" i="1"/>
  <c r="G1636" i="1"/>
  <c r="F1636" i="1"/>
  <c r="E1636" i="1"/>
  <c r="D1636" i="1"/>
  <c r="J1635" i="1"/>
  <c r="I1635" i="1"/>
  <c r="H1635" i="1"/>
  <c r="G1635" i="1"/>
  <c r="F1635" i="1"/>
  <c r="E1635" i="1"/>
  <c r="D1635" i="1"/>
  <c r="J1634" i="1"/>
  <c r="I1634" i="1"/>
  <c r="H1634" i="1"/>
  <c r="G1634" i="1"/>
  <c r="F1634" i="1"/>
  <c r="E1634" i="1"/>
  <c r="D1634" i="1"/>
  <c r="J1633" i="1"/>
  <c r="I1633" i="1"/>
  <c r="H1633" i="1"/>
  <c r="G1633" i="1"/>
  <c r="F1633" i="1"/>
  <c r="E1633" i="1"/>
  <c r="D1633" i="1"/>
  <c r="J1632" i="1"/>
  <c r="I1632" i="1"/>
  <c r="H1632" i="1"/>
  <c r="G1632" i="1"/>
  <c r="F1632" i="1"/>
  <c r="E1632" i="1"/>
  <c r="D1632" i="1"/>
  <c r="J1631" i="1"/>
  <c r="I1631" i="1"/>
  <c r="H1631" i="1"/>
  <c r="G1631" i="1"/>
  <c r="F1631" i="1"/>
  <c r="E1631" i="1"/>
  <c r="D1631" i="1"/>
  <c r="J1630" i="1"/>
  <c r="H1630" i="1"/>
  <c r="F1630" i="1"/>
  <c r="D1630" i="1"/>
  <c r="J1629" i="1"/>
  <c r="I1629" i="1"/>
  <c r="H1629" i="1"/>
  <c r="G1629" i="1"/>
  <c r="F1629" i="1"/>
  <c r="E1629" i="1"/>
  <c r="D1629" i="1"/>
  <c r="J1628" i="1"/>
  <c r="I1628" i="1"/>
  <c r="H1628" i="1"/>
  <c r="G1628" i="1"/>
  <c r="F1628" i="1"/>
  <c r="E1628" i="1"/>
  <c r="D1628" i="1"/>
  <c r="J1627" i="1"/>
  <c r="I1627" i="1"/>
  <c r="H1627" i="1"/>
  <c r="G1627" i="1"/>
  <c r="F1627" i="1"/>
  <c r="E1627" i="1"/>
  <c r="D1627" i="1"/>
  <c r="J1626" i="1"/>
  <c r="I1626" i="1"/>
  <c r="H1626" i="1"/>
  <c r="G1626" i="1"/>
  <c r="F1626" i="1"/>
  <c r="E1626" i="1"/>
  <c r="D1626" i="1"/>
  <c r="J1625" i="1"/>
  <c r="I1625" i="1"/>
  <c r="H1625" i="1"/>
  <c r="G1625" i="1"/>
  <c r="F1625" i="1"/>
  <c r="E1625" i="1"/>
  <c r="D1625" i="1"/>
  <c r="J1624" i="1"/>
  <c r="I1624" i="1"/>
  <c r="H1624" i="1"/>
  <c r="G1624" i="1"/>
  <c r="F1624" i="1"/>
  <c r="E1624" i="1"/>
  <c r="D1624" i="1"/>
  <c r="J1623" i="1"/>
  <c r="I1623" i="1"/>
  <c r="H1623" i="1"/>
  <c r="G1623" i="1"/>
  <c r="F1623" i="1"/>
  <c r="E1623" i="1"/>
  <c r="D1623" i="1"/>
  <c r="J1622" i="1"/>
  <c r="I1622" i="1"/>
  <c r="H1622" i="1"/>
  <c r="G1622" i="1"/>
  <c r="F1622" i="1"/>
  <c r="E1622" i="1"/>
  <c r="D1622" i="1"/>
  <c r="J1621" i="1"/>
  <c r="H1621" i="1"/>
  <c r="F1621" i="1"/>
  <c r="D1621" i="1"/>
  <c r="J1620" i="1"/>
  <c r="I1620" i="1"/>
  <c r="H1620" i="1"/>
  <c r="G1620" i="1"/>
  <c r="F1620" i="1"/>
  <c r="E1620" i="1"/>
  <c r="D1620" i="1"/>
  <c r="J1619" i="1"/>
  <c r="I1619" i="1"/>
  <c r="H1619" i="1"/>
  <c r="G1619" i="1"/>
  <c r="F1619" i="1"/>
  <c r="E1619" i="1"/>
  <c r="D1619" i="1"/>
  <c r="J1618" i="1"/>
  <c r="I1618" i="1"/>
  <c r="H1618" i="1"/>
  <c r="G1618" i="1"/>
  <c r="F1618" i="1"/>
  <c r="E1618" i="1"/>
  <c r="D1618" i="1"/>
  <c r="J1617" i="1"/>
  <c r="I1617" i="1"/>
  <c r="H1617" i="1"/>
  <c r="G1617" i="1"/>
  <c r="F1617" i="1"/>
  <c r="E1617" i="1"/>
  <c r="D1617" i="1"/>
  <c r="J1616" i="1"/>
  <c r="H1616" i="1"/>
  <c r="F1616" i="1"/>
  <c r="D1616" i="1"/>
  <c r="J1615" i="1"/>
  <c r="I1615" i="1"/>
  <c r="H1615" i="1"/>
  <c r="G1615" i="1"/>
  <c r="F1615" i="1"/>
  <c r="E1615" i="1"/>
  <c r="D1615" i="1"/>
  <c r="J1614" i="1"/>
  <c r="H1614" i="1"/>
  <c r="F1614" i="1"/>
  <c r="D1614" i="1"/>
  <c r="J1613" i="1"/>
  <c r="I1613" i="1"/>
  <c r="H1613" i="1"/>
  <c r="G1613" i="1"/>
  <c r="F1613" i="1"/>
  <c r="E1613" i="1"/>
  <c r="D1613" i="1"/>
  <c r="J1612" i="1"/>
  <c r="I1612" i="1"/>
  <c r="H1612" i="1"/>
  <c r="G1612" i="1"/>
  <c r="F1612" i="1"/>
  <c r="E1612" i="1"/>
  <c r="D1612" i="1"/>
  <c r="J1611" i="1"/>
  <c r="H1611" i="1"/>
  <c r="F1611" i="1"/>
  <c r="D1611" i="1"/>
  <c r="J1610" i="1"/>
  <c r="I1610" i="1"/>
  <c r="H1610" i="1"/>
  <c r="G1610" i="1"/>
  <c r="F1610" i="1"/>
  <c r="E1610" i="1"/>
  <c r="D1610" i="1"/>
  <c r="J1609" i="1"/>
  <c r="I1609" i="1"/>
  <c r="H1609" i="1"/>
  <c r="G1609" i="1"/>
  <c r="F1609" i="1"/>
  <c r="E1609" i="1"/>
  <c r="D1609" i="1"/>
  <c r="J1608" i="1"/>
  <c r="I1608" i="1"/>
  <c r="H1608" i="1"/>
  <c r="G1608" i="1"/>
  <c r="F1608" i="1"/>
  <c r="E1608" i="1"/>
  <c r="D1608" i="1"/>
  <c r="J1607" i="1"/>
  <c r="I1607" i="1"/>
  <c r="H1607" i="1"/>
  <c r="G1607" i="1"/>
  <c r="F1607" i="1"/>
  <c r="E1607" i="1"/>
  <c r="D1607" i="1"/>
  <c r="J1606" i="1"/>
  <c r="I1606" i="1"/>
  <c r="H1606" i="1"/>
  <c r="G1606" i="1"/>
  <c r="F1606" i="1"/>
  <c r="E1606" i="1"/>
  <c r="D1606" i="1"/>
  <c r="J1605" i="1"/>
  <c r="I1605" i="1"/>
  <c r="H1605" i="1"/>
  <c r="G1605" i="1"/>
  <c r="F1605" i="1"/>
  <c r="E1605" i="1"/>
  <c r="D1605" i="1"/>
  <c r="J1604" i="1"/>
  <c r="I1604" i="1"/>
  <c r="H1604" i="1"/>
  <c r="G1604" i="1"/>
  <c r="F1604" i="1"/>
  <c r="E1604" i="1"/>
  <c r="D1604" i="1"/>
  <c r="J1603" i="1"/>
  <c r="I1603" i="1"/>
  <c r="H1603" i="1"/>
  <c r="G1603" i="1"/>
  <c r="F1603" i="1"/>
  <c r="E1603" i="1"/>
  <c r="D1603" i="1"/>
  <c r="J1602" i="1"/>
  <c r="I1602" i="1"/>
  <c r="H1602" i="1"/>
  <c r="G1602" i="1"/>
  <c r="F1602" i="1"/>
  <c r="E1602" i="1"/>
  <c r="D1602" i="1"/>
  <c r="J1601" i="1"/>
  <c r="I1601" i="1"/>
  <c r="H1601" i="1"/>
  <c r="G1601" i="1"/>
  <c r="F1601" i="1"/>
  <c r="E1601" i="1"/>
  <c r="D1601" i="1"/>
  <c r="J1600" i="1"/>
  <c r="I1600" i="1"/>
  <c r="H1600" i="1"/>
  <c r="G1600" i="1"/>
  <c r="F1600" i="1"/>
  <c r="E1600" i="1"/>
  <c r="D1600" i="1"/>
  <c r="J1599" i="1"/>
  <c r="I1599" i="1"/>
  <c r="H1599" i="1"/>
  <c r="G1599" i="1"/>
  <c r="F1599" i="1"/>
  <c r="E1599" i="1"/>
  <c r="D1599" i="1"/>
  <c r="J1598" i="1"/>
  <c r="I1598" i="1"/>
  <c r="H1598" i="1"/>
  <c r="G1598" i="1"/>
  <c r="F1598" i="1"/>
  <c r="E1598" i="1"/>
  <c r="D1598" i="1"/>
  <c r="J1597" i="1"/>
  <c r="I1597" i="1"/>
  <c r="H1597" i="1"/>
  <c r="G1597" i="1"/>
  <c r="F1597" i="1"/>
  <c r="E1597" i="1"/>
  <c r="D1597" i="1"/>
  <c r="J1596" i="1"/>
  <c r="I1596" i="1"/>
  <c r="H1596" i="1"/>
  <c r="G1596" i="1"/>
  <c r="F1596" i="1"/>
  <c r="E1596" i="1"/>
  <c r="D1596" i="1"/>
  <c r="J1595" i="1"/>
  <c r="I1595" i="1"/>
  <c r="H1595" i="1"/>
  <c r="G1595" i="1"/>
  <c r="F1595" i="1"/>
  <c r="E1595" i="1"/>
  <c r="D1595" i="1"/>
  <c r="J1594" i="1"/>
  <c r="I1594" i="1"/>
  <c r="H1594" i="1"/>
  <c r="G1594" i="1"/>
  <c r="F1594" i="1"/>
  <c r="E1594" i="1"/>
  <c r="D1594" i="1"/>
  <c r="J1593" i="1"/>
  <c r="I1593" i="1"/>
  <c r="H1593" i="1"/>
  <c r="G1593" i="1"/>
  <c r="F1593" i="1"/>
  <c r="E1593" i="1"/>
  <c r="D1593" i="1"/>
  <c r="J1592" i="1"/>
  <c r="I1592" i="1"/>
  <c r="H1592" i="1"/>
  <c r="G1592" i="1"/>
  <c r="F1592" i="1"/>
  <c r="E1592" i="1"/>
  <c r="D1592" i="1"/>
  <c r="J1591" i="1"/>
  <c r="I1591" i="1"/>
  <c r="H1591" i="1"/>
  <c r="G1591" i="1"/>
  <c r="F1591" i="1"/>
  <c r="E1591" i="1"/>
  <c r="D1591" i="1"/>
  <c r="J1590" i="1"/>
  <c r="I1590" i="1"/>
  <c r="H1590" i="1"/>
  <c r="G1590" i="1"/>
  <c r="F1590" i="1"/>
  <c r="E1590" i="1"/>
  <c r="D1590" i="1"/>
  <c r="J1589" i="1"/>
  <c r="I1589" i="1"/>
  <c r="H1589" i="1"/>
  <c r="G1589" i="1"/>
  <c r="F1589" i="1"/>
  <c r="E1589" i="1"/>
  <c r="D1589" i="1"/>
  <c r="J1588" i="1"/>
  <c r="I1588" i="1"/>
  <c r="H1588" i="1"/>
  <c r="G1588" i="1"/>
  <c r="F1588" i="1"/>
  <c r="E1588" i="1"/>
  <c r="D1588" i="1"/>
  <c r="J1587" i="1"/>
  <c r="I1587" i="1"/>
  <c r="H1587" i="1"/>
  <c r="G1587" i="1"/>
  <c r="F1587" i="1"/>
  <c r="E1587" i="1"/>
  <c r="D1587" i="1"/>
  <c r="J1586" i="1"/>
  <c r="I1586" i="1"/>
  <c r="H1586" i="1"/>
  <c r="G1586" i="1"/>
  <c r="F1586" i="1"/>
  <c r="E1586" i="1"/>
  <c r="D1586" i="1"/>
  <c r="J1585" i="1"/>
  <c r="I1585" i="1"/>
  <c r="H1585" i="1"/>
  <c r="G1585" i="1"/>
  <c r="F1585" i="1"/>
  <c r="E1585" i="1"/>
  <c r="D1585" i="1"/>
  <c r="J1584" i="1"/>
  <c r="I1584" i="1"/>
  <c r="H1584" i="1"/>
  <c r="G1584" i="1"/>
  <c r="F1584" i="1"/>
  <c r="E1584" i="1"/>
  <c r="D1584" i="1"/>
  <c r="J1583" i="1"/>
  <c r="I1583" i="1"/>
  <c r="H1583" i="1"/>
  <c r="G1583" i="1"/>
  <c r="F1583" i="1"/>
  <c r="E1583" i="1"/>
  <c r="D1583" i="1"/>
  <c r="J1582" i="1"/>
  <c r="I1582" i="1"/>
  <c r="H1582" i="1"/>
  <c r="G1582" i="1"/>
  <c r="F1582" i="1"/>
  <c r="E1582" i="1"/>
  <c r="D1582" i="1"/>
  <c r="J1581" i="1"/>
  <c r="I1581" i="1"/>
  <c r="H1581" i="1"/>
  <c r="G1581" i="1"/>
  <c r="F1581" i="1"/>
  <c r="E1581" i="1"/>
  <c r="D1581" i="1"/>
  <c r="J1580" i="1"/>
  <c r="I1580" i="1"/>
  <c r="H1580" i="1"/>
  <c r="G1580" i="1"/>
  <c r="F1580" i="1"/>
  <c r="E1580" i="1"/>
  <c r="D1580" i="1"/>
  <c r="J1579" i="1"/>
  <c r="I1579" i="1"/>
  <c r="H1579" i="1"/>
  <c r="G1579" i="1"/>
  <c r="F1579" i="1"/>
  <c r="E1579" i="1"/>
  <c r="D1579" i="1"/>
  <c r="J1578" i="1"/>
  <c r="I1578" i="1"/>
  <c r="H1578" i="1"/>
  <c r="G1578" i="1"/>
  <c r="F1578" i="1"/>
  <c r="E1578" i="1"/>
  <c r="D1578" i="1"/>
  <c r="J1577" i="1"/>
  <c r="I1577" i="1"/>
  <c r="H1577" i="1"/>
  <c r="G1577" i="1"/>
  <c r="F1577" i="1"/>
  <c r="E1577" i="1"/>
  <c r="D1577" i="1"/>
  <c r="J1576" i="1"/>
  <c r="I1576" i="1"/>
  <c r="H1576" i="1"/>
  <c r="G1576" i="1"/>
  <c r="F1576" i="1"/>
  <c r="E1576" i="1"/>
  <c r="D1576" i="1"/>
  <c r="J1575" i="1"/>
  <c r="I1575" i="1"/>
  <c r="H1575" i="1"/>
  <c r="G1575" i="1"/>
  <c r="F1575" i="1"/>
  <c r="E1575" i="1"/>
  <c r="D1575" i="1"/>
  <c r="J1574" i="1"/>
  <c r="I1574" i="1"/>
  <c r="H1574" i="1"/>
  <c r="G1574" i="1"/>
  <c r="F1574" i="1"/>
  <c r="E1574" i="1"/>
  <c r="D1574" i="1"/>
  <c r="J1573" i="1"/>
  <c r="I1573" i="1"/>
  <c r="H1573" i="1"/>
  <c r="G1573" i="1"/>
  <c r="F1573" i="1"/>
  <c r="E1573" i="1"/>
  <c r="D1573" i="1"/>
  <c r="J1572" i="1"/>
  <c r="I1572" i="1"/>
  <c r="H1572" i="1"/>
  <c r="G1572" i="1"/>
  <c r="F1572" i="1"/>
  <c r="E1572" i="1"/>
  <c r="D1572" i="1"/>
  <c r="J1571" i="1"/>
  <c r="I1571" i="1"/>
  <c r="H1571" i="1"/>
  <c r="G1571" i="1"/>
  <c r="F1571" i="1"/>
  <c r="E1571" i="1"/>
  <c r="D1571" i="1"/>
  <c r="J1570" i="1"/>
  <c r="I1570" i="1"/>
  <c r="H1570" i="1"/>
  <c r="G1570" i="1"/>
  <c r="F1570" i="1"/>
  <c r="E1570" i="1"/>
  <c r="D1570" i="1"/>
  <c r="J1569" i="1"/>
  <c r="I1569" i="1"/>
  <c r="H1569" i="1"/>
  <c r="G1569" i="1"/>
  <c r="F1569" i="1"/>
  <c r="E1569" i="1"/>
  <c r="D1569" i="1"/>
  <c r="J1568" i="1"/>
  <c r="I1568" i="1"/>
  <c r="H1568" i="1"/>
  <c r="G1568" i="1"/>
  <c r="F1568" i="1"/>
  <c r="E1568" i="1"/>
  <c r="D1568" i="1"/>
  <c r="J1567" i="1"/>
  <c r="I1567" i="1"/>
  <c r="H1567" i="1"/>
  <c r="G1567" i="1"/>
  <c r="F1567" i="1"/>
  <c r="E1567" i="1"/>
  <c r="D1567" i="1"/>
  <c r="J1566" i="1"/>
  <c r="I1566" i="1"/>
  <c r="H1566" i="1"/>
  <c r="G1566" i="1"/>
  <c r="F1566" i="1"/>
  <c r="E1566" i="1"/>
  <c r="D1566" i="1"/>
  <c r="J1565" i="1"/>
  <c r="I1565" i="1"/>
  <c r="H1565" i="1"/>
  <c r="G1565" i="1"/>
  <c r="F1565" i="1"/>
  <c r="E1565" i="1"/>
  <c r="D1565" i="1"/>
  <c r="J1564" i="1"/>
  <c r="I1564" i="1"/>
  <c r="H1564" i="1"/>
  <c r="G1564" i="1"/>
  <c r="F1564" i="1"/>
  <c r="E1564" i="1"/>
  <c r="D1564" i="1"/>
  <c r="J1563" i="1"/>
  <c r="I1563" i="1"/>
  <c r="H1563" i="1"/>
  <c r="G1563" i="1"/>
  <c r="F1563" i="1"/>
  <c r="E1563" i="1"/>
  <c r="D1563" i="1"/>
  <c r="J1562" i="1"/>
  <c r="I1562" i="1"/>
  <c r="H1562" i="1"/>
  <c r="G1562" i="1"/>
  <c r="F1562" i="1"/>
  <c r="E1562" i="1"/>
  <c r="D1562" i="1"/>
  <c r="J1561" i="1"/>
  <c r="I1561" i="1"/>
  <c r="H1561" i="1"/>
  <c r="G1561" i="1"/>
  <c r="F1561" i="1"/>
  <c r="E1561" i="1"/>
  <c r="D1561" i="1"/>
  <c r="J1560" i="1"/>
  <c r="I1560" i="1"/>
  <c r="H1560" i="1"/>
  <c r="G1560" i="1"/>
  <c r="F1560" i="1"/>
  <c r="E1560" i="1"/>
  <c r="D1560" i="1"/>
  <c r="J1559" i="1"/>
  <c r="I1559" i="1"/>
  <c r="H1559" i="1"/>
  <c r="G1559" i="1"/>
  <c r="F1559" i="1"/>
  <c r="E1559" i="1"/>
  <c r="D1559" i="1"/>
  <c r="J1558" i="1"/>
  <c r="I1558" i="1"/>
  <c r="H1558" i="1"/>
  <c r="G1558" i="1"/>
  <c r="F1558" i="1"/>
  <c r="E1558" i="1"/>
  <c r="D1558" i="1"/>
  <c r="J1557" i="1"/>
  <c r="I1557" i="1"/>
  <c r="H1557" i="1"/>
  <c r="G1557" i="1"/>
  <c r="F1557" i="1"/>
  <c r="E1557" i="1"/>
  <c r="D1557" i="1"/>
  <c r="J1556" i="1"/>
  <c r="I1556" i="1"/>
  <c r="H1556" i="1"/>
  <c r="G1556" i="1"/>
  <c r="F1556" i="1"/>
  <c r="E1556" i="1"/>
  <c r="D1556" i="1"/>
  <c r="J1555" i="1"/>
  <c r="I1555" i="1"/>
  <c r="H1555" i="1"/>
  <c r="G1555" i="1"/>
  <c r="F1555" i="1"/>
  <c r="E1555" i="1"/>
  <c r="D1555" i="1"/>
  <c r="J1554" i="1"/>
  <c r="I1554" i="1"/>
  <c r="H1554" i="1"/>
  <c r="G1554" i="1"/>
  <c r="F1554" i="1"/>
  <c r="E1554" i="1"/>
  <c r="D1554" i="1"/>
  <c r="J1553" i="1"/>
  <c r="I1553" i="1"/>
  <c r="H1553" i="1"/>
  <c r="G1553" i="1"/>
  <c r="F1553" i="1"/>
  <c r="E1553" i="1"/>
  <c r="D1553" i="1"/>
  <c r="J1552" i="1"/>
  <c r="I1552" i="1"/>
  <c r="H1552" i="1"/>
  <c r="G1552" i="1"/>
  <c r="F1552" i="1"/>
  <c r="E1552" i="1"/>
  <c r="D1552" i="1"/>
  <c r="J1551" i="1"/>
  <c r="H1551" i="1"/>
  <c r="F1551" i="1"/>
  <c r="D1551" i="1"/>
  <c r="J1550" i="1"/>
  <c r="I1550" i="1"/>
  <c r="H1550" i="1"/>
  <c r="G1550" i="1"/>
  <c r="F1550" i="1"/>
  <c r="E1550" i="1"/>
  <c r="D1550" i="1"/>
  <c r="J1549" i="1"/>
  <c r="I1549" i="1"/>
  <c r="H1549" i="1"/>
  <c r="G1549" i="1"/>
  <c r="F1549" i="1"/>
  <c r="E1549" i="1"/>
  <c r="D1549" i="1"/>
  <c r="J1548" i="1"/>
  <c r="I1548" i="1"/>
  <c r="H1548" i="1"/>
  <c r="G1548" i="1"/>
  <c r="F1548" i="1"/>
  <c r="E1548" i="1"/>
  <c r="D1548" i="1"/>
  <c r="J1547" i="1"/>
  <c r="I1547" i="1"/>
  <c r="H1547" i="1"/>
  <c r="G1547" i="1"/>
  <c r="F1547" i="1"/>
  <c r="E1547" i="1"/>
  <c r="D1547" i="1"/>
  <c r="J1546" i="1"/>
  <c r="I1546" i="1"/>
  <c r="H1546" i="1"/>
  <c r="G1546" i="1"/>
  <c r="F1546" i="1"/>
  <c r="E1546" i="1"/>
  <c r="D1546" i="1"/>
  <c r="J1545" i="1"/>
  <c r="I1545" i="1"/>
  <c r="H1545" i="1"/>
  <c r="G1545" i="1"/>
  <c r="F1545" i="1"/>
  <c r="E1545" i="1"/>
  <c r="D1545" i="1"/>
  <c r="J1544" i="1"/>
  <c r="I1544" i="1"/>
  <c r="H1544" i="1"/>
  <c r="G1544" i="1"/>
  <c r="F1544" i="1"/>
  <c r="E1544" i="1"/>
  <c r="D1544" i="1"/>
  <c r="J1543" i="1"/>
  <c r="I1543" i="1"/>
  <c r="H1543" i="1"/>
  <c r="G1543" i="1"/>
  <c r="F1543" i="1"/>
  <c r="E1543" i="1"/>
  <c r="D1543" i="1"/>
  <c r="J1542" i="1"/>
  <c r="H1542" i="1"/>
  <c r="F1542" i="1"/>
  <c r="D1542" i="1"/>
  <c r="J1541" i="1"/>
  <c r="H1541" i="1"/>
  <c r="F1541" i="1"/>
  <c r="D1541" i="1"/>
  <c r="J1540" i="1"/>
  <c r="I1540" i="1"/>
  <c r="H1540" i="1"/>
  <c r="G1540" i="1"/>
  <c r="F1540" i="1"/>
  <c r="E1540" i="1"/>
  <c r="D1540" i="1"/>
  <c r="J1539" i="1"/>
  <c r="I1539" i="1"/>
  <c r="H1539" i="1"/>
  <c r="G1539" i="1"/>
  <c r="F1539" i="1"/>
  <c r="E1539" i="1"/>
  <c r="D1539" i="1"/>
  <c r="J1538" i="1"/>
  <c r="I1538" i="1"/>
  <c r="H1538" i="1"/>
  <c r="G1538" i="1"/>
  <c r="F1538" i="1"/>
  <c r="E1538" i="1"/>
  <c r="D1538" i="1"/>
  <c r="J1537" i="1"/>
  <c r="I1537" i="1"/>
  <c r="H1537" i="1"/>
  <c r="G1537" i="1"/>
  <c r="F1537" i="1"/>
  <c r="E1537" i="1"/>
  <c r="D1537" i="1"/>
  <c r="J1536" i="1"/>
  <c r="I1536" i="1"/>
  <c r="H1536" i="1"/>
  <c r="G1536" i="1"/>
  <c r="F1536" i="1"/>
  <c r="E1536" i="1"/>
  <c r="D1536" i="1"/>
  <c r="J1535" i="1"/>
  <c r="I1535" i="1"/>
  <c r="H1535" i="1"/>
  <c r="G1535" i="1"/>
  <c r="F1535" i="1"/>
  <c r="E1535" i="1"/>
  <c r="D1535" i="1"/>
  <c r="J1534" i="1"/>
  <c r="I1534" i="1"/>
  <c r="H1534" i="1"/>
  <c r="G1534" i="1"/>
  <c r="F1534" i="1"/>
  <c r="E1534" i="1"/>
  <c r="D1534" i="1"/>
  <c r="J1533" i="1"/>
  <c r="I1533" i="1"/>
  <c r="H1533" i="1"/>
  <c r="G1533" i="1"/>
  <c r="F1533" i="1"/>
  <c r="E1533" i="1"/>
  <c r="D1533" i="1"/>
  <c r="J1532" i="1"/>
  <c r="I1532" i="1"/>
  <c r="H1532" i="1"/>
  <c r="G1532" i="1"/>
  <c r="F1532" i="1"/>
  <c r="E1532" i="1"/>
  <c r="D1532" i="1"/>
  <c r="J1531" i="1"/>
  <c r="I1531" i="1"/>
  <c r="H1531" i="1"/>
  <c r="G1531" i="1"/>
  <c r="F1531" i="1"/>
  <c r="E1531" i="1"/>
  <c r="D1531" i="1"/>
  <c r="J1530" i="1"/>
  <c r="I1530" i="1"/>
  <c r="H1530" i="1"/>
  <c r="G1530" i="1"/>
  <c r="F1530" i="1"/>
  <c r="E1530" i="1"/>
  <c r="D1530" i="1"/>
  <c r="J1529" i="1"/>
  <c r="I1529" i="1"/>
  <c r="H1529" i="1"/>
  <c r="G1529" i="1"/>
  <c r="F1529" i="1"/>
  <c r="E1529" i="1"/>
  <c r="D1529" i="1"/>
  <c r="J1528" i="1"/>
  <c r="H1528" i="1"/>
  <c r="F1528" i="1"/>
  <c r="D1528" i="1"/>
  <c r="J1527" i="1"/>
  <c r="I1527" i="1"/>
  <c r="H1527" i="1"/>
  <c r="G1527" i="1"/>
  <c r="F1527" i="1"/>
  <c r="E1527" i="1"/>
  <c r="D1527" i="1"/>
  <c r="J1526" i="1"/>
  <c r="I1526" i="1"/>
  <c r="H1526" i="1"/>
  <c r="G1526" i="1"/>
  <c r="F1526" i="1"/>
  <c r="E1526" i="1"/>
  <c r="D1526" i="1"/>
  <c r="J1525" i="1"/>
  <c r="I1525" i="1"/>
  <c r="H1525" i="1"/>
  <c r="G1525" i="1"/>
  <c r="F1525" i="1"/>
  <c r="E1525" i="1"/>
  <c r="D1525" i="1"/>
  <c r="J1524" i="1"/>
  <c r="I1524" i="1"/>
  <c r="H1524" i="1"/>
  <c r="G1524" i="1"/>
  <c r="F1524" i="1"/>
  <c r="E1524" i="1"/>
  <c r="D1524" i="1"/>
  <c r="J1523" i="1"/>
  <c r="I1523" i="1"/>
  <c r="H1523" i="1"/>
  <c r="G1523" i="1"/>
  <c r="F1523" i="1"/>
  <c r="E1523" i="1"/>
  <c r="D1523" i="1"/>
  <c r="J1522" i="1"/>
  <c r="I1522" i="1"/>
  <c r="H1522" i="1"/>
  <c r="G1522" i="1"/>
  <c r="F1522" i="1"/>
  <c r="E1522" i="1"/>
  <c r="D1522" i="1"/>
  <c r="J1521" i="1"/>
  <c r="I1521" i="1"/>
  <c r="H1521" i="1"/>
  <c r="G1521" i="1"/>
  <c r="F1521" i="1"/>
  <c r="E1521" i="1"/>
  <c r="D1521" i="1"/>
  <c r="J1520" i="1"/>
  <c r="I1520" i="1"/>
  <c r="H1520" i="1"/>
  <c r="G1520" i="1"/>
  <c r="F1520" i="1"/>
  <c r="E1520" i="1"/>
  <c r="D1520" i="1"/>
  <c r="J1519" i="1"/>
  <c r="I1519" i="1"/>
  <c r="H1519" i="1"/>
  <c r="G1519" i="1"/>
  <c r="F1519" i="1"/>
  <c r="E1519" i="1"/>
  <c r="D1519" i="1"/>
  <c r="J1518" i="1"/>
  <c r="I1518" i="1"/>
  <c r="H1518" i="1"/>
  <c r="G1518" i="1"/>
  <c r="F1518" i="1"/>
  <c r="E1518" i="1"/>
  <c r="D1518" i="1"/>
  <c r="J1517" i="1"/>
  <c r="I1517" i="1"/>
  <c r="H1517" i="1"/>
  <c r="G1517" i="1"/>
  <c r="F1517" i="1"/>
  <c r="E1517" i="1"/>
  <c r="D1517" i="1"/>
  <c r="J1516" i="1"/>
  <c r="I1516" i="1"/>
  <c r="H1516" i="1"/>
  <c r="G1516" i="1"/>
  <c r="F1516" i="1"/>
  <c r="E1516" i="1"/>
  <c r="D1516" i="1"/>
  <c r="J1515" i="1"/>
  <c r="I1515" i="1"/>
  <c r="H1515" i="1"/>
  <c r="G1515" i="1"/>
  <c r="F1515" i="1"/>
  <c r="E1515" i="1"/>
  <c r="D1515" i="1"/>
  <c r="J1514" i="1"/>
  <c r="I1514" i="1"/>
  <c r="H1514" i="1"/>
  <c r="G1514" i="1"/>
  <c r="F1514" i="1"/>
  <c r="E1514" i="1"/>
  <c r="D1514" i="1"/>
  <c r="J1513" i="1"/>
  <c r="I1513" i="1"/>
  <c r="H1513" i="1"/>
  <c r="G1513" i="1"/>
  <c r="F1513" i="1"/>
  <c r="E1513" i="1"/>
  <c r="D1513" i="1"/>
  <c r="J1512" i="1"/>
  <c r="I1512" i="1"/>
  <c r="H1512" i="1"/>
  <c r="G1512" i="1"/>
  <c r="F1512" i="1"/>
  <c r="E1512" i="1"/>
  <c r="D1512" i="1"/>
  <c r="J1511" i="1"/>
  <c r="I1511" i="1"/>
  <c r="H1511" i="1"/>
  <c r="G1511" i="1"/>
  <c r="F1511" i="1"/>
  <c r="E1511" i="1"/>
  <c r="D1511" i="1"/>
  <c r="J1510" i="1"/>
  <c r="I1510" i="1"/>
  <c r="H1510" i="1"/>
  <c r="G1510" i="1"/>
  <c r="F1510" i="1"/>
  <c r="E1510" i="1"/>
  <c r="D1510" i="1"/>
  <c r="J1509" i="1"/>
  <c r="I1509" i="1"/>
  <c r="H1509" i="1"/>
  <c r="G1509" i="1"/>
  <c r="F1509" i="1"/>
  <c r="E1509" i="1"/>
  <c r="D1509" i="1"/>
  <c r="J1508" i="1"/>
  <c r="I1508" i="1"/>
  <c r="H1508" i="1"/>
  <c r="G1508" i="1"/>
  <c r="F1508" i="1"/>
  <c r="E1508" i="1"/>
  <c r="D1508" i="1"/>
  <c r="J1507" i="1"/>
  <c r="H1507" i="1"/>
  <c r="F1507" i="1"/>
  <c r="D1507" i="1"/>
  <c r="J1506" i="1"/>
  <c r="I1506" i="1"/>
  <c r="H1506" i="1"/>
  <c r="G1506" i="1"/>
  <c r="F1506" i="1"/>
  <c r="E1506" i="1"/>
  <c r="D1506" i="1"/>
  <c r="J1505" i="1"/>
  <c r="I1505" i="1"/>
  <c r="H1505" i="1"/>
  <c r="G1505" i="1"/>
  <c r="F1505" i="1"/>
  <c r="E1505" i="1"/>
  <c r="D1505" i="1"/>
  <c r="J1504" i="1"/>
  <c r="I1504" i="1"/>
  <c r="H1504" i="1"/>
  <c r="G1504" i="1"/>
  <c r="F1504" i="1"/>
  <c r="E1504" i="1"/>
  <c r="D1504" i="1"/>
  <c r="J1503" i="1"/>
  <c r="I1503" i="1"/>
  <c r="H1503" i="1"/>
  <c r="G1503" i="1"/>
  <c r="F1503" i="1"/>
  <c r="E1503" i="1"/>
  <c r="D1503" i="1"/>
  <c r="J1502" i="1"/>
  <c r="I1502" i="1"/>
  <c r="H1502" i="1"/>
  <c r="G1502" i="1"/>
  <c r="F1502" i="1"/>
  <c r="E1502" i="1"/>
  <c r="D1502" i="1"/>
  <c r="J1501" i="1"/>
  <c r="I1501" i="1"/>
  <c r="H1501" i="1"/>
  <c r="G1501" i="1"/>
  <c r="F1501" i="1"/>
  <c r="E1501" i="1"/>
  <c r="D1501" i="1"/>
  <c r="J1500" i="1"/>
  <c r="I1500" i="1"/>
  <c r="H1500" i="1"/>
  <c r="G1500" i="1"/>
  <c r="F1500" i="1"/>
  <c r="E1500" i="1"/>
  <c r="D1500" i="1"/>
  <c r="J1499" i="1"/>
  <c r="I1499" i="1"/>
  <c r="H1499" i="1"/>
  <c r="G1499" i="1"/>
  <c r="F1499" i="1"/>
  <c r="E1499" i="1"/>
  <c r="D1499" i="1"/>
  <c r="J1498" i="1"/>
  <c r="I1498" i="1"/>
  <c r="H1498" i="1"/>
  <c r="G1498" i="1"/>
  <c r="F1498" i="1"/>
  <c r="E1498" i="1"/>
  <c r="D1498" i="1"/>
  <c r="J1497" i="1"/>
  <c r="I1497" i="1"/>
  <c r="H1497" i="1"/>
  <c r="G1497" i="1"/>
  <c r="F1497" i="1"/>
  <c r="E1497" i="1"/>
  <c r="D1497" i="1"/>
  <c r="J1496" i="1"/>
  <c r="I1496" i="1"/>
  <c r="H1496" i="1"/>
  <c r="G1496" i="1"/>
  <c r="F1496" i="1"/>
  <c r="E1496" i="1"/>
  <c r="D1496" i="1"/>
  <c r="J1495" i="1"/>
  <c r="I1495" i="1"/>
  <c r="H1495" i="1"/>
  <c r="G1495" i="1"/>
  <c r="F1495" i="1"/>
  <c r="E1495" i="1"/>
  <c r="D1495" i="1"/>
  <c r="J1494" i="1"/>
  <c r="I1494" i="1"/>
  <c r="H1494" i="1"/>
  <c r="G1494" i="1"/>
  <c r="F1494" i="1"/>
  <c r="E1494" i="1"/>
  <c r="D1494" i="1"/>
  <c r="J1493" i="1"/>
  <c r="I1493" i="1"/>
  <c r="H1493" i="1"/>
  <c r="G1493" i="1"/>
  <c r="F1493" i="1"/>
  <c r="E1493" i="1"/>
  <c r="D1493" i="1"/>
  <c r="J1492" i="1"/>
  <c r="I1492" i="1"/>
  <c r="H1492" i="1"/>
  <c r="G1492" i="1"/>
  <c r="F1492" i="1"/>
  <c r="E1492" i="1"/>
  <c r="D1492" i="1"/>
  <c r="J1491" i="1"/>
  <c r="I1491" i="1"/>
  <c r="H1491" i="1"/>
  <c r="G1491" i="1"/>
  <c r="F1491" i="1"/>
  <c r="E1491" i="1"/>
  <c r="D1491" i="1"/>
  <c r="J1490" i="1"/>
  <c r="I1490" i="1"/>
  <c r="H1490" i="1"/>
  <c r="G1490" i="1"/>
  <c r="F1490" i="1"/>
  <c r="E1490" i="1"/>
  <c r="D1490" i="1"/>
  <c r="J1489" i="1"/>
  <c r="I1489" i="1"/>
  <c r="H1489" i="1"/>
  <c r="G1489" i="1"/>
  <c r="F1489" i="1"/>
  <c r="E1489" i="1"/>
  <c r="D1489" i="1"/>
  <c r="J1488" i="1"/>
  <c r="I1488" i="1"/>
  <c r="H1488" i="1"/>
  <c r="G1488" i="1"/>
  <c r="F1488" i="1"/>
  <c r="E1488" i="1"/>
  <c r="D1488" i="1"/>
  <c r="J1487" i="1"/>
  <c r="I1487" i="1"/>
  <c r="H1487" i="1"/>
  <c r="G1487" i="1"/>
  <c r="F1487" i="1"/>
  <c r="E1487" i="1"/>
  <c r="D1487" i="1"/>
  <c r="J1486" i="1"/>
  <c r="I1486" i="1"/>
  <c r="H1486" i="1"/>
  <c r="G1486" i="1"/>
  <c r="F1486" i="1"/>
  <c r="E1486" i="1"/>
  <c r="D1486" i="1"/>
  <c r="J1485" i="1"/>
  <c r="I1485" i="1"/>
  <c r="H1485" i="1"/>
  <c r="G1485" i="1"/>
  <c r="F1485" i="1"/>
  <c r="E1485" i="1"/>
  <c r="D1485" i="1"/>
  <c r="J1484" i="1"/>
  <c r="I1484" i="1"/>
  <c r="H1484" i="1"/>
  <c r="G1484" i="1"/>
  <c r="F1484" i="1"/>
  <c r="E1484" i="1"/>
  <c r="D1484" i="1"/>
  <c r="J1483" i="1"/>
  <c r="H1483" i="1"/>
  <c r="F1483" i="1"/>
  <c r="D1483" i="1"/>
  <c r="J1482" i="1"/>
  <c r="I1482" i="1"/>
  <c r="H1482" i="1"/>
  <c r="G1482" i="1"/>
  <c r="F1482" i="1"/>
  <c r="E1482" i="1"/>
  <c r="D1482" i="1"/>
  <c r="J1481" i="1"/>
  <c r="I1481" i="1"/>
  <c r="H1481" i="1"/>
  <c r="G1481" i="1"/>
  <c r="F1481" i="1"/>
  <c r="E1481" i="1"/>
  <c r="D1481" i="1"/>
  <c r="J1480" i="1"/>
  <c r="H1480" i="1"/>
  <c r="F1480" i="1"/>
  <c r="D1480" i="1"/>
  <c r="J1479" i="1"/>
  <c r="I1479" i="1"/>
  <c r="H1479" i="1"/>
  <c r="G1479" i="1"/>
  <c r="F1479" i="1"/>
  <c r="E1479" i="1"/>
  <c r="D1479" i="1"/>
  <c r="J1478" i="1"/>
  <c r="I1478" i="1"/>
  <c r="H1478" i="1"/>
  <c r="G1478" i="1"/>
  <c r="F1478" i="1"/>
  <c r="E1478" i="1"/>
  <c r="D1478" i="1"/>
  <c r="J1477" i="1"/>
  <c r="I1477" i="1"/>
  <c r="H1477" i="1"/>
  <c r="G1477" i="1"/>
  <c r="F1477" i="1"/>
  <c r="E1477" i="1"/>
  <c r="D1477" i="1"/>
  <c r="J1476" i="1"/>
  <c r="I1476" i="1"/>
  <c r="H1476" i="1"/>
  <c r="G1476" i="1"/>
  <c r="F1476" i="1"/>
  <c r="E1476" i="1"/>
  <c r="D1476" i="1"/>
  <c r="J1475" i="1"/>
  <c r="I1475" i="1"/>
  <c r="H1475" i="1"/>
  <c r="G1475" i="1"/>
  <c r="F1475" i="1"/>
  <c r="E1475" i="1"/>
  <c r="D1475" i="1"/>
  <c r="J1474" i="1"/>
  <c r="I1474" i="1"/>
  <c r="H1474" i="1"/>
  <c r="G1474" i="1"/>
  <c r="F1474" i="1"/>
  <c r="E1474" i="1"/>
  <c r="D1474" i="1"/>
  <c r="J1473" i="1"/>
  <c r="I1473" i="1"/>
  <c r="H1473" i="1"/>
  <c r="G1473" i="1"/>
  <c r="F1473" i="1"/>
  <c r="E1473" i="1"/>
  <c r="D1473" i="1"/>
  <c r="J1472" i="1"/>
  <c r="I1472" i="1"/>
  <c r="H1472" i="1"/>
  <c r="G1472" i="1"/>
  <c r="F1472" i="1"/>
  <c r="E1472" i="1"/>
  <c r="D1472" i="1"/>
  <c r="J1471" i="1"/>
  <c r="I1471" i="1"/>
  <c r="H1471" i="1"/>
  <c r="G1471" i="1"/>
  <c r="F1471" i="1"/>
  <c r="E1471" i="1"/>
  <c r="D1471" i="1"/>
  <c r="J1470" i="1"/>
  <c r="I1470" i="1"/>
  <c r="H1470" i="1"/>
  <c r="G1470" i="1"/>
  <c r="F1470" i="1"/>
  <c r="E1470" i="1"/>
  <c r="D1470" i="1"/>
  <c r="J1469" i="1"/>
  <c r="I1469" i="1"/>
  <c r="H1469" i="1"/>
  <c r="G1469" i="1"/>
  <c r="F1469" i="1"/>
  <c r="E1469" i="1"/>
  <c r="D1469" i="1"/>
  <c r="J1468" i="1"/>
  <c r="I1468" i="1"/>
  <c r="H1468" i="1"/>
  <c r="G1468" i="1"/>
  <c r="F1468" i="1"/>
  <c r="E1468" i="1"/>
  <c r="D1468" i="1"/>
  <c r="J1467" i="1"/>
  <c r="I1467" i="1"/>
  <c r="H1467" i="1"/>
  <c r="G1467" i="1"/>
  <c r="F1467" i="1"/>
  <c r="E1467" i="1"/>
  <c r="D1467" i="1"/>
  <c r="J1466" i="1"/>
  <c r="H1466" i="1"/>
  <c r="F1466" i="1"/>
  <c r="D1466" i="1"/>
  <c r="J1465" i="1"/>
  <c r="I1465" i="1"/>
  <c r="H1465" i="1"/>
  <c r="G1465" i="1"/>
  <c r="F1465" i="1"/>
  <c r="E1465" i="1"/>
  <c r="D1465" i="1"/>
  <c r="J1464" i="1"/>
  <c r="I1464" i="1"/>
  <c r="H1464" i="1"/>
  <c r="G1464" i="1"/>
  <c r="F1464" i="1"/>
  <c r="E1464" i="1"/>
  <c r="D1464" i="1"/>
  <c r="J1463" i="1"/>
  <c r="I1463" i="1"/>
  <c r="H1463" i="1"/>
  <c r="G1463" i="1"/>
  <c r="F1463" i="1"/>
  <c r="E1463" i="1"/>
  <c r="D1463" i="1"/>
  <c r="J1462" i="1"/>
  <c r="I1462" i="1"/>
  <c r="H1462" i="1"/>
  <c r="G1462" i="1"/>
  <c r="F1462" i="1"/>
  <c r="E1462" i="1"/>
  <c r="D1462" i="1"/>
  <c r="J1461" i="1"/>
  <c r="I1461" i="1"/>
  <c r="H1461" i="1"/>
  <c r="G1461" i="1"/>
  <c r="F1461" i="1"/>
  <c r="E1461" i="1"/>
  <c r="D1461" i="1"/>
  <c r="J1460" i="1"/>
  <c r="I1460" i="1"/>
  <c r="H1460" i="1"/>
  <c r="G1460" i="1"/>
  <c r="F1460" i="1"/>
  <c r="E1460" i="1"/>
  <c r="D1460" i="1"/>
  <c r="J1459" i="1"/>
  <c r="I1459" i="1"/>
  <c r="H1459" i="1"/>
  <c r="G1459" i="1"/>
  <c r="F1459" i="1"/>
  <c r="E1459" i="1"/>
  <c r="D1459" i="1"/>
  <c r="J1458" i="1"/>
  <c r="I1458" i="1"/>
  <c r="H1458" i="1"/>
  <c r="G1458" i="1"/>
  <c r="F1458" i="1"/>
  <c r="E1458" i="1"/>
  <c r="D1458" i="1"/>
  <c r="J1457" i="1"/>
  <c r="I1457" i="1"/>
  <c r="H1457" i="1"/>
  <c r="G1457" i="1"/>
  <c r="F1457" i="1"/>
  <c r="E1457" i="1"/>
  <c r="D1457" i="1"/>
  <c r="J1456" i="1"/>
  <c r="I1456" i="1"/>
  <c r="H1456" i="1"/>
  <c r="G1456" i="1"/>
  <c r="F1456" i="1"/>
  <c r="E1456" i="1"/>
  <c r="D1456" i="1"/>
  <c r="J1455" i="1"/>
  <c r="I1455" i="1"/>
  <c r="H1455" i="1"/>
  <c r="G1455" i="1"/>
  <c r="F1455" i="1"/>
  <c r="E1455" i="1"/>
  <c r="D1455" i="1"/>
  <c r="J1454" i="1"/>
  <c r="I1454" i="1"/>
  <c r="H1454" i="1"/>
  <c r="G1454" i="1"/>
  <c r="F1454" i="1"/>
  <c r="E1454" i="1"/>
  <c r="D1454" i="1"/>
  <c r="J1453" i="1"/>
  <c r="I1453" i="1"/>
  <c r="H1453" i="1"/>
  <c r="G1453" i="1"/>
  <c r="F1453" i="1"/>
  <c r="E1453" i="1"/>
  <c r="D1453" i="1"/>
  <c r="J1452" i="1"/>
  <c r="I1452" i="1"/>
  <c r="H1452" i="1"/>
  <c r="G1452" i="1"/>
  <c r="F1452" i="1"/>
  <c r="E1452" i="1"/>
  <c r="D1452" i="1"/>
  <c r="J1451" i="1"/>
  <c r="I1451" i="1"/>
  <c r="H1451" i="1"/>
  <c r="G1451" i="1"/>
  <c r="F1451" i="1"/>
  <c r="E1451" i="1"/>
  <c r="D1451" i="1"/>
  <c r="J1450" i="1"/>
  <c r="I1450" i="1"/>
  <c r="H1450" i="1"/>
  <c r="G1450" i="1"/>
  <c r="F1450" i="1"/>
  <c r="E1450" i="1"/>
  <c r="D1450" i="1"/>
  <c r="J1449" i="1"/>
  <c r="H1449" i="1"/>
  <c r="F1449" i="1"/>
  <c r="D1449" i="1"/>
  <c r="J1448" i="1"/>
  <c r="I1448" i="1"/>
  <c r="H1448" i="1"/>
  <c r="G1448" i="1"/>
  <c r="F1448" i="1"/>
  <c r="E1448" i="1"/>
  <c r="D1448" i="1"/>
  <c r="J1447" i="1"/>
  <c r="I1447" i="1"/>
  <c r="H1447" i="1"/>
  <c r="G1447" i="1"/>
  <c r="F1447" i="1"/>
  <c r="E1447" i="1"/>
  <c r="D1447" i="1"/>
  <c r="J1446" i="1"/>
  <c r="I1446" i="1"/>
  <c r="H1446" i="1"/>
  <c r="G1446" i="1"/>
  <c r="F1446" i="1"/>
  <c r="E1446" i="1"/>
  <c r="D1446" i="1"/>
  <c r="J1445" i="1"/>
  <c r="I1445" i="1"/>
  <c r="H1445" i="1"/>
  <c r="G1445" i="1"/>
  <c r="F1445" i="1"/>
  <c r="E1445" i="1"/>
  <c r="D1445" i="1"/>
  <c r="J1444" i="1"/>
  <c r="H1444" i="1"/>
  <c r="F1444" i="1"/>
  <c r="D1444" i="1"/>
  <c r="J1443" i="1"/>
  <c r="I1443" i="1"/>
  <c r="H1443" i="1"/>
  <c r="G1443" i="1"/>
  <c r="F1443" i="1"/>
  <c r="E1443" i="1"/>
  <c r="D1443" i="1"/>
  <c r="J1442" i="1"/>
  <c r="I1442" i="1"/>
  <c r="H1442" i="1"/>
  <c r="G1442" i="1"/>
  <c r="F1442" i="1"/>
  <c r="E1442" i="1"/>
  <c r="D1442" i="1"/>
  <c r="J1441" i="1"/>
  <c r="I1441" i="1"/>
  <c r="H1441" i="1"/>
  <c r="G1441" i="1"/>
  <c r="F1441" i="1"/>
  <c r="E1441" i="1"/>
  <c r="D1441" i="1"/>
  <c r="J1440" i="1"/>
  <c r="I1440" i="1"/>
  <c r="H1440" i="1"/>
  <c r="G1440" i="1"/>
  <c r="F1440" i="1"/>
  <c r="E1440" i="1"/>
  <c r="D1440" i="1"/>
  <c r="J1439" i="1"/>
  <c r="I1439" i="1"/>
  <c r="H1439" i="1"/>
  <c r="G1439" i="1"/>
  <c r="F1439" i="1"/>
  <c r="E1439" i="1"/>
  <c r="D1439" i="1"/>
  <c r="J1438" i="1"/>
  <c r="I1438" i="1"/>
  <c r="H1438" i="1"/>
  <c r="G1438" i="1"/>
  <c r="F1438" i="1"/>
  <c r="E1438" i="1"/>
  <c r="D1438" i="1"/>
  <c r="J1437" i="1"/>
  <c r="I1437" i="1"/>
  <c r="H1437" i="1"/>
  <c r="G1437" i="1"/>
  <c r="F1437" i="1"/>
  <c r="E1437" i="1"/>
  <c r="D1437" i="1"/>
  <c r="J1436" i="1"/>
  <c r="I1436" i="1"/>
  <c r="H1436" i="1"/>
  <c r="G1436" i="1"/>
  <c r="F1436" i="1"/>
  <c r="E1436" i="1"/>
  <c r="D1436" i="1"/>
  <c r="J1435" i="1"/>
  <c r="I1435" i="1"/>
  <c r="H1435" i="1"/>
  <c r="G1435" i="1"/>
  <c r="F1435" i="1"/>
  <c r="E1435" i="1"/>
  <c r="D1435" i="1"/>
  <c r="J1434" i="1"/>
  <c r="I1434" i="1"/>
  <c r="H1434" i="1"/>
  <c r="G1434" i="1"/>
  <c r="F1434" i="1"/>
  <c r="E1434" i="1"/>
  <c r="D1434" i="1"/>
  <c r="J1433" i="1"/>
  <c r="I1433" i="1"/>
  <c r="H1433" i="1"/>
  <c r="G1433" i="1"/>
  <c r="F1433" i="1"/>
  <c r="E1433" i="1"/>
  <c r="D1433" i="1"/>
  <c r="J1432" i="1"/>
  <c r="I1432" i="1"/>
  <c r="H1432" i="1"/>
  <c r="G1432" i="1"/>
  <c r="F1432" i="1"/>
  <c r="E1432" i="1"/>
  <c r="D1432" i="1"/>
  <c r="J1431" i="1"/>
  <c r="I1431" i="1"/>
  <c r="H1431" i="1"/>
  <c r="G1431" i="1"/>
  <c r="F1431" i="1"/>
  <c r="E1431" i="1"/>
  <c r="D1431" i="1"/>
  <c r="J1430" i="1"/>
  <c r="I1430" i="1"/>
  <c r="H1430" i="1"/>
  <c r="G1430" i="1"/>
  <c r="F1430" i="1"/>
  <c r="E1430" i="1"/>
  <c r="D1430" i="1"/>
  <c r="J1429" i="1"/>
  <c r="I1429" i="1"/>
  <c r="H1429" i="1"/>
  <c r="G1429" i="1"/>
  <c r="F1429" i="1"/>
  <c r="E1429" i="1"/>
  <c r="D1429" i="1"/>
  <c r="J1428" i="1"/>
  <c r="I1428" i="1"/>
  <c r="H1428" i="1"/>
  <c r="G1428" i="1"/>
  <c r="F1428" i="1"/>
  <c r="E1428" i="1"/>
  <c r="D1428" i="1"/>
  <c r="J1427" i="1"/>
  <c r="I1427" i="1"/>
  <c r="H1427" i="1"/>
  <c r="G1427" i="1"/>
  <c r="F1427" i="1"/>
  <c r="E1427" i="1"/>
  <c r="D1427" i="1"/>
  <c r="J1426" i="1"/>
  <c r="I1426" i="1"/>
  <c r="H1426" i="1"/>
  <c r="G1426" i="1"/>
  <c r="F1426" i="1"/>
  <c r="E1426" i="1"/>
  <c r="D1426" i="1"/>
  <c r="J1425" i="1"/>
  <c r="I1425" i="1"/>
  <c r="H1425" i="1"/>
  <c r="G1425" i="1"/>
  <c r="F1425" i="1"/>
  <c r="E1425" i="1"/>
  <c r="D1425" i="1"/>
  <c r="J1424" i="1"/>
  <c r="I1424" i="1"/>
  <c r="H1424" i="1"/>
  <c r="G1424" i="1"/>
  <c r="F1424" i="1"/>
  <c r="E1424" i="1"/>
  <c r="D1424" i="1"/>
  <c r="J1423" i="1"/>
  <c r="I1423" i="1"/>
  <c r="H1423" i="1"/>
  <c r="G1423" i="1"/>
  <c r="F1423" i="1"/>
  <c r="E1423" i="1"/>
  <c r="D1423" i="1"/>
  <c r="J1422" i="1"/>
  <c r="I1422" i="1"/>
  <c r="H1422" i="1"/>
  <c r="G1422" i="1"/>
  <c r="F1422" i="1"/>
  <c r="E1422" i="1"/>
  <c r="D1422" i="1"/>
  <c r="J1421" i="1"/>
  <c r="I1421" i="1"/>
  <c r="H1421" i="1"/>
  <c r="G1421" i="1"/>
  <c r="F1421" i="1"/>
  <c r="E1421" i="1"/>
  <c r="D1421" i="1"/>
  <c r="J1420" i="1"/>
  <c r="I1420" i="1"/>
  <c r="H1420" i="1"/>
  <c r="G1420" i="1"/>
  <c r="F1420" i="1"/>
  <c r="E1420" i="1"/>
  <c r="D1420" i="1"/>
  <c r="J1419" i="1"/>
  <c r="I1419" i="1"/>
  <c r="H1419" i="1"/>
  <c r="G1419" i="1"/>
  <c r="F1419" i="1"/>
  <c r="E1419" i="1"/>
  <c r="D1419" i="1"/>
  <c r="J1418" i="1"/>
  <c r="I1418" i="1"/>
  <c r="H1418" i="1"/>
  <c r="G1418" i="1"/>
  <c r="F1418" i="1"/>
  <c r="E1418" i="1"/>
  <c r="D1418" i="1"/>
  <c r="J1417" i="1"/>
  <c r="I1417" i="1"/>
  <c r="H1417" i="1"/>
  <c r="G1417" i="1"/>
  <c r="F1417" i="1"/>
  <c r="E1417" i="1"/>
  <c r="D1417" i="1"/>
  <c r="J1416" i="1"/>
  <c r="I1416" i="1"/>
  <c r="H1416" i="1"/>
  <c r="G1416" i="1"/>
  <c r="F1416" i="1"/>
  <c r="E1416" i="1"/>
  <c r="D1416" i="1"/>
  <c r="J1415" i="1"/>
  <c r="I1415" i="1"/>
  <c r="H1415" i="1"/>
  <c r="G1415" i="1"/>
  <c r="F1415" i="1"/>
  <c r="E1415" i="1"/>
  <c r="D1415" i="1"/>
  <c r="J1414" i="1"/>
  <c r="I1414" i="1"/>
  <c r="H1414" i="1"/>
  <c r="G1414" i="1"/>
  <c r="F1414" i="1"/>
  <c r="E1414" i="1"/>
  <c r="D1414" i="1"/>
  <c r="J1413" i="1"/>
  <c r="I1413" i="1"/>
  <c r="H1413" i="1"/>
  <c r="G1413" i="1"/>
  <c r="F1413" i="1"/>
  <c r="E1413" i="1"/>
  <c r="D1413" i="1"/>
  <c r="J1412" i="1"/>
  <c r="I1412" i="1"/>
  <c r="H1412" i="1"/>
  <c r="G1412" i="1"/>
  <c r="F1412" i="1"/>
  <c r="E1412" i="1"/>
  <c r="D1412" i="1"/>
  <c r="J1411" i="1"/>
  <c r="H1411" i="1"/>
  <c r="F1411" i="1"/>
  <c r="D1411" i="1"/>
  <c r="J1410" i="1"/>
  <c r="I1410" i="1"/>
  <c r="H1410" i="1"/>
  <c r="G1410" i="1"/>
  <c r="F1410" i="1"/>
  <c r="E1410" i="1"/>
  <c r="D1410" i="1"/>
  <c r="J1409" i="1"/>
  <c r="I1409" i="1"/>
  <c r="H1409" i="1"/>
  <c r="G1409" i="1"/>
  <c r="F1409" i="1"/>
  <c r="E1409" i="1"/>
  <c r="D1409" i="1"/>
  <c r="J1408" i="1"/>
  <c r="I1408" i="1"/>
  <c r="H1408" i="1"/>
  <c r="G1408" i="1"/>
  <c r="F1408" i="1"/>
  <c r="E1408" i="1"/>
  <c r="D1408" i="1"/>
  <c r="J1407" i="1"/>
  <c r="I1407" i="1"/>
  <c r="H1407" i="1"/>
  <c r="G1407" i="1"/>
  <c r="F1407" i="1"/>
  <c r="E1407" i="1"/>
  <c r="D1407" i="1"/>
  <c r="J1406" i="1"/>
  <c r="I1406" i="1"/>
  <c r="H1406" i="1"/>
  <c r="G1406" i="1"/>
  <c r="F1406" i="1"/>
  <c r="E1406" i="1"/>
  <c r="D1406" i="1"/>
  <c r="J1405" i="1"/>
  <c r="I1405" i="1"/>
  <c r="H1405" i="1"/>
  <c r="G1405" i="1"/>
  <c r="F1405" i="1"/>
  <c r="E1405" i="1"/>
  <c r="D1405" i="1"/>
  <c r="J1404" i="1"/>
  <c r="I1404" i="1"/>
  <c r="H1404" i="1"/>
  <c r="G1404" i="1"/>
  <c r="F1404" i="1"/>
  <c r="E1404" i="1"/>
  <c r="D1404" i="1"/>
  <c r="J1403" i="1"/>
  <c r="I1403" i="1"/>
  <c r="H1403" i="1"/>
  <c r="G1403" i="1"/>
  <c r="F1403" i="1"/>
  <c r="E1403" i="1"/>
  <c r="D1403" i="1"/>
  <c r="J1402" i="1"/>
  <c r="I1402" i="1"/>
  <c r="H1402" i="1"/>
  <c r="G1402" i="1"/>
  <c r="F1402" i="1"/>
  <c r="E1402" i="1"/>
  <c r="D1402" i="1"/>
  <c r="J1401" i="1"/>
  <c r="I1401" i="1"/>
  <c r="H1401" i="1"/>
  <c r="G1401" i="1"/>
  <c r="F1401" i="1"/>
  <c r="E1401" i="1"/>
  <c r="D1401" i="1"/>
  <c r="J1400" i="1"/>
  <c r="I1400" i="1"/>
  <c r="H1400" i="1"/>
  <c r="G1400" i="1"/>
  <c r="F1400" i="1"/>
  <c r="E1400" i="1"/>
  <c r="D1400" i="1"/>
  <c r="J1399" i="1"/>
  <c r="H1399" i="1"/>
  <c r="F1399" i="1"/>
  <c r="D1399" i="1"/>
  <c r="J1398" i="1"/>
  <c r="I1398" i="1"/>
  <c r="H1398" i="1"/>
  <c r="G1398" i="1"/>
  <c r="F1398" i="1"/>
  <c r="E1398" i="1"/>
  <c r="D1398" i="1"/>
  <c r="J1397" i="1"/>
  <c r="I1397" i="1"/>
  <c r="H1397" i="1"/>
  <c r="G1397" i="1"/>
  <c r="F1397" i="1"/>
  <c r="E1397" i="1"/>
  <c r="D1397" i="1"/>
  <c r="J1396" i="1"/>
  <c r="I1396" i="1"/>
  <c r="H1396" i="1"/>
  <c r="G1396" i="1"/>
  <c r="F1396" i="1"/>
  <c r="E1396" i="1"/>
  <c r="D1396" i="1"/>
  <c r="J1395" i="1"/>
  <c r="I1395" i="1"/>
  <c r="H1395" i="1"/>
  <c r="G1395" i="1"/>
  <c r="F1395" i="1"/>
  <c r="E1395" i="1"/>
  <c r="D1395" i="1"/>
  <c r="J1394" i="1"/>
  <c r="I1394" i="1"/>
  <c r="H1394" i="1"/>
  <c r="G1394" i="1"/>
  <c r="F1394" i="1"/>
  <c r="E1394" i="1"/>
  <c r="D1394" i="1"/>
  <c r="J1393" i="1"/>
  <c r="I1393" i="1"/>
  <c r="H1393" i="1"/>
  <c r="G1393" i="1"/>
  <c r="F1393" i="1"/>
  <c r="E1393" i="1"/>
  <c r="D1393" i="1"/>
  <c r="J1392" i="1"/>
  <c r="I1392" i="1"/>
  <c r="H1392" i="1"/>
  <c r="G1392" i="1"/>
  <c r="F1392" i="1"/>
  <c r="E1392" i="1"/>
  <c r="D1392" i="1"/>
  <c r="J1391" i="1"/>
  <c r="I1391" i="1"/>
  <c r="H1391" i="1"/>
  <c r="G1391" i="1"/>
  <c r="F1391" i="1"/>
  <c r="E1391" i="1"/>
  <c r="D1391" i="1"/>
  <c r="J1390" i="1"/>
  <c r="I1390" i="1"/>
  <c r="H1390" i="1"/>
  <c r="G1390" i="1"/>
  <c r="F1390" i="1"/>
  <c r="E1390" i="1"/>
  <c r="D1390" i="1"/>
  <c r="J1389" i="1"/>
  <c r="I1389" i="1"/>
  <c r="H1389" i="1"/>
  <c r="G1389" i="1"/>
  <c r="F1389" i="1"/>
  <c r="E1389" i="1"/>
  <c r="D1389" i="1"/>
  <c r="J1388" i="1"/>
  <c r="I1388" i="1"/>
  <c r="H1388" i="1"/>
  <c r="G1388" i="1"/>
  <c r="F1388" i="1"/>
  <c r="E1388" i="1"/>
  <c r="D1388" i="1"/>
  <c r="J1387" i="1"/>
  <c r="I1387" i="1"/>
  <c r="H1387" i="1"/>
  <c r="G1387" i="1"/>
  <c r="F1387" i="1"/>
  <c r="E1387" i="1"/>
  <c r="D1387" i="1"/>
  <c r="J1386" i="1"/>
  <c r="I1386" i="1"/>
  <c r="H1386" i="1"/>
  <c r="G1386" i="1"/>
  <c r="F1386" i="1"/>
  <c r="E1386" i="1"/>
  <c r="D1386" i="1"/>
  <c r="J1385" i="1"/>
  <c r="I1385" i="1"/>
  <c r="H1385" i="1"/>
  <c r="G1385" i="1"/>
  <c r="F1385" i="1"/>
  <c r="E1385" i="1"/>
  <c r="D1385" i="1"/>
  <c r="J1384" i="1"/>
  <c r="I1384" i="1"/>
  <c r="H1384" i="1"/>
  <c r="G1384" i="1"/>
  <c r="F1384" i="1"/>
  <c r="E1384" i="1"/>
  <c r="D1384" i="1"/>
  <c r="J1383" i="1"/>
  <c r="I1383" i="1"/>
  <c r="H1383" i="1"/>
  <c r="G1383" i="1"/>
  <c r="F1383" i="1"/>
  <c r="E1383" i="1"/>
  <c r="D1383" i="1"/>
  <c r="J1382" i="1"/>
  <c r="I1382" i="1"/>
  <c r="H1382" i="1"/>
  <c r="G1382" i="1"/>
  <c r="F1382" i="1"/>
  <c r="E1382" i="1"/>
  <c r="D1382" i="1"/>
  <c r="J1381" i="1"/>
  <c r="I1381" i="1"/>
  <c r="H1381" i="1"/>
  <c r="G1381" i="1"/>
  <c r="F1381" i="1"/>
  <c r="E1381" i="1"/>
  <c r="D1381" i="1"/>
  <c r="J1380" i="1"/>
  <c r="I1380" i="1"/>
  <c r="H1380" i="1"/>
  <c r="G1380" i="1"/>
  <c r="F1380" i="1"/>
  <c r="E1380" i="1"/>
  <c r="D1380" i="1"/>
  <c r="J1379" i="1"/>
  <c r="I1379" i="1"/>
  <c r="H1379" i="1"/>
  <c r="G1379" i="1"/>
  <c r="F1379" i="1"/>
  <c r="E1379" i="1"/>
  <c r="D1379" i="1"/>
  <c r="J1378" i="1"/>
  <c r="I1378" i="1"/>
  <c r="H1378" i="1"/>
  <c r="G1378" i="1"/>
  <c r="F1378" i="1"/>
  <c r="E1378" i="1"/>
  <c r="D1378" i="1"/>
  <c r="J1377" i="1"/>
  <c r="I1377" i="1"/>
  <c r="H1377" i="1"/>
  <c r="G1377" i="1"/>
  <c r="F1377" i="1"/>
  <c r="E1377" i="1"/>
  <c r="D1377" i="1"/>
  <c r="J1376" i="1"/>
  <c r="I1376" i="1"/>
  <c r="H1376" i="1"/>
  <c r="G1376" i="1"/>
  <c r="F1376" i="1"/>
  <c r="E1376" i="1"/>
  <c r="D1376" i="1"/>
  <c r="J1375" i="1"/>
  <c r="I1375" i="1"/>
  <c r="H1375" i="1"/>
  <c r="G1375" i="1"/>
  <c r="F1375" i="1"/>
  <c r="E1375" i="1"/>
  <c r="D1375" i="1"/>
  <c r="J1374" i="1"/>
  <c r="I1374" i="1"/>
  <c r="H1374" i="1"/>
  <c r="G1374" i="1"/>
  <c r="F1374" i="1"/>
  <c r="E1374" i="1"/>
  <c r="D1374" i="1"/>
  <c r="J1373" i="1"/>
  <c r="I1373" i="1"/>
  <c r="H1373" i="1"/>
  <c r="G1373" i="1"/>
  <c r="F1373" i="1"/>
  <c r="E1373" i="1"/>
  <c r="D1373" i="1"/>
  <c r="J1372" i="1"/>
  <c r="I1372" i="1"/>
  <c r="H1372" i="1"/>
  <c r="G1372" i="1"/>
  <c r="F1372" i="1"/>
  <c r="E1372" i="1"/>
  <c r="D1372" i="1"/>
  <c r="J1371" i="1"/>
  <c r="I1371" i="1"/>
  <c r="H1371" i="1"/>
  <c r="G1371" i="1"/>
  <c r="F1371" i="1"/>
  <c r="E1371" i="1"/>
  <c r="D1371" i="1"/>
  <c r="J1370" i="1"/>
  <c r="I1370" i="1"/>
  <c r="H1370" i="1"/>
  <c r="G1370" i="1"/>
  <c r="F1370" i="1"/>
  <c r="E1370" i="1"/>
  <c r="D1370" i="1"/>
  <c r="J1369" i="1"/>
  <c r="I1369" i="1"/>
  <c r="H1369" i="1"/>
  <c r="G1369" i="1"/>
  <c r="F1369" i="1"/>
  <c r="E1369" i="1"/>
  <c r="D1369" i="1"/>
  <c r="J1368" i="1"/>
  <c r="I1368" i="1"/>
  <c r="H1368" i="1"/>
  <c r="G1368" i="1"/>
  <c r="F1368" i="1"/>
  <c r="E1368" i="1"/>
  <c r="D1368" i="1"/>
  <c r="J1367" i="1"/>
  <c r="I1367" i="1"/>
  <c r="H1367" i="1"/>
  <c r="G1367" i="1"/>
  <c r="F1367" i="1"/>
  <c r="E1367" i="1"/>
  <c r="D1367" i="1"/>
  <c r="J1366" i="1"/>
  <c r="I1366" i="1"/>
  <c r="H1366" i="1"/>
  <c r="G1366" i="1"/>
  <c r="F1366" i="1"/>
  <c r="E1366" i="1"/>
  <c r="D1366" i="1"/>
  <c r="J1365" i="1"/>
  <c r="I1365" i="1"/>
  <c r="H1365" i="1"/>
  <c r="G1365" i="1"/>
  <c r="F1365" i="1"/>
  <c r="E1365" i="1"/>
  <c r="D1365" i="1"/>
  <c r="J1364" i="1"/>
  <c r="I1364" i="1"/>
  <c r="H1364" i="1"/>
  <c r="G1364" i="1"/>
  <c r="F1364" i="1"/>
  <c r="E1364" i="1"/>
  <c r="D1364" i="1"/>
  <c r="J1363" i="1"/>
  <c r="I1363" i="1"/>
  <c r="H1363" i="1"/>
  <c r="G1363" i="1"/>
  <c r="F1363" i="1"/>
  <c r="E1363" i="1"/>
  <c r="D1363" i="1"/>
  <c r="J1362" i="1"/>
  <c r="H1362" i="1"/>
  <c r="F1362" i="1"/>
  <c r="D1362" i="1"/>
  <c r="J1361" i="1"/>
  <c r="I1361" i="1"/>
  <c r="H1361" i="1"/>
  <c r="G1361" i="1"/>
  <c r="F1361" i="1"/>
  <c r="E1361" i="1"/>
  <c r="D1361" i="1"/>
  <c r="J1360" i="1"/>
  <c r="I1360" i="1"/>
  <c r="H1360" i="1"/>
  <c r="G1360" i="1"/>
  <c r="F1360" i="1"/>
  <c r="E1360" i="1"/>
  <c r="D1360" i="1"/>
  <c r="J1359" i="1"/>
  <c r="I1359" i="1"/>
  <c r="H1359" i="1"/>
  <c r="G1359" i="1"/>
  <c r="F1359" i="1"/>
  <c r="E1359" i="1"/>
  <c r="D1359" i="1"/>
  <c r="J1358" i="1"/>
  <c r="I1358" i="1"/>
  <c r="H1358" i="1"/>
  <c r="G1358" i="1"/>
  <c r="F1358" i="1"/>
  <c r="E1358" i="1"/>
  <c r="D1358" i="1"/>
  <c r="J1357" i="1"/>
  <c r="I1357" i="1"/>
  <c r="H1357" i="1"/>
  <c r="G1357" i="1"/>
  <c r="F1357" i="1"/>
  <c r="E1357" i="1"/>
  <c r="D1357" i="1"/>
  <c r="J1356" i="1"/>
  <c r="I1356" i="1"/>
  <c r="H1356" i="1"/>
  <c r="G1356" i="1"/>
  <c r="F1356" i="1"/>
  <c r="E1356" i="1"/>
  <c r="D1356" i="1"/>
  <c r="J1355" i="1"/>
  <c r="I1355" i="1"/>
  <c r="H1355" i="1"/>
  <c r="G1355" i="1"/>
  <c r="F1355" i="1"/>
  <c r="E1355" i="1"/>
  <c r="D1355" i="1"/>
  <c r="J1354" i="1"/>
  <c r="I1354" i="1"/>
  <c r="H1354" i="1"/>
  <c r="G1354" i="1"/>
  <c r="F1354" i="1"/>
  <c r="E1354" i="1"/>
  <c r="D1354" i="1"/>
  <c r="J1353" i="1"/>
  <c r="I1353" i="1"/>
  <c r="H1353" i="1"/>
  <c r="G1353" i="1"/>
  <c r="F1353" i="1"/>
  <c r="E1353" i="1"/>
  <c r="D1353" i="1"/>
  <c r="J1352" i="1"/>
  <c r="I1352" i="1"/>
  <c r="H1352" i="1"/>
  <c r="G1352" i="1"/>
  <c r="F1352" i="1"/>
  <c r="E1352" i="1"/>
  <c r="D1352" i="1"/>
  <c r="J1351" i="1"/>
  <c r="I1351" i="1"/>
  <c r="H1351" i="1"/>
  <c r="G1351" i="1"/>
  <c r="F1351" i="1"/>
  <c r="E1351" i="1"/>
  <c r="D1351" i="1"/>
  <c r="J1350" i="1"/>
  <c r="H1350" i="1"/>
  <c r="F1350" i="1"/>
  <c r="D1350" i="1"/>
  <c r="J1349" i="1"/>
  <c r="I1349" i="1"/>
  <c r="H1349" i="1"/>
  <c r="G1349" i="1"/>
  <c r="F1349" i="1"/>
  <c r="E1349" i="1"/>
  <c r="D1349" i="1"/>
  <c r="J1348" i="1"/>
  <c r="I1348" i="1"/>
  <c r="H1348" i="1"/>
  <c r="G1348" i="1"/>
  <c r="F1348" i="1"/>
  <c r="E1348" i="1"/>
  <c r="D1348" i="1"/>
  <c r="J1347" i="1"/>
  <c r="I1347" i="1"/>
  <c r="H1347" i="1"/>
  <c r="G1347" i="1"/>
  <c r="F1347" i="1"/>
  <c r="E1347" i="1"/>
  <c r="D1347" i="1"/>
  <c r="J1346" i="1"/>
  <c r="H1346" i="1"/>
  <c r="F1346" i="1"/>
  <c r="D1346" i="1"/>
  <c r="J1345" i="1"/>
  <c r="I1345" i="1"/>
  <c r="H1345" i="1"/>
  <c r="G1345" i="1"/>
  <c r="F1345" i="1"/>
  <c r="E1345" i="1"/>
  <c r="D1345" i="1"/>
  <c r="J1344" i="1"/>
  <c r="I1344" i="1"/>
  <c r="H1344" i="1"/>
  <c r="G1344" i="1"/>
  <c r="F1344" i="1"/>
  <c r="E1344" i="1"/>
  <c r="D1344" i="1"/>
  <c r="J1343" i="1"/>
  <c r="I1343" i="1"/>
  <c r="H1343" i="1"/>
  <c r="G1343" i="1"/>
  <c r="F1343" i="1"/>
  <c r="E1343" i="1"/>
  <c r="D1343" i="1"/>
  <c r="J1342" i="1"/>
  <c r="I1342" i="1"/>
  <c r="H1342" i="1"/>
  <c r="G1342" i="1"/>
  <c r="F1342" i="1"/>
  <c r="E1342" i="1"/>
  <c r="D1342" i="1"/>
  <c r="J1341" i="1"/>
  <c r="I1341" i="1"/>
  <c r="H1341" i="1"/>
  <c r="G1341" i="1"/>
  <c r="F1341" i="1"/>
  <c r="E1341" i="1"/>
  <c r="D1341" i="1"/>
  <c r="J1340" i="1"/>
  <c r="I1340" i="1"/>
  <c r="H1340" i="1"/>
  <c r="G1340" i="1"/>
  <c r="F1340" i="1"/>
  <c r="E1340" i="1"/>
  <c r="D1340" i="1"/>
  <c r="J1339" i="1"/>
  <c r="I1339" i="1"/>
  <c r="H1339" i="1"/>
  <c r="G1339" i="1"/>
  <c r="F1339" i="1"/>
  <c r="E1339" i="1"/>
  <c r="D1339" i="1"/>
  <c r="J1338" i="1"/>
  <c r="I1338" i="1"/>
  <c r="H1338" i="1"/>
  <c r="G1338" i="1"/>
  <c r="F1338" i="1"/>
  <c r="E1338" i="1"/>
  <c r="D1338" i="1"/>
  <c r="J1337" i="1"/>
  <c r="I1337" i="1"/>
  <c r="H1337" i="1"/>
  <c r="G1337" i="1"/>
  <c r="F1337" i="1"/>
  <c r="E1337" i="1"/>
  <c r="D1337" i="1"/>
  <c r="J1336" i="1"/>
  <c r="I1336" i="1"/>
  <c r="H1336" i="1"/>
  <c r="G1336" i="1"/>
  <c r="F1336" i="1"/>
  <c r="E1336" i="1"/>
  <c r="D1336" i="1"/>
  <c r="J1335" i="1"/>
  <c r="I1335" i="1"/>
  <c r="H1335" i="1"/>
  <c r="G1335" i="1"/>
  <c r="F1335" i="1"/>
  <c r="E1335" i="1"/>
  <c r="D1335" i="1"/>
  <c r="J1334" i="1"/>
  <c r="I1334" i="1"/>
  <c r="H1334" i="1"/>
  <c r="G1334" i="1"/>
  <c r="F1334" i="1"/>
  <c r="E1334" i="1"/>
  <c r="D1334" i="1"/>
  <c r="J1333" i="1"/>
  <c r="I1333" i="1"/>
  <c r="H1333" i="1"/>
  <c r="G1333" i="1"/>
  <c r="F1333" i="1"/>
  <c r="E1333" i="1"/>
  <c r="D1333" i="1"/>
  <c r="J1332" i="1"/>
  <c r="I1332" i="1"/>
  <c r="H1332" i="1"/>
  <c r="G1332" i="1"/>
  <c r="F1332" i="1"/>
  <c r="E1332" i="1"/>
  <c r="D1332" i="1"/>
  <c r="J1331" i="1"/>
  <c r="I1331" i="1"/>
  <c r="H1331" i="1"/>
  <c r="G1331" i="1"/>
  <c r="F1331" i="1"/>
  <c r="E1331" i="1"/>
  <c r="D1331" i="1"/>
  <c r="J1330" i="1"/>
  <c r="I1330" i="1"/>
  <c r="H1330" i="1"/>
  <c r="G1330" i="1"/>
  <c r="F1330" i="1"/>
  <c r="E1330" i="1"/>
  <c r="D1330" i="1"/>
  <c r="J1329" i="1"/>
  <c r="I1329" i="1"/>
  <c r="H1329" i="1"/>
  <c r="G1329" i="1"/>
  <c r="F1329" i="1"/>
  <c r="E1329" i="1"/>
  <c r="D1329" i="1"/>
  <c r="J1328" i="1"/>
  <c r="I1328" i="1"/>
  <c r="H1328" i="1"/>
  <c r="G1328" i="1"/>
  <c r="F1328" i="1"/>
  <c r="E1328" i="1"/>
  <c r="D1328" i="1"/>
  <c r="J1327" i="1"/>
  <c r="I1327" i="1"/>
  <c r="H1327" i="1"/>
  <c r="G1327" i="1"/>
  <c r="F1327" i="1"/>
  <c r="E1327" i="1"/>
  <c r="D1327" i="1"/>
  <c r="J1326" i="1"/>
  <c r="I1326" i="1"/>
  <c r="H1326" i="1"/>
  <c r="G1326" i="1"/>
  <c r="F1326" i="1"/>
  <c r="E1326" i="1"/>
  <c r="D1326" i="1"/>
  <c r="J1325" i="1"/>
  <c r="I1325" i="1"/>
  <c r="H1325" i="1"/>
  <c r="G1325" i="1"/>
  <c r="F1325" i="1"/>
  <c r="E1325" i="1"/>
  <c r="D1325" i="1"/>
  <c r="J1324" i="1"/>
  <c r="I1324" i="1"/>
  <c r="H1324" i="1"/>
  <c r="G1324" i="1"/>
  <c r="F1324" i="1"/>
  <c r="E1324" i="1"/>
  <c r="D1324" i="1"/>
  <c r="J1323" i="1"/>
  <c r="I1323" i="1"/>
  <c r="H1323" i="1"/>
  <c r="G1323" i="1"/>
  <c r="F1323" i="1"/>
  <c r="E1323" i="1"/>
  <c r="D1323" i="1"/>
  <c r="J1322" i="1"/>
  <c r="I1322" i="1"/>
  <c r="H1322" i="1"/>
  <c r="G1322" i="1"/>
  <c r="F1322" i="1"/>
  <c r="E1322" i="1"/>
  <c r="D1322" i="1"/>
  <c r="J1321" i="1"/>
  <c r="I1321" i="1"/>
  <c r="H1321" i="1"/>
  <c r="G1321" i="1"/>
  <c r="F1321" i="1"/>
  <c r="E1321" i="1"/>
  <c r="D1321" i="1"/>
  <c r="J1320" i="1"/>
  <c r="I1320" i="1"/>
  <c r="H1320" i="1"/>
  <c r="G1320" i="1"/>
  <c r="F1320" i="1"/>
  <c r="E1320" i="1"/>
  <c r="D1320" i="1"/>
  <c r="J1319" i="1"/>
  <c r="I1319" i="1"/>
  <c r="H1319" i="1"/>
  <c r="G1319" i="1"/>
  <c r="F1319" i="1"/>
  <c r="E1319" i="1"/>
  <c r="D1319" i="1"/>
  <c r="J1318" i="1"/>
  <c r="I1318" i="1"/>
  <c r="H1318" i="1"/>
  <c r="G1318" i="1"/>
  <c r="F1318" i="1"/>
  <c r="E1318" i="1"/>
  <c r="D1318" i="1"/>
  <c r="J1317" i="1"/>
  <c r="I1317" i="1"/>
  <c r="H1317" i="1"/>
  <c r="G1317" i="1"/>
  <c r="F1317" i="1"/>
  <c r="E1317" i="1"/>
  <c r="D1317" i="1"/>
  <c r="J1316" i="1"/>
  <c r="I1316" i="1"/>
  <c r="H1316" i="1"/>
  <c r="G1316" i="1"/>
  <c r="F1316" i="1"/>
  <c r="E1316" i="1"/>
  <c r="D1316" i="1"/>
  <c r="J1315" i="1"/>
  <c r="I1315" i="1"/>
  <c r="H1315" i="1"/>
  <c r="G1315" i="1"/>
  <c r="F1315" i="1"/>
  <c r="E1315" i="1"/>
  <c r="D1315" i="1"/>
  <c r="J1314" i="1"/>
  <c r="I1314" i="1"/>
  <c r="H1314" i="1"/>
  <c r="G1314" i="1"/>
  <c r="F1314" i="1"/>
  <c r="E1314" i="1"/>
  <c r="D1314" i="1"/>
  <c r="J1313" i="1"/>
  <c r="I1313" i="1"/>
  <c r="H1313" i="1"/>
  <c r="G1313" i="1"/>
  <c r="F1313" i="1"/>
  <c r="E1313" i="1"/>
  <c r="D1313" i="1"/>
  <c r="J1312" i="1"/>
  <c r="I1312" i="1"/>
  <c r="H1312" i="1"/>
  <c r="G1312" i="1"/>
  <c r="F1312" i="1"/>
  <c r="E1312" i="1"/>
  <c r="D1312" i="1"/>
  <c r="J1311" i="1"/>
  <c r="I1311" i="1"/>
  <c r="H1311" i="1"/>
  <c r="G1311" i="1"/>
  <c r="F1311" i="1"/>
  <c r="E1311" i="1"/>
  <c r="D1311" i="1"/>
  <c r="J1310" i="1"/>
  <c r="H1310" i="1"/>
  <c r="F1310" i="1"/>
  <c r="D1310" i="1"/>
  <c r="J1309" i="1"/>
  <c r="I1309" i="1"/>
  <c r="H1309" i="1"/>
  <c r="G1309" i="1"/>
  <c r="F1309" i="1"/>
  <c r="E1309" i="1"/>
  <c r="D1309" i="1"/>
  <c r="J1308" i="1"/>
  <c r="I1308" i="1"/>
  <c r="H1308" i="1"/>
  <c r="G1308" i="1"/>
  <c r="F1308" i="1"/>
  <c r="E1308" i="1"/>
  <c r="D1308" i="1"/>
  <c r="J1307" i="1"/>
  <c r="I1307" i="1"/>
  <c r="H1307" i="1"/>
  <c r="G1307" i="1"/>
  <c r="F1307" i="1"/>
  <c r="E1307" i="1"/>
  <c r="D1307" i="1"/>
  <c r="J1306" i="1"/>
  <c r="I1306" i="1"/>
  <c r="H1306" i="1"/>
  <c r="G1306" i="1"/>
  <c r="F1306" i="1"/>
  <c r="E1306" i="1"/>
  <c r="D1306" i="1"/>
  <c r="J1305" i="1"/>
  <c r="I1305" i="1"/>
  <c r="H1305" i="1"/>
  <c r="G1305" i="1"/>
  <c r="F1305" i="1"/>
  <c r="E1305" i="1"/>
  <c r="D1305" i="1"/>
  <c r="J1304" i="1"/>
  <c r="I1304" i="1"/>
  <c r="H1304" i="1"/>
  <c r="G1304" i="1"/>
  <c r="F1304" i="1"/>
  <c r="E1304" i="1"/>
  <c r="D1304" i="1"/>
  <c r="J1303" i="1"/>
  <c r="I1303" i="1"/>
  <c r="H1303" i="1"/>
  <c r="G1303" i="1"/>
  <c r="F1303" i="1"/>
  <c r="E1303" i="1"/>
  <c r="D1303" i="1"/>
  <c r="J1302" i="1"/>
  <c r="I1302" i="1"/>
  <c r="H1302" i="1"/>
  <c r="G1302" i="1"/>
  <c r="F1302" i="1"/>
  <c r="E1302" i="1"/>
  <c r="D1302" i="1"/>
  <c r="J1301" i="1"/>
  <c r="I1301" i="1"/>
  <c r="H1301" i="1"/>
  <c r="G1301" i="1"/>
  <c r="F1301" i="1"/>
  <c r="E1301" i="1"/>
  <c r="D1301" i="1"/>
  <c r="J1300" i="1"/>
  <c r="I1300" i="1"/>
  <c r="H1300" i="1"/>
  <c r="G1300" i="1"/>
  <c r="F1300" i="1"/>
  <c r="E1300" i="1"/>
  <c r="D1300" i="1"/>
  <c r="J1299" i="1"/>
  <c r="I1299" i="1"/>
  <c r="H1299" i="1"/>
  <c r="G1299" i="1"/>
  <c r="F1299" i="1"/>
  <c r="E1299" i="1"/>
  <c r="D1299" i="1"/>
  <c r="J1298" i="1"/>
  <c r="I1298" i="1"/>
  <c r="H1298" i="1"/>
  <c r="G1298" i="1"/>
  <c r="F1298" i="1"/>
  <c r="E1298" i="1"/>
  <c r="D1298" i="1"/>
  <c r="J1297" i="1"/>
  <c r="I1297" i="1"/>
  <c r="H1297" i="1"/>
  <c r="G1297" i="1"/>
  <c r="F1297" i="1"/>
  <c r="E1297" i="1"/>
  <c r="D1297" i="1"/>
  <c r="J1296" i="1"/>
  <c r="I1296" i="1"/>
  <c r="H1296" i="1"/>
  <c r="G1296" i="1"/>
  <c r="F1296" i="1"/>
  <c r="E1296" i="1"/>
  <c r="D1296" i="1"/>
  <c r="J1295" i="1"/>
  <c r="I1295" i="1"/>
  <c r="H1295" i="1"/>
  <c r="G1295" i="1"/>
  <c r="F1295" i="1"/>
  <c r="E1295" i="1"/>
  <c r="D1295" i="1"/>
  <c r="J1294" i="1"/>
  <c r="I1294" i="1"/>
  <c r="H1294" i="1"/>
  <c r="G1294" i="1"/>
  <c r="F1294" i="1"/>
  <c r="E1294" i="1"/>
  <c r="D1294" i="1"/>
  <c r="J1293" i="1"/>
  <c r="I1293" i="1"/>
  <c r="H1293" i="1"/>
  <c r="G1293" i="1"/>
  <c r="F1293" i="1"/>
  <c r="E1293" i="1"/>
  <c r="D1293" i="1"/>
  <c r="J1292" i="1"/>
  <c r="I1292" i="1"/>
  <c r="H1292" i="1"/>
  <c r="G1292" i="1"/>
  <c r="F1292" i="1"/>
  <c r="E1292" i="1"/>
  <c r="D1292" i="1"/>
  <c r="J1291" i="1"/>
  <c r="I1291" i="1"/>
  <c r="H1291" i="1"/>
  <c r="G1291" i="1"/>
  <c r="F1291" i="1"/>
  <c r="E1291" i="1"/>
  <c r="D1291" i="1"/>
  <c r="J1290" i="1"/>
  <c r="I1290" i="1"/>
  <c r="H1290" i="1"/>
  <c r="G1290" i="1"/>
  <c r="F1290" i="1"/>
  <c r="E1290" i="1"/>
  <c r="D1290" i="1"/>
  <c r="J1289" i="1"/>
  <c r="I1289" i="1"/>
  <c r="H1289" i="1"/>
  <c r="G1289" i="1"/>
  <c r="F1289" i="1"/>
  <c r="E1289" i="1"/>
  <c r="D1289" i="1"/>
  <c r="J1288" i="1"/>
  <c r="H1288" i="1"/>
  <c r="F1288" i="1"/>
  <c r="D1288" i="1"/>
  <c r="J1287" i="1"/>
  <c r="I1287" i="1"/>
  <c r="H1287" i="1"/>
  <c r="G1287" i="1"/>
  <c r="F1287" i="1"/>
  <c r="E1287" i="1"/>
  <c r="D1287" i="1"/>
  <c r="J1286" i="1"/>
  <c r="H1286" i="1"/>
  <c r="F1286" i="1"/>
  <c r="D1286" i="1"/>
  <c r="J1285" i="1"/>
  <c r="I1285" i="1"/>
  <c r="H1285" i="1"/>
  <c r="G1285" i="1"/>
  <c r="F1285" i="1"/>
  <c r="E1285" i="1"/>
  <c r="D1285" i="1"/>
  <c r="J1284" i="1"/>
  <c r="I1284" i="1"/>
  <c r="H1284" i="1"/>
  <c r="G1284" i="1"/>
  <c r="F1284" i="1"/>
  <c r="E1284" i="1"/>
  <c r="D1284" i="1"/>
  <c r="J1283" i="1"/>
  <c r="I1283" i="1"/>
  <c r="H1283" i="1"/>
  <c r="G1283" i="1"/>
  <c r="F1283" i="1"/>
  <c r="E1283" i="1"/>
  <c r="D1283" i="1"/>
  <c r="J1282" i="1"/>
  <c r="I1282" i="1"/>
  <c r="H1282" i="1"/>
  <c r="G1282" i="1"/>
  <c r="F1282" i="1"/>
  <c r="E1282" i="1"/>
  <c r="D1282" i="1"/>
  <c r="J1281" i="1"/>
  <c r="I1281" i="1"/>
  <c r="H1281" i="1"/>
  <c r="G1281" i="1"/>
  <c r="F1281" i="1"/>
  <c r="E1281" i="1"/>
  <c r="D1281" i="1"/>
  <c r="J1280" i="1"/>
  <c r="I1280" i="1"/>
  <c r="H1280" i="1"/>
  <c r="G1280" i="1"/>
  <c r="F1280" i="1"/>
  <c r="E1280" i="1"/>
  <c r="D1280" i="1"/>
  <c r="J1279" i="1"/>
  <c r="I1279" i="1"/>
  <c r="H1279" i="1"/>
  <c r="G1279" i="1"/>
  <c r="F1279" i="1"/>
  <c r="E1279" i="1"/>
  <c r="D1279" i="1"/>
  <c r="J1278" i="1"/>
  <c r="I1278" i="1"/>
  <c r="H1278" i="1"/>
  <c r="G1278" i="1"/>
  <c r="F1278" i="1"/>
  <c r="E1278" i="1"/>
  <c r="D1278" i="1"/>
  <c r="J1277" i="1"/>
  <c r="I1277" i="1"/>
  <c r="H1277" i="1"/>
  <c r="G1277" i="1"/>
  <c r="F1277" i="1"/>
  <c r="E1277" i="1"/>
  <c r="D1277" i="1"/>
  <c r="J1276" i="1"/>
  <c r="I1276" i="1"/>
  <c r="H1276" i="1"/>
  <c r="G1276" i="1"/>
  <c r="F1276" i="1"/>
  <c r="E1276" i="1"/>
  <c r="D1276" i="1"/>
  <c r="J1275" i="1"/>
  <c r="I1275" i="1"/>
  <c r="H1275" i="1"/>
  <c r="G1275" i="1"/>
  <c r="F1275" i="1"/>
  <c r="E1275" i="1"/>
  <c r="D1275" i="1"/>
  <c r="J1274" i="1"/>
  <c r="I1274" i="1"/>
  <c r="H1274" i="1"/>
  <c r="G1274" i="1"/>
  <c r="F1274" i="1"/>
  <c r="E1274" i="1"/>
  <c r="D1274" i="1"/>
  <c r="J1273" i="1"/>
  <c r="I1273" i="1"/>
  <c r="H1273" i="1"/>
  <c r="G1273" i="1"/>
  <c r="F1273" i="1"/>
  <c r="E1273" i="1"/>
  <c r="D1273" i="1"/>
  <c r="J1272" i="1"/>
  <c r="I1272" i="1"/>
  <c r="H1272" i="1"/>
  <c r="G1272" i="1"/>
  <c r="F1272" i="1"/>
  <c r="E1272" i="1"/>
  <c r="D1272" i="1"/>
  <c r="J1271" i="1"/>
  <c r="I1271" i="1"/>
  <c r="H1271" i="1"/>
  <c r="G1271" i="1"/>
  <c r="F1271" i="1"/>
  <c r="E1271" i="1"/>
  <c r="D1271" i="1"/>
  <c r="J1270" i="1"/>
  <c r="I1270" i="1"/>
  <c r="H1270" i="1"/>
  <c r="G1270" i="1"/>
  <c r="F1270" i="1"/>
  <c r="E1270" i="1"/>
  <c r="D1270" i="1"/>
  <c r="J1269" i="1"/>
  <c r="I1269" i="1"/>
  <c r="H1269" i="1"/>
  <c r="G1269" i="1"/>
  <c r="F1269" i="1"/>
  <c r="E1269" i="1"/>
  <c r="D1269" i="1"/>
  <c r="J1268" i="1"/>
  <c r="I1268" i="1"/>
  <c r="H1268" i="1"/>
  <c r="G1268" i="1"/>
  <c r="F1268" i="1"/>
  <c r="E1268" i="1"/>
  <c r="D1268" i="1"/>
  <c r="J1267" i="1"/>
  <c r="I1267" i="1"/>
  <c r="H1267" i="1"/>
  <c r="G1267" i="1"/>
  <c r="F1267" i="1"/>
  <c r="E1267" i="1"/>
  <c r="D1267" i="1"/>
  <c r="J1266" i="1"/>
  <c r="I1266" i="1"/>
  <c r="H1266" i="1"/>
  <c r="G1266" i="1"/>
  <c r="F1266" i="1"/>
  <c r="E1266" i="1"/>
  <c r="D1266" i="1"/>
  <c r="J1265" i="1"/>
  <c r="I1265" i="1"/>
  <c r="H1265" i="1"/>
  <c r="G1265" i="1"/>
  <c r="F1265" i="1"/>
  <c r="E1265" i="1"/>
  <c r="D1265" i="1"/>
  <c r="J1264" i="1"/>
  <c r="I1264" i="1"/>
  <c r="H1264" i="1"/>
  <c r="G1264" i="1"/>
  <c r="F1264" i="1"/>
  <c r="E1264" i="1"/>
  <c r="D1264" i="1"/>
  <c r="J1263" i="1"/>
  <c r="I1263" i="1"/>
  <c r="H1263" i="1"/>
  <c r="G1263" i="1"/>
  <c r="F1263" i="1"/>
  <c r="E1263" i="1"/>
  <c r="D1263" i="1"/>
  <c r="J1262" i="1"/>
  <c r="I1262" i="1"/>
  <c r="H1262" i="1"/>
  <c r="G1262" i="1"/>
  <c r="F1262" i="1"/>
  <c r="E1262" i="1"/>
  <c r="D1262" i="1"/>
  <c r="J1261" i="1"/>
  <c r="I1261" i="1"/>
  <c r="H1261" i="1"/>
  <c r="G1261" i="1"/>
  <c r="F1261" i="1"/>
  <c r="E1261" i="1"/>
  <c r="D1261" i="1"/>
  <c r="J1260" i="1"/>
  <c r="I1260" i="1"/>
  <c r="H1260" i="1"/>
  <c r="G1260" i="1"/>
  <c r="F1260" i="1"/>
  <c r="E1260" i="1"/>
  <c r="D1260" i="1"/>
  <c r="J1259" i="1"/>
  <c r="I1259" i="1"/>
  <c r="H1259" i="1"/>
  <c r="G1259" i="1"/>
  <c r="F1259" i="1"/>
  <c r="E1259" i="1"/>
  <c r="D1259" i="1"/>
  <c r="J1258" i="1"/>
  <c r="I1258" i="1"/>
  <c r="H1258" i="1"/>
  <c r="G1258" i="1"/>
  <c r="F1258" i="1"/>
  <c r="E1258" i="1"/>
  <c r="D1258" i="1"/>
  <c r="J1257" i="1"/>
  <c r="I1257" i="1"/>
  <c r="H1257" i="1"/>
  <c r="G1257" i="1"/>
  <c r="F1257" i="1"/>
  <c r="E1257" i="1"/>
  <c r="D1257" i="1"/>
  <c r="J1256" i="1"/>
  <c r="I1256" i="1"/>
  <c r="H1256" i="1"/>
  <c r="G1256" i="1"/>
  <c r="F1256" i="1"/>
  <c r="E1256" i="1"/>
  <c r="D1256" i="1"/>
  <c r="J1255" i="1"/>
  <c r="I1255" i="1"/>
  <c r="H1255" i="1"/>
  <c r="G1255" i="1"/>
  <c r="F1255" i="1"/>
  <c r="E1255" i="1"/>
  <c r="D1255" i="1"/>
  <c r="J1254" i="1"/>
  <c r="I1254" i="1"/>
  <c r="H1254" i="1"/>
  <c r="G1254" i="1"/>
  <c r="F1254" i="1"/>
  <c r="E1254" i="1"/>
  <c r="D1254" i="1"/>
  <c r="J1253" i="1"/>
  <c r="I1253" i="1"/>
  <c r="H1253" i="1"/>
  <c r="G1253" i="1"/>
  <c r="F1253" i="1"/>
  <c r="E1253" i="1"/>
  <c r="D1253" i="1"/>
  <c r="J1252" i="1"/>
  <c r="I1252" i="1"/>
  <c r="H1252" i="1"/>
  <c r="G1252" i="1"/>
  <c r="F1252" i="1"/>
  <c r="E1252" i="1"/>
  <c r="D1252" i="1"/>
  <c r="J1251" i="1"/>
  <c r="I1251" i="1"/>
  <c r="H1251" i="1"/>
  <c r="G1251" i="1"/>
  <c r="F1251" i="1"/>
  <c r="E1251" i="1"/>
  <c r="D1251" i="1"/>
  <c r="J1250" i="1"/>
  <c r="I1250" i="1"/>
  <c r="H1250" i="1"/>
  <c r="G1250" i="1"/>
  <c r="F1250" i="1"/>
  <c r="E1250" i="1"/>
  <c r="D1250" i="1"/>
  <c r="J1249" i="1"/>
  <c r="I1249" i="1"/>
  <c r="H1249" i="1"/>
  <c r="G1249" i="1"/>
  <c r="F1249" i="1"/>
  <c r="E1249" i="1"/>
  <c r="D1249" i="1"/>
  <c r="J1248" i="1"/>
  <c r="I1248" i="1"/>
  <c r="H1248" i="1"/>
  <c r="G1248" i="1"/>
  <c r="F1248" i="1"/>
  <c r="E1248" i="1"/>
  <c r="D1248" i="1"/>
  <c r="J1247" i="1"/>
  <c r="I1247" i="1"/>
  <c r="H1247" i="1"/>
  <c r="G1247" i="1"/>
  <c r="F1247" i="1"/>
  <c r="E1247" i="1"/>
  <c r="D1247" i="1"/>
  <c r="J1246" i="1"/>
  <c r="H1246" i="1"/>
  <c r="F1246" i="1"/>
  <c r="D1246" i="1"/>
  <c r="J1245" i="1"/>
  <c r="I1245" i="1"/>
  <c r="H1245" i="1"/>
  <c r="G1245" i="1"/>
  <c r="F1245" i="1"/>
  <c r="E1245" i="1"/>
  <c r="D1245" i="1"/>
  <c r="J1244" i="1"/>
  <c r="I1244" i="1"/>
  <c r="H1244" i="1"/>
  <c r="G1244" i="1"/>
  <c r="F1244" i="1"/>
  <c r="E1244" i="1"/>
  <c r="D1244" i="1"/>
  <c r="J1243" i="1"/>
  <c r="I1243" i="1"/>
  <c r="H1243" i="1"/>
  <c r="G1243" i="1"/>
  <c r="F1243" i="1"/>
  <c r="E1243" i="1"/>
  <c r="D1243" i="1"/>
  <c r="J1242" i="1"/>
  <c r="I1242" i="1"/>
  <c r="H1242" i="1"/>
  <c r="G1242" i="1"/>
  <c r="F1242" i="1"/>
  <c r="E1242" i="1"/>
  <c r="D1242" i="1"/>
  <c r="J1241" i="1"/>
  <c r="I1241" i="1"/>
  <c r="H1241" i="1"/>
  <c r="G1241" i="1"/>
  <c r="F1241" i="1"/>
  <c r="E1241" i="1"/>
  <c r="D1241" i="1"/>
  <c r="J1240" i="1"/>
  <c r="I1240" i="1"/>
  <c r="H1240" i="1"/>
  <c r="G1240" i="1"/>
  <c r="F1240" i="1"/>
  <c r="E1240" i="1"/>
  <c r="D1240" i="1"/>
  <c r="J1239" i="1"/>
  <c r="I1239" i="1"/>
  <c r="H1239" i="1"/>
  <c r="G1239" i="1"/>
  <c r="F1239" i="1"/>
  <c r="E1239" i="1"/>
  <c r="D1239" i="1"/>
  <c r="J1238" i="1"/>
  <c r="I1238" i="1"/>
  <c r="H1238" i="1"/>
  <c r="G1238" i="1"/>
  <c r="F1238" i="1"/>
  <c r="E1238" i="1"/>
  <c r="D1238" i="1"/>
  <c r="J1237" i="1"/>
  <c r="I1237" i="1"/>
  <c r="H1237" i="1"/>
  <c r="G1237" i="1"/>
  <c r="F1237" i="1"/>
  <c r="E1237" i="1"/>
  <c r="D1237" i="1"/>
  <c r="J1236" i="1"/>
  <c r="I1236" i="1"/>
  <c r="H1236" i="1"/>
  <c r="G1236" i="1"/>
  <c r="F1236" i="1"/>
  <c r="E1236" i="1"/>
  <c r="D1236" i="1"/>
  <c r="J1235" i="1"/>
  <c r="I1235" i="1"/>
  <c r="H1235" i="1"/>
  <c r="G1235" i="1"/>
  <c r="F1235" i="1"/>
  <c r="E1235" i="1"/>
  <c r="D1235" i="1"/>
  <c r="J1234" i="1"/>
  <c r="H1234" i="1"/>
  <c r="F1234" i="1"/>
  <c r="D1234" i="1"/>
  <c r="J1233" i="1"/>
  <c r="I1233" i="1"/>
  <c r="H1233" i="1"/>
  <c r="G1233" i="1"/>
  <c r="F1233" i="1"/>
  <c r="E1233" i="1"/>
  <c r="D1233" i="1"/>
  <c r="J1232" i="1"/>
  <c r="I1232" i="1"/>
  <c r="H1232" i="1"/>
  <c r="G1232" i="1"/>
  <c r="F1232" i="1"/>
  <c r="E1232" i="1"/>
  <c r="D1232" i="1"/>
  <c r="J1231" i="1"/>
  <c r="I1231" i="1"/>
  <c r="H1231" i="1"/>
  <c r="G1231" i="1"/>
  <c r="F1231" i="1"/>
  <c r="E1231" i="1"/>
  <c r="D1231" i="1"/>
  <c r="J1230" i="1"/>
  <c r="I1230" i="1"/>
  <c r="H1230" i="1"/>
  <c r="G1230" i="1"/>
  <c r="F1230" i="1"/>
  <c r="E1230" i="1"/>
  <c r="D1230" i="1"/>
  <c r="J1229" i="1"/>
  <c r="H1229" i="1"/>
  <c r="F1229" i="1"/>
  <c r="D1229" i="1"/>
  <c r="J1228" i="1"/>
  <c r="I1228" i="1"/>
  <c r="H1228" i="1"/>
  <c r="G1228" i="1"/>
  <c r="F1228" i="1"/>
  <c r="E1228" i="1"/>
  <c r="D1228" i="1"/>
  <c r="J1227" i="1"/>
  <c r="I1227" i="1"/>
  <c r="H1227" i="1"/>
  <c r="G1227" i="1"/>
  <c r="F1227" i="1"/>
  <c r="E1227" i="1"/>
  <c r="D1227" i="1"/>
  <c r="J1226" i="1"/>
  <c r="I1226" i="1"/>
  <c r="H1226" i="1"/>
  <c r="G1226" i="1"/>
  <c r="F1226" i="1"/>
  <c r="E1226" i="1"/>
  <c r="D1226" i="1"/>
  <c r="J1225" i="1"/>
  <c r="I1225" i="1"/>
  <c r="H1225" i="1"/>
  <c r="G1225" i="1"/>
  <c r="F1225" i="1"/>
  <c r="E1225" i="1"/>
  <c r="D1225" i="1"/>
  <c r="J1224" i="1"/>
  <c r="I1224" i="1"/>
  <c r="H1224" i="1"/>
  <c r="G1224" i="1"/>
  <c r="F1224" i="1"/>
  <c r="E1224" i="1"/>
  <c r="D1224" i="1"/>
  <c r="J1223" i="1"/>
  <c r="I1223" i="1"/>
  <c r="H1223" i="1"/>
  <c r="G1223" i="1"/>
  <c r="F1223" i="1"/>
  <c r="E1223" i="1"/>
  <c r="D1223" i="1"/>
  <c r="J1222" i="1"/>
  <c r="I1222" i="1"/>
  <c r="H1222" i="1"/>
  <c r="G1222" i="1"/>
  <c r="F1222" i="1"/>
  <c r="E1222" i="1"/>
  <c r="D1222" i="1"/>
  <c r="J1221" i="1"/>
  <c r="I1221" i="1"/>
  <c r="H1221" i="1"/>
  <c r="G1221" i="1"/>
  <c r="F1221" i="1"/>
  <c r="E1221" i="1"/>
  <c r="D1221" i="1"/>
  <c r="J1220" i="1"/>
  <c r="I1220" i="1"/>
  <c r="H1220" i="1"/>
  <c r="G1220" i="1"/>
  <c r="F1220" i="1"/>
  <c r="E1220" i="1"/>
  <c r="D1220" i="1"/>
  <c r="J1219" i="1"/>
  <c r="I1219" i="1"/>
  <c r="H1219" i="1"/>
  <c r="G1219" i="1"/>
  <c r="F1219" i="1"/>
  <c r="E1219" i="1"/>
  <c r="D1219" i="1"/>
  <c r="J1218" i="1"/>
  <c r="I1218" i="1"/>
  <c r="H1218" i="1"/>
  <c r="G1218" i="1"/>
  <c r="F1218" i="1"/>
  <c r="E1218" i="1"/>
  <c r="D1218" i="1"/>
  <c r="J1217" i="1"/>
  <c r="I1217" i="1"/>
  <c r="H1217" i="1"/>
  <c r="G1217" i="1"/>
  <c r="F1217" i="1"/>
  <c r="E1217" i="1"/>
  <c r="D1217" i="1"/>
  <c r="J1216" i="1"/>
  <c r="I1216" i="1"/>
  <c r="H1216" i="1"/>
  <c r="G1216" i="1"/>
  <c r="F1216" i="1"/>
  <c r="E1216" i="1"/>
  <c r="D1216" i="1"/>
  <c r="J1215" i="1"/>
  <c r="I1215" i="1"/>
  <c r="H1215" i="1"/>
  <c r="G1215" i="1"/>
  <c r="F1215" i="1"/>
  <c r="E1215" i="1"/>
  <c r="D1215" i="1"/>
  <c r="J1214" i="1"/>
  <c r="I1214" i="1"/>
  <c r="H1214" i="1"/>
  <c r="G1214" i="1"/>
  <c r="F1214" i="1"/>
  <c r="E1214" i="1"/>
  <c r="D1214" i="1"/>
  <c r="J1213" i="1"/>
  <c r="I1213" i="1"/>
  <c r="H1213" i="1"/>
  <c r="G1213" i="1"/>
  <c r="F1213" i="1"/>
  <c r="E1213" i="1"/>
  <c r="D1213" i="1"/>
  <c r="J1212" i="1"/>
  <c r="I1212" i="1"/>
  <c r="H1212" i="1"/>
  <c r="G1212" i="1"/>
  <c r="F1212" i="1"/>
  <c r="E1212" i="1"/>
  <c r="D1212" i="1"/>
  <c r="J1211" i="1"/>
  <c r="I1211" i="1"/>
  <c r="H1211" i="1"/>
  <c r="G1211" i="1"/>
  <c r="F1211" i="1"/>
  <c r="E1211" i="1"/>
  <c r="D1211" i="1"/>
  <c r="J1210" i="1"/>
  <c r="I1210" i="1"/>
  <c r="H1210" i="1"/>
  <c r="G1210" i="1"/>
  <c r="F1210" i="1"/>
  <c r="E1210" i="1"/>
  <c r="D1210" i="1"/>
  <c r="J1209" i="1"/>
  <c r="I1209" i="1"/>
  <c r="H1209" i="1"/>
  <c r="G1209" i="1"/>
  <c r="F1209" i="1"/>
  <c r="E1209" i="1"/>
  <c r="D1209" i="1"/>
  <c r="J1208" i="1"/>
  <c r="I1208" i="1"/>
  <c r="H1208" i="1"/>
  <c r="G1208" i="1"/>
  <c r="F1208" i="1"/>
  <c r="E1208" i="1"/>
  <c r="D1208" i="1"/>
  <c r="J1207" i="1"/>
  <c r="I1207" i="1"/>
  <c r="H1207" i="1"/>
  <c r="G1207" i="1"/>
  <c r="F1207" i="1"/>
  <c r="E1207" i="1"/>
  <c r="D1207" i="1"/>
  <c r="J1206" i="1"/>
  <c r="I1206" i="1"/>
  <c r="H1206" i="1"/>
  <c r="G1206" i="1"/>
  <c r="F1206" i="1"/>
  <c r="E1206" i="1"/>
  <c r="D1206" i="1"/>
  <c r="J1205" i="1"/>
  <c r="H1205" i="1"/>
  <c r="F1205" i="1"/>
  <c r="D1205" i="1"/>
  <c r="J1204" i="1"/>
  <c r="I1204" i="1"/>
  <c r="H1204" i="1"/>
  <c r="G1204" i="1"/>
  <c r="F1204" i="1"/>
  <c r="E1204" i="1"/>
  <c r="D1204" i="1"/>
  <c r="J1203" i="1"/>
  <c r="I1203" i="1"/>
  <c r="H1203" i="1"/>
  <c r="G1203" i="1"/>
  <c r="F1203" i="1"/>
  <c r="E1203" i="1"/>
  <c r="D1203" i="1"/>
  <c r="J1202" i="1"/>
  <c r="I1202" i="1"/>
  <c r="H1202" i="1"/>
  <c r="G1202" i="1"/>
  <c r="F1202" i="1"/>
  <c r="E1202" i="1"/>
  <c r="D1202" i="1"/>
  <c r="J1201" i="1"/>
  <c r="I1201" i="1"/>
  <c r="H1201" i="1"/>
  <c r="G1201" i="1"/>
  <c r="F1201" i="1"/>
  <c r="E1201" i="1"/>
  <c r="D1201" i="1"/>
  <c r="J1200" i="1"/>
  <c r="I1200" i="1"/>
  <c r="H1200" i="1"/>
  <c r="G1200" i="1"/>
  <c r="F1200" i="1"/>
  <c r="E1200" i="1"/>
  <c r="D1200" i="1"/>
  <c r="J1199" i="1"/>
  <c r="H1199" i="1"/>
  <c r="F1199" i="1"/>
  <c r="D1199" i="1"/>
  <c r="J1198" i="1"/>
  <c r="I1198" i="1"/>
  <c r="H1198" i="1"/>
  <c r="G1198" i="1"/>
  <c r="F1198" i="1"/>
  <c r="E1198" i="1"/>
  <c r="D1198" i="1"/>
  <c r="J1197" i="1"/>
  <c r="I1197" i="1"/>
  <c r="H1197" i="1"/>
  <c r="G1197" i="1"/>
  <c r="F1197" i="1"/>
  <c r="E1197" i="1"/>
  <c r="D1197" i="1"/>
  <c r="J1196" i="1"/>
  <c r="I1196" i="1"/>
  <c r="H1196" i="1"/>
  <c r="G1196" i="1"/>
  <c r="F1196" i="1"/>
  <c r="E1196" i="1"/>
  <c r="D1196" i="1"/>
  <c r="J1195" i="1"/>
  <c r="I1195" i="1"/>
  <c r="H1195" i="1"/>
  <c r="G1195" i="1"/>
  <c r="F1195" i="1"/>
  <c r="E1195" i="1"/>
  <c r="D1195" i="1"/>
  <c r="J1194" i="1"/>
  <c r="I1194" i="1"/>
  <c r="H1194" i="1"/>
  <c r="G1194" i="1"/>
  <c r="F1194" i="1"/>
  <c r="E1194" i="1"/>
  <c r="D1194" i="1"/>
  <c r="J1193" i="1"/>
  <c r="I1193" i="1"/>
  <c r="H1193" i="1"/>
  <c r="G1193" i="1"/>
  <c r="F1193" i="1"/>
  <c r="E1193" i="1"/>
  <c r="D1193" i="1"/>
  <c r="J1192" i="1"/>
  <c r="I1192" i="1"/>
  <c r="H1192" i="1"/>
  <c r="G1192" i="1"/>
  <c r="F1192" i="1"/>
  <c r="E1192" i="1"/>
  <c r="D1192" i="1"/>
  <c r="J1191" i="1"/>
  <c r="I1191" i="1"/>
  <c r="H1191" i="1"/>
  <c r="G1191" i="1"/>
  <c r="F1191" i="1"/>
  <c r="E1191" i="1"/>
  <c r="D1191" i="1"/>
  <c r="J1190" i="1"/>
  <c r="I1190" i="1"/>
  <c r="H1190" i="1"/>
  <c r="G1190" i="1"/>
  <c r="F1190" i="1"/>
  <c r="E1190" i="1"/>
  <c r="D1190" i="1"/>
  <c r="J1189" i="1"/>
  <c r="H1189" i="1"/>
  <c r="F1189" i="1"/>
  <c r="D1189" i="1"/>
  <c r="J1188" i="1"/>
  <c r="I1188" i="1"/>
  <c r="H1188" i="1"/>
  <c r="G1188" i="1"/>
  <c r="F1188" i="1"/>
  <c r="E1188" i="1"/>
  <c r="D1188" i="1"/>
  <c r="J1187" i="1"/>
  <c r="I1187" i="1"/>
  <c r="H1187" i="1"/>
  <c r="G1187" i="1"/>
  <c r="F1187" i="1"/>
  <c r="E1187" i="1"/>
  <c r="D1187" i="1"/>
  <c r="J1186" i="1"/>
  <c r="I1186" i="1"/>
  <c r="H1186" i="1"/>
  <c r="G1186" i="1"/>
  <c r="F1186" i="1"/>
  <c r="E1186" i="1"/>
  <c r="D1186" i="1"/>
  <c r="J1185" i="1"/>
  <c r="I1185" i="1"/>
  <c r="H1185" i="1"/>
  <c r="G1185" i="1"/>
  <c r="F1185" i="1"/>
  <c r="E1185" i="1"/>
  <c r="D1185" i="1"/>
  <c r="J1184" i="1"/>
  <c r="I1184" i="1"/>
  <c r="H1184" i="1"/>
  <c r="G1184" i="1"/>
  <c r="F1184" i="1"/>
  <c r="E1184" i="1"/>
  <c r="D1184" i="1"/>
  <c r="J1183" i="1"/>
  <c r="I1183" i="1"/>
  <c r="H1183" i="1"/>
  <c r="G1183" i="1"/>
  <c r="F1183" i="1"/>
  <c r="E1183" i="1"/>
  <c r="D1183" i="1"/>
  <c r="J1182" i="1"/>
  <c r="I1182" i="1"/>
  <c r="H1182" i="1"/>
  <c r="G1182" i="1"/>
  <c r="F1182" i="1"/>
  <c r="E1182" i="1"/>
  <c r="D1182" i="1"/>
  <c r="J1181" i="1"/>
  <c r="I1181" i="1"/>
  <c r="H1181" i="1"/>
  <c r="G1181" i="1"/>
  <c r="F1181" i="1"/>
  <c r="E1181" i="1"/>
  <c r="D1181" i="1"/>
  <c r="J1180" i="1"/>
  <c r="I1180" i="1"/>
  <c r="H1180" i="1"/>
  <c r="G1180" i="1"/>
  <c r="F1180" i="1"/>
  <c r="E1180" i="1"/>
  <c r="D1180" i="1"/>
  <c r="J1179" i="1"/>
  <c r="I1179" i="1"/>
  <c r="H1179" i="1"/>
  <c r="G1179" i="1"/>
  <c r="F1179" i="1"/>
  <c r="E1179" i="1"/>
  <c r="D1179" i="1"/>
  <c r="J1178" i="1"/>
  <c r="H1178" i="1"/>
  <c r="F1178" i="1"/>
  <c r="D1178" i="1"/>
  <c r="J1177" i="1"/>
  <c r="I1177" i="1"/>
  <c r="H1177" i="1"/>
  <c r="G1177" i="1"/>
  <c r="F1177" i="1"/>
  <c r="E1177" i="1"/>
  <c r="D1177" i="1"/>
  <c r="J1176" i="1"/>
  <c r="I1176" i="1"/>
  <c r="H1176" i="1"/>
  <c r="G1176" i="1"/>
  <c r="F1176" i="1"/>
  <c r="E1176" i="1"/>
  <c r="D1176" i="1"/>
  <c r="J1175" i="1"/>
  <c r="I1175" i="1"/>
  <c r="H1175" i="1"/>
  <c r="G1175" i="1"/>
  <c r="F1175" i="1"/>
  <c r="E1175" i="1"/>
  <c r="D1175" i="1"/>
  <c r="J1174" i="1"/>
  <c r="I1174" i="1"/>
  <c r="H1174" i="1"/>
  <c r="G1174" i="1"/>
  <c r="F1174" i="1"/>
  <c r="E1174" i="1"/>
  <c r="D1174" i="1"/>
  <c r="J1173" i="1"/>
  <c r="I1173" i="1"/>
  <c r="H1173" i="1"/>
  <c r="G1173" i="1"/>
  <c r="F1173" i="1"/>
  <c r="E1173" i="1"/>
  <c r="D1173" i="1"/>
  <c r="J1172" i="1"/>
  <c r="I1172" i="1"/>
  <c r="H1172" i="1"/>
  <c r="G1172" i="1"/>
  <c r="F1172" i="1"/>
  <c r="E1172" i="1"/>
  <c r="D1172" i="1"/>
  <c r="J1171" i="1"/>
  <c r="H1171" i="1"/>
  <c r="F1171" i="1"/>
  <c r="D1171" i="1"/>
  <c r="J1170" i="1"/>
  <c r="I1170" i="1"/>
  <c r="H1170" i="1"/>
  <c r="G1170" i="1"/>
  <c r="F1170" i="1"/>
  <c r="E1170" i="1"/>
  <c r="D1170" i="1"/>
  <c r="J1169" i="1"/>
  <c r="I1169" i="1"/>
  <c r="H1169" i="1"/>
  <c r="G1169" i="1"/>
  <c r="F1169" i="1"/>
  <c r="E1169" i="1"/>
  <c r="D1169" i="1"/>
  <c r="J1168" i="1"/>
  <c r="I1168" i="1"/>
  <c r="H1168" i="1"/>
  <c r="G1168" i="1"/>
  <c r="F1168" i="1"/>
  <c r="E1168" i="1"/>
  <c r="D1168" i="1"/>
  <c r="J1167" i="1"/>
  <c r="I1167" i="1"/>
  <c r="H1167" i="1"/>
  <c r="G1167" i="1"/>
  <c r="F1167" i="1"/>
  <c r="E1167" i="1"/>
  <c r="D1167" i="1"/>
  <c r="J1166" i="1"/>
  <c r="I1166" i="1"/>
  <c r="H1166" i="1"/>
  <c r="G1166" i="1"/>
  <c r="F1166" i="1"/>
  <c r="E1166" i="1"/>
  <c r="D1166" i="1"/>
  <c r="J1165" i="1"/>
  <c r="I1165" i="1"/>
  <c r="H1165" i="1"/>
  <c r="G1165" i="1"/>
  <c r="F1165" i="1"/>
  <c r="E1165" i="1"/>
  <c r="D1165" i="1"/>
  <c r="J1164" i="1"/>
  <c r="I1164" i="1"/>
  <c r="H1164" i="1"/>
  <c r="G1164" i="1"/>
  <c r="F1164" i="1"/>
  <c r="E1164" i="1"/>
  <c r="D1164" i="1"/>
  <c r="J1163" i="1"/>
  <c r="I1163" i="1"/>
  <c r="H1163" i="1"/>
  <c r="G1163" i="1"/>
  <c r="F1163" i="1"/>
  <c r="E1163" i="1"/>
  <c r="D1163" i="1"/>
  <c r="J1162" i="1"/>
  <c r="I1162" i="1"/>
  <c r="H1162" i="1"/>
  <c r="G1162" i="1"/>
  <c r="F1162" i="1"/>
  <c r="E1162" i="1"/>
  <c r="D1162" i="1"/>
  <c r="J1161" i="1"/>
  <c r="I1161" i="1"/>
  <c r="H1161" i="1"/>
  <c r="G1161" i="1"/>
  <c r="F1161" i="1"/>
  <c r="E1161" i="1"/>
  <c r="D1161" i="1"/>
  <c r="J1160" i="1"/>
  <c r="H1160" i="1"/>
  <c r="F1160" i="1"/>
  <c r="D1160" i="1"/>
  <c r="J1159" i="1"/>
  <c r="H1159" i="1"/>
  <c r="F1159" i="1"/>
  <c r="D1159" i="1"/>
  <c r="J1158" i="1"/>
  <c r="I1158" i="1"/>
  <c r="H1158" i="1"/>
  <c r="G1158" i="1"/>
  <c r="F1158" i="1"/>
  <c r="E1158" i="1"/>
  <c r="D1158" i="1"/>
  <c r="J1157" i="1"/>
  <c r="I1157" i="1"/>
  <c r="H1157" i="1"/>
  <c r="G1157" i="1"/>
  <c r="F1157" i="1"/>
  <c r="E1157" i="1"/>
  <c r="D1157" i="1"/>
  <c r="J1156" i="1"/>
  <c r="I1156" i="1"/>
  <c r="H1156" i="1"/>
  <c r="G1156" i="1"/>
  <c r="F1156" i="1"/>
  <c r="E1156" i="1"/>
  <c r="D1156" i="1"/>
  <c r="J1155" i="1"/>
  <c r="I1155" i="1"/>
  <c r="H1155" i="1"/>
  <c r="G1155" i="1"/>
  <c r="F1155" i="1"/>
  <c r="E1155" i="1"/>
  <c r="D1155" i="1"/>
  <c r="J1154" i="1"/>
  <c r="I1154" i="1"/>
  <c r="H1154" i="1"/>
  <c r="G1154" i="1"/>
  <c r="F1154" i="1"/>
  <c r="E1154" i="1"/>
  <c r="D1154" i="1"/>
  <c r="J1153" i="1"/>
  <c r="I1153" i="1"/>
  <c r="H1153" i="1"/>
  <c r="G1153" i="1"/>
  <c r="F1153" i="1"/>
  <c r="E1153" i="1"/>
  <c r="D1153" i="1"/>
  <c r="J1152" i="1"/>
  <c r="I1152" i="1"/>
  <c r="H1152" i="1"/>
  <c r="G1152" i="1"/>
  <c r="F1152" i="1"/>
  <c r="E1152" i="1"/>
  <c r="D1152" i="1"/>
  <c r="J1151" i="1"/>
  <c r="I1151" i="1"/>
  <c r="H1151" i="1"/>
  <c r="G1151" i="1"/>
  <c r="F1151" i="1"/>
  <c r="E1151" i="1"/>
  <c r="D1151" i="1"/>
  <c r="J1150" i="1"/>
  <c r="I1150" i="1"/>
  <c r="H1150" i="1"/>
  <c r="G1150" i="1"/>
  <c r="F1150" i="1"/>
  <c r="E1150" i="1"/>
  <c r="D1150" i="1"/>
  <c r="J1149" i="1"/>
  <c r="H1149" i="1"/>
  <c r="F1149" i="1"/>
  <c r="D1149" i="1"/>
  <c r="J1148" i="1"/>
  <c r="I1148" i="1"/>
  <c r="H1148" i="1"/>
  <c r="G1148" i="1"/>
  <c r="F1148" i="1"/>
  <c r="E1148" i="1"/>
  <c r="D1148" i="1"/>
  <c r="J1147" i="1"/>
  <c r="I1147" i="1"/>
  <c r="H1147" i="1"/>
  <c r="G1147" i="1"/>
  <c r="F1147" i="1"/>
  <c r="E1147" i="1"/>
  <c r="D1147" i="1"/>
  <c r="J1146" i="1"/>
  <c r="I1146" i="1"/>
  <c r="H1146" i="1"/>
  <c r="G1146" i="1"/>
  <c r="F1146" i="1"/>
  <c r="E1146" i="1"/>
  <c r="D1146" i="1"/>
  <c r="J1145" i="1"/>
  <c r="I1145" i="1"/>
  <c r="H1145" i="1"/>
  <c r="G1145" i="1"/>
  <c r="F1145" i="1"/>
  <c r="E1145" i="1"/>
  <c r="D1145" i="1"/>
  <c r="J1144" i="1"/>
  <c r="I1144" i="1"/>
  <c r="H1144" i="1"/>
  <c r="G1144" i="1"/>
  <c r="F1144" i="1"/>
  <c r="E1144" i="1"/>
  <c r="D1144" i="1"/>
  <c r="J1143" i="1"/>
  <c r="I1143" i="1"/>
  <c r="H1143" i="1"/>
  <c r="G1143" i="1"/>
  <c r="F1143" i="1"/>
  <c r="E1143" i="1"/>
  <c r="D1143" i="1"/>
  <c r="J1142" i="1"/>
  <c r="I1142" i="1"/>
  <c r="H1142" i="1"/>
  <c r="G1142" i="1"/>
  <c r="F1142" i="1"/>
  <c r="E1142" i="1"/>
  <c r="D1142" i="1"/>
  <c r="J1141" i="1"/>
  <c r="I1141" i="1"/>
  <c r="H1141" i="1"/>
  <c r="G1141" i="1"/>
  <c r="F1141" i="1"/>
  <c r="E1141" i="1"/>
  <c r="D1141" i="1"/>
  <c r="J1140" i="1"/>
  <c r="I1140" i="1"/>
  <c r="H1140" i="1"/>
  <c r="G1140" i="1"/>
  <c r="F1140" i="1"/>
  <c r="E1140" i="1"/>
  <c r="D1140" i="1"/>
  <c r="J1139" i="1"/>
  <c r="I1139" i="1"/>
  <c r="H1139" i="1"/>
  <c r="G1139" i="1"/>
  <c r="F1139" i="1"/>
  <c r="E1139" i="1"/>
  <c r="D1139" i="1"/>
  <c r="J1138" i="1"/>
  <c r="I1138" i="1"/>
  <c r="H1138" i="1"/>
  <c r="G1138" i="1"/>
  <c r="F1138" i="1"/>
  <c r="E1138" i="1"/>
  <c r="D1138" i="1"/>
  <c r="J1137" i="1"/>
  <c r="I1137" i="1"/>
  <c r="H1137" i="1"/>
  <c r="G1137" i="1"/>
  <c r="F1137" i="1"/>
  <c r="E1137" i="1"/>
  <c r="D1137" i="1"/>
  <c r="J1136" i="1"/>
  <c r="I1136" i="1"/>
  <c r="H1136" i="1"/>
  <c r="G1136" i="1"/>
  <c r="F1136" i="1"/>
  <c r="E1136" i="1"/>
  <c r="D1136" i="1"/>
  <c r="J1135" i="1"/>
  <c r="I1135" i="1"/>
  <c r="H1135" i="1"/>
  <c r="G1135" i="1"/>
  <c r="F1135" i="1"/>
  <c r="E1135" i="1"/>
  <c r="D1135" i="1"/>
  <c r="J1134" i="1"/>
  <c r="I1134" i="1"/>
  <c r="H1134" i="1"/>
  <c r="G1134" i="1"/>
  <c r="F1134" i="1"/>
  <c r="E1134" i="1"/>
  <c r="D1134" i="1"/>
  <c r="J1133" i="1"/>
  <c r="I1133" i="1"/>
  <c r="H1133" i="1"/>
  <c r="G1133" i="1"/>
  <c r="F1133" i="1"/>
  <c r="E1133" i="1"/>
  <c r="D1133" i="1"/>
  <c r="J1132" i="1"/>
  <c r="I1132" i="1"/>
  <c r="H1132" i="1"/>
  <c r="G1132" i="1"/>
  <c r="F1132" i="1"/>
  <c r="E1132" i="1"/>
  <c r="D1132" i="1"/>
  <c r="J1131" i="1"/>
  <c r="I1131" i="1"/>
  <c r="H1131" i="1"/>
  <c r="G1131" i="1"/>
  <c r="F1131" i="1"/>
  <c r="E1131" i="1"/>
  <c r="D1131" i="1"/>
  <c r="J1130" i="1"/>
  <c r="I1130" i="1"/>
  <c r="H1130" i="1"/>
  <c r="G1130" i="1"/>
  <c r="F1130" i="1"/>
  <c r="E1130" i="1"/>
  <c r="D1130" i="1"/>
  <c r="J1129" i="1"/>
  <c r="I1129" i="1"/>
  <c r="H1129" i="1"/>
  <c r="G1129" i="1"/>
  <c r="F1129" i="1"/>
  <c r="E1129" i="1"/>
  <c r="D1129" i="1"/>
  <c r="J1128" i="1"/>
  <c r="I1128" i="1"/>
  <c r="H1128" i="1"/>
  <c r="G1128" i="1"/>
  <c r="F1128" i="1"/>
  <c r="E1128" i="1"/>
  <c r="D1128" i="1"/>
  <c r="J1127" i="1"/>
  <c r="I1127" i="1"/>
  <c r="H1127" i="1"/>
  <c r="G1127" i="1"/>
  <c r="F1127" i="1"/>
  <c r="E1127" i="1"/>
  <c r="D1127" i="1"/>
  <c r="J1126" i="1"/>
  <c r="I1126" i="1"/>
  <c r="H1126" i="1"/>
  <c r="G1126" i="1"/>
  <c r="F1126" i="1"/>
  <c r="E1126" i="1"/>
  <c r="D1126" i="1"/>
  <c r="J1125" i="1"/>
  <c r="I1125" i="1"/>
  <c r="H1125" i="1"/>
  <c r="G1125" i="1"/>
  <c r="F1125" i="1"/>
  <c r="E1125" i="1"/>
  <c r="D1125" i="1"/>
  <c r="J1124" i="1"/>
  <c r="I1124" i="1"/>
  <c r="H1124" i="1"/>
  <c r="G1124" i="1"/>
  <c r="F1124" i="1"/>
  <c r="E1124" i="1"/>
  <c r="D1124" i="1"/>
  <c r="J1123" i="1"/>
  <c r="I1123" i="1"/>
  <c r="H1123" i="1"/>
  <c r="G1123" i="1"/>
  <c r="F1123" i="1"/>
  <c r="E1123" i="1"/>
  <c r="D1123" i="1"/>
  <c r="J1122" i="1"/>
  <c r="H1122" i="1"/>
  <c r="F1122" i="1"/>
  <c r="D1122" i="1"/>
  <c r="J1121" i="1"/>
  <c r="I1121" i="1"/>
  <c r="H1121" i="1"/>
  <c r="G1121" i="1"/>
  <c r="F1121" i="1"/>
  <c r="E1121" i="1"/>
  <c r="D1121" i="1"/>
  <c r="J1120" i="1"/>
  <c r="I1120" i="1"/>
  <c r="H1120" i="1"/>
  <c r="G1120" i="1"/>
  <c r="F1120" i="1"/>
  <c r="E1120" i="1"/>
  <c r="D1120" i="1"/>
  <c r="J1119" i="1"/>
  <c r="I1119" i="1"/>
  <c r="H1119" i="1"/>
  <c r="G1119" i="1"/>
  <c r="F1119" i="1"/>
  <c r="E1119" i="1"/>
  <c r="D1119" i="1"/>
  <c r="J1118" i="1"/>
  <c r="H1118" i="1"/>
  <c r="F1118" i="1"/>
  <c r="D1118" i="1"/>
  <c r="J1117" i="1"/>
  <c r="I1117" i="1"/>
  <c r="H1117" i="1"/>
  <c r="G1117" i="1"/>
  <c r="F1117" i="1"/>
  <c r="E1117" i="1"/>
  <c r="D1117" i="1"/>
  <c r="J1116" i="1"/>
  <c r="I1116" i="1"/>
  <c r="H1116" i="1"/>
  <c r="G1116" i="1"/>
  <c r="F1116" i="1"/>
  <c r="E1116" i="1"/>
  <c r="D1116" i="1"/>
  <c r="J1115" i="1"/>
  <c r="I1115" i="1"/>
  <c r="H1115" i="1"/>
  <c r="G1115" i="1"/>
  <c r="F1115" i="1"/>
  <c r="E1115" i="1"/>
  <c r="D1115" i="1"/>
  <c r="J1114" i="1"/>
  <c r="I1114" i="1"/>
  <c r="H1114" i="1"/>
  <c r="G1114" i="1"/>
  <c r="F1114" i="1"/>
  <c r="E1114" i="1"/>
  <c r="D1114" i="1"/>
  <c r="J1113" i="1"/>
  <c r="H1113" i="1"/>
  <c r="F1113" i="1"/>
  <c r="D1113" i="1"/>
  <c r="J1112" i="1"/>
  <c r="I1112" i="1"/>
  <c r="H1112" i="1"/>
  <c r="G1112" i="1"/>
  <c r="F1112" i="1"/>
  <c r="E1112" i="1"/>
  <c r="D1112" i="1"/>
  <c r="J1111" i="1"/>
  <c r="I1111" i="1"/>
  <c r="H1111" i="1"/>
  <c r="G1111" i="1"/>
  <c r="F1111" i="1"/>
  <c r="E1111" i="1"/>
  <c r="D1111" i="1"/>
  <c r="J1110" i="1"/>
  <c r="I1110" i="1"/>
  <c r="H1110" i="1"/>
  <c r="G1110" i="1"/>
  <c r="F1110" i="1"/>
  <c r="E1110" i="1"/>
  <c r="D1110" i="1"/>
  <c r="J1109" i="1"/>
  <c r="I1109" i="1"/>
  <c r="H1109" i="1"/>
  <c r="G1109" i="1"/>
  <c r="F1109" i="1"/>
  <c r="E1109" i="1"/>
  <c r="D1109" i="1"/>
  <c r="J1108" i="1"/>
  <c r="I1108" i="1"/>
  <c r="H1108" i="1"/>
  <c r="G1108" i="1"/>
  <c r="F1108" i="1"/>
  <c r="E1108" i="1"/>
  <c r="D1108" i="1"/>
  <c r="J1107" i="1"/>
  <c r="H1107" i="1"/>
  <c r="F1107" i="1"/>
  <c r="D1107" i="1"/>
  <c r="J1106" i="1"/>
  <c r="I1106" i="1"/>
  <c r="H1106" i="1"/>
  <c r="G1106" i="1"/>
  <c r="F1106" i="1"/>
  <c r="E1106" i="1"/>
  <c r="D1106" i="1"/>
  <c r="J1105" i="1"/>
  <c r="I1105" i="1"/>
  <c r="H1105" i="1"/>
  <c r="G1105" i="1"/>
  <c r="F1105" i="1"/>
  <c r="E1105" i="1"/>
  <c r="D1105" i="1"/>
  <c r="J1104" i="1"/>
  <c r="I1104" i="1"/>
  <c r="H1104" i="1"/>
  <c r="G1104" i="1"/>
  <c r="F1104" i="1"/>
  <c r="E1104" i="1"/>
  <c r="D1104" i="1"/>
  <c r="J1103" i="1"/>
  <c r="H1103" i="1"/>
  <c r="F1103" i="1"/>
  <c r="D1103" i="1"/>
  <c r="J1102" i="1"/>
  <c r="I1102" i="1"/>
  <c r="H1102" i="1"/>
  <c r="G1102" i="1"/>
  <c r="F1102" i="1"/>
  <c r="E1102" i="1"/>
  <c r="D1102" i="1"/>
  <c r="J1101" i="1"/>
  <c r="I1101" i="1"/>
  <c r="H1101" i="1"/>
  <c r="G1101" i="1"/>
  <c r="F1101" i="1"/>
  <c r="E1101" i="1"/>
  <c r="D1101" i="1"/>
  <c r="J1100" i="1"/>
  <c r="I1100" i="1"/>
  <c r="H1100" i="1"/>
  <c r="G1100" i="1"/>
  <c r="F1100" i="1"/>
  <c r="E1100" i="1"/>
  <c r="D1100" i="1"/>
  <c r="J1099" i="1"/>
  <c r="I1099" i="1"/>
  <c r="H1099" i="1"/>
  <c r="G1099" i="1"/>
  <c r="F1099" i="1"/>
  <c r="E1099" i="1"/>
  <c r="D1099" i="1"/>
  <c r="J1098" i="1"/>
  <c r="I1098" i="1"/>
  <c r="H1098" i="1"/>
  <c r="G1098" i="1"/>
  <c r="F1098" i="1"/>
  <c r="E1098" i="1"/>
  <c r="D1098" i="1"/>
  <c r="J1097" i="1"/>
  <c r="I1097" i="1"/>
  <c r="H1097" i="1"/>
  <c r="G1097" i="1"/>
  <c r="F1097" i="1"/>
  <c r="E1097" i="1"/>
  <c r="D1097" i="1"/>
  <c r="J1096" i="1"/>
  <c r="I1096" i="1"/>
  <c r="H1096" i="1"/>
  <c r="G1096" i="1"/>
  <c r="F1096" i="1"/>
  <c r="E1096" i="1"/>
  <c r="D1096" i="1"/>
  <c r="J1095" i="1"/>
  <c r="I1095" i="1"/>
  <c r="H1095" i="1"/>
  <c r="G1095" i="1"/>
  <c r="F1095" i="1"/>
  <c r="E1095" i="1"/>
  <c r="D1095" i="1"/>
  <c r="J1094" i="1"/>
  <c r="I1094" i="1"/>
  <c r="H1094" i="1"/>
  <c r="G1094" i="1"/>
  <c r="F1094" i="1"/>
  <c r="E1094" i="1"/>
  <c r="D1094" i="1"/>
  <c r="J1093" i="1"/>
  <c r="I1093" i="1"/>
  <c r="H1093" i="1"/>
  <c r="G1093" i="1"/>
  <c r="F1093" i="1"/>
  <c r="E1093" i="1"/>
  <c r="D1093" i="1"/>
  <c r="J1092" i="1"/>
  <c r="H1092" i="1"/>
  <c r="F1092" i="1"/>
  <c r="D1092" i="1"/>
  <c r="J1091" i="1"/>
  <c r="I1091" i="1"/>
  <c r="H1091" i="1"/>
  <c r="G1091" i="1"/>
  <c r="F1091" i="1"/>
  <c r="E1091" i="1"/>
  <c r="D1091" i="1"/>
  <c r="J1090" i="1"/>
  <c r="I1090" i="1"/>
  <c r="H1090" i="1"/>
  <c r="G1090" i="1"/>
  <c r="F1090" i="1"/>
  <c r="E1090" i="1"/>
  <c r="D1090" i="1"/>
  <c r="J1089" i="1"/>
  <c r="I1089" i="1"/>
  <c r="H1089" i="1"/>
  <c r="G1089" i="1"/>
  <c r="F1089" i="1"/>
  <c r="E1089" i="1"/>
  <c r="D1089" i="1"/>
  <c r="J1088" i="1"/>
  <c r="I1088" i="1"/>
  <c r="H1088" i="1"/>
  <c r="G1088" i="1"/>
  <c r="F1088" i="1"/>
  <c r="E1088" i="1"/>
  <c r="D1088" i="1"/>
  <c r="J1087" i="1"/>
  <c r="I1087" i="1"/>
  <c r="H1087" i="1"/>
  <c r="G1087" i="1"/>
  <c r="F1087" i="1"/>
  <c r="E1087" i="1"/>
  <c r="D1087" i="1"/>
  <c r="J1086" i="1"/>
  <c r="I1086" i="1"/>
  <c r="H1086" i="1"/>
  <c r="G1086" i="1"/>
  <c r="F1086" i="1"/>
  <c r="E1086" i="1"/>
  <c r="D1086" i="1"/>
  <c r="J1085" i="1"/>
  <c r="I1085" i="1"/>
  <c r="H1085" i="1"/>
  <c r="G1085" i="1"/>
  <c r="F1085" i="1"/>
  <c r="E1085" i="1"/>
  <c r="D1085" i="1"/>
  <c r="J1084" i="1"/>
  <c r="I1084" i="1"/>
  <c r="H1084" i="1"/>
  <c r="G1084" i="1"/>
  <c r="F1084" i="1"/>
  <c r="E1084" i="1"/>
  <c r="D1084" i="1"/>
  <c r="J1083" i="1"/>
  <c r="I1083" i="1"/>
  <c r="H1083" i="1"/>
  <c r="G1083" i="1"/>
  <c r="F1083" i="1"/>
  <c r="E1083" i="1"/>
  <c r="D1083" i="1"/>
  <c r="J1082" i="1"/>
  <c r="I1082" i="1"/>
  <c r="H1082" i="1"/>
  <c r="G1082" i="1"/>
  <c r="F1082" i="1"/>
  <c r="E1082" i="1"/>
  <c r="D1082" i="1"/>
  <c r="J1081" i="1"/>
  <c r="H1081" i="1"/>
  <c r="F1081" i="1"/>
  <c r="D1081" i="1"/>
  <c r="J1080" i="1"/>
  <c r="I1080" i="1"/>
  <c r="H1080" i="1"/>
  <c r="G1080" i="1"/>
  <c r="F1080" i="1"/>
  <c r="E1080" i="1"/>
  <c r="D1080" i="1"/>
  <c r="J1079" i="1"/>
  <c r="I1079" i="1"/>
  <c r="H1079" i="1"/>
  <c r="G1079" i="1"/>
  <c r="F1079" i="1"/>
  <c r="E1079" i="1"/>
  <c r="D1079" i="1"/>
  <c r="J1078" i="1"/>
  <c r="I1078" i="1"/>
  <c r="H1078" i="1"/>
  <c r="G1078" i="1"/>
  <c r="F1078" i="1"/>
  <c r="E1078" i="1"/>
  <c r="D1078" i="1"/>
  <c r="J1077" i="1"/>
  <c r="I1077" i="1"/>
  <c r="H1077" i="1"/>
  <c r="G1077" i="1"/>
  <c r="F1077" i="1"/>
  <c r="E1077" i="1"/>
  <c r="D1077" i="1"/>
  <c r="J1076" i="1"/>
  <c r="I1076" i="1"/>
  <c r="H1076" i="1"/>
  <c r="G1076" i="1"/>
  <c r="F1076" i="1"/>
  <c r="E1076" i="1"/>
  <c r="D1076" i="1"/>
  <c r="J1075" i="1"/>
  <c r="I1075" i="1"/>
  <c r="H1075" i="1"/>
  <c r="G1075" i="1"/>
  <c r="F1075" i="1"/>
  <c r="E1075" i="1"/>
  <c r="D1075" i="1"/>
  <c r="J1074" i="1"/>
  <c r="H1074" i="1"/>
  <c r="F1074" i="1"/>
  <c r="D1074" i="1"/>
  <c r="J1073" i="1"/>
  <c r="I1073" i="1"/>
  <c r="H1073" i="1"/>
  <c r="G1073" i="1"/>
  <c r="F1073" i="1"/>
  <c r="E1073" i="1"/>
  <c r="D1073" i="1"/>
  <c r="J1072" i="1"/>
  <c r="I1072" i="1"/>
  <c r="H1072" i="1"/>
  <c r="G1072" i="1"/>
  <c r="F1072" i="1"/>
  <c r="E1072" i="1"/>
  <c r="D1072" i="1"/>
  <c r="J1071" i="1"/>
  <c r="I1071" i="1"/>
  <c r="H1071" i="1"/>
  <c r="G1071" i="1"/>
  <c r="F1071" i="1"/>
  <c r="E1071" i="1"/>
  <c r="D1071" i="1"/>
  <c r="J1070" i="1"/>
  <c r="I1070" i="1"/>
  <c r="H1070" i="1"/>
  <c r="G1070" i="1"/>
  <c r="F1070" i="1"/>
  <c r="E1070" i="1"/>
  <c r="D1070" i="1"/>
  <c r="J1069" i="1"/>
  <c r="I1069" i="1"/>
  <c r="H1069" i="1"/>
  <c r="G1069" i="1"/>
  <c r="F1069" i="1"/>
  <c r="E1069" i="1"/>
  <c r="D1069" i="1"/>
  <c r="J1068" i="1"/>
  <c r="I1068" i="1"/>
  <c r="H1068" i="1"/>
  <c r="G1068" i="1"/>
  <c r="F1068" i="1"/>
  <c r="E1068" i="1"/>
  <c r="D1068" i="1"/>
  <c r="J1067" i="1"/>
  <c r="I1067" i="1"/>
  <c r="H1067" i="1"/>
  <c r="G1067" i="1"/>
  <c r="F1067" i="1"/>
  <c r="E1067" i="1"/>
  <c r="D1067" i="1"/>
  <c r="J1066" i="1"/>
  <c r="I1066" i="1"/>
  <c r="H1066" i="1"/>
  <c r="G1066" i="1"/>
  <c r="F1066" i="1"/>
  <c r="E1066" i="1"/>
  <c r="D1066" i="1"/>
  <c r="J1065" i="1"/>
  <c r="I1065" i="1"/>
  <c r="H1065" i="1"/>
  <c r="G1065" i="1"/>
  <c r="F1065" i="1"/>
  <c r="E1065" i="1"/>
  <c r="D1065" i="1"/>
  <c r="J1064" i="1"/>
  <c r="I1064" i="1"/>
  <c r="H1064" i="1"/>
  <c r="G1064" i="1"/>
  <c r="F1064" i="1"/>
  <c r="E1064" i="1"/>
  <c r="D1064" i="1"/>
  <c r="J1063" i="1"/>
  <c r="I1063" i="1"/>
  <c r="H1063" i="1"/>
  <c r="G1063" i="1"/>
  <c r="F1063" i="1"/>
  <c r="E1063" i="1"/>
  <c r="D1063" i="1"/>
  <c r="J1062" i="1"/>
  <c r="I1062" i="1"/>
  <c r="H1062" i="1"/>
  <c r="G1062" i="1"/>
  <c r="F1062" i="1"/>
  <c r="E1062" i="1"/>
  <c r="D1062" i="1"/>
  <c r="J1061" i="1"/>
  <c r="I1061" i="1"/>
  <c r="H1061" i="1"/>
  <c r="G1061" i="1"/>
  <c r="F1061" i="1"/>
  <c r="E1061" i="1"/>
  <c r="D1061" i="1"/>
  <c r="J1060" i="1"/>
  <c r="I1060" i="1"/>
  <c r="H1060" i="1"/>
  <c r="G1060" i="1"/>
  <c r="F1060" i="1"/>
  <c r="E1060" i="1"/>
  <c r="D1060" i="1"/>
  <c r="J1059" i="1"/>
  <c r="I1059" i="1"/>
  <c r="H1059" i="1"/>
  <c r="G1059" i="1"/>
  <c r="F1059" i="1"/>
  <c r="E1059" i="1"/>
  <c r="D1059" i="1"/>
  <c r="J1058" i="1"/>
  <c r="I1058" i="1"/>
  <c r="H1058" i="1"/>
  <c r="G1058" i="1"/>
  <c r="F1058" i="1"/>
  <c r="E1058" i="1"/>
  <c r="D1058" i="1"/>
  <c r="J1057" i="1"/>
  <c r="H1057" i="1"/>
  <c r="F1057" i="1"/>
  <c r="D1057" i="1"/>
  <c r="J1056" i="1"/>
  <c r="I1056" i="1"/>
  <c r="H1056" i="1"/>
  <c r="G1056" i="1"/>
  <c r="F1056" i="1"/>
  <c r="E1056" i="1"/>
  <c r="D1056" i="1"/>
  <c r="J1055" i="1"/>
  <c r="I1055" i="1"/>
  <c r="H1055" i="1"/>
  <c r="G1055" i="1"/>
  <c r="F1055" i="1"/>
  <c r="E1055" i="1"/>
  <c r="D1055" i="1"/>
  <c r="J1054" i="1"/>
  <c r="I1054" i="1"/>
  <c r="H1054" i="1"/>
  <c r="G1054" i="1"/>
  <c r="F1054" i="1"/>
  <c r="E1054" i="1"/>
  <c r="D1054" i="1"/>
  <c r="J1053" i="1"/>
  <c r="I1053" i="1"/>
  <c r="H1053" i="1"/>
  <c r="G1053" i="1"/>
  <c r="F1053" i="1"/>
  <c r="E1053" i="1"/>
  <c r="D1053" i="1"/>
  <c r="J1052" i="1"/>
  <c r="I1052" i="1"/>
  <c r="H1052" i="1"/>
  <c r="G1052" i="1"/>
  <c r="F1052" i="1"/>
  <c r="E1052" i="1"/>
  <c r="D1052" i="1"/>
  <c r="J1051" i="1"/>
  <c r="I1051" i="1"/>
  <c r="H1051" i="1"/>
  <c r="G1051" i="1"/>
  <c r="F1051" i="1"/>
  <c r="E1051" i="1"/>
  <c r="D1051" i="1"/>
  <c r="J1050" i="1"/>
  <c r="I1050" i="1"/>
  <c r="H1050" i="1"/>
  <c r="G1050" i="1"/>
  <c r="F1050" i="1"/>
  <c r="E1050" i="1"/>
  <c r="D1050" i="1"/>
  <c r="J1049" i="1"/>
  <c r="I1049" i="1"/>
  <c r="H1049" i="1"/>
  <c r="G1049" i="1"/>
  <c r="F1049" i="1"/>
  <c r="E1049" i="1"/>
  <c r="D1049" i="1"/>
  <c r="J1048" i="1"/>
  <c r="I1048" i="1"/>
  <c r="H1048" i="1"/>
  <c r="G1048" i="1"/>
  <c r="F1048" i="1"/>
  <c r="E1048" i="1"/>
  <c r="D1048" i="1"/>
  <c r="J1047" i="1"/>
  <c r="I1047" i="1"/>
  <c r="H1047" i="1"/>
  <c r="G1047" i="1"/>
  <c r="F1047" i="1"/>
  <c r="E1047" i="1"/>
  <c r="D1047" i="1"/>
  <c r="J1046" i="1"/>
  <c r="I1046" i="1"/>
  <c r="H1046" i="1"/>
  <c r="G1046" i="1"/>
  <c r="F1046" i="1"/>
  <c r="E1046" i="1"/>
  <c r="D1046" i="1"/>
  <c r="J1045" i="1"/>
  <c r="I1045" i="1"/>
  <c r="H1045" i="1"/>
  <c r="G1045" i="1"/>
  <c r="F1045" i="1"/>
  <c r="E1045" i="1"/>
  <c r="D1045" i="1"/>
  <c r="J1044" i="1"/>
  <c r="I1044" i="1"/>
  <c r="H1044" i="1"/>
  <c r="G1044" i="1"/>
  <c r="F1044" i="1"/>
  <c r="E1044" i="1"/>
  <c r="D1044" i="1"/>
  <c r="J1043" i="1"/>
  <c r="I1043" i="1"/>
  <c r="H1043" i="1"/>
  <c r="G1043" i="1"/>
  <c r="F1043" i="1"/>
  <c r="E1043" i="1"/>
  <c r="D1043" i="1"/>
  <c r="J1042" i="1"/>
  <c r="I1042" i="1"/>
  <c r="H1042" i="1"/>
  <c r="G1042" i="1"/>
  <c r="F1042" i="1"/>
  <c r="E1042" i="1"/>
  <c r="D1042" i="1"/>
  <c r="J1041" i="1"/>
  <c r="I1041" i="1"/>
  <c r="H1041" i="1"/>
  <c r="G1041" i="1"/>
  <c r="F1041" i="1"/>
  <c r="E1041" i="1"/>
  <c r="D1041" i="1"/>
  <c r="J1040" i="1"/>
  <c r="I1040" i="1"/>
  <c r="H1040" i="1"/>
  <c r="G1040" i="1"/>
  <c r="F1040" i="1"/>
  <c r="E1040" i="1"/>
  <c r="D1040" i="1"/>
  <c r="J1039" i="1"/>
  <c r="I1039" i="1"/>
  <c r="H1039" i="1"/>
  <c r="G1039" i="1"/>
  <c r="F1039" i="1"/>
  <c r="E1039" i="1"/>
  <c r="D1039" i="1"/>
  <c r="J1038" i="1"/>
  <c r="I1038" i="1"/>
  <c r="H1038" i="1"/>
  <c r="G1038" i="1"/>
  <c r="F1038" i="1"/>
  <c r="E1038" i="1"/>
  <c r="D1038" i="1"/>
  <c r="J1037" i="1"/>
  <c r="I1037" i="1"/>
  <c r="H1037" i="1"/>
  <c r="G1037" i="1"/>
  <c r="F1037" i="1"/>
  <c r="E1037" i="1"/>
  <c r="D1037" i="1"/>
  <c r="J1036" i="1"/>
  <c r="I1036" i="1"/>
  <c r="H1036" i="1"/>
  <c r="G1036" i="1"/>
  <c r="F1036" i="1"/>
  <c r="E1036" i="1"/>
  <c r="D1036" i="1"/>
  <c r="J1035" i="1"/>
  <c r="I1035" i="1"/>
  <c r="H1035" i="1"/>
  <c r="G1035" i="1"/>
  <c r="F1035" i="1"/>
  <c r="E1035" i="1"/>
  <c r="D1035" i="1"/>
  <c r="J1034" i="1"/>
  <c r="I1034" i="1"/>
  <c r="H1034" i="1"/>
  <c r="G1034" i="1"/>
  <c r="F1034" i="1"/>
  <c r="E1034" i="1"/>
  <c r="D1034" i="1"/>
  <c r="J1033" i="1"/>
  <c r="I1033" i="1"/>
  <c r="H1033" i="1"/>
  <c r="G1033" i="1"/>
  <c r="F1033" i="1"/>
  <c r="E1033" i="1"/>
  <c r="D1033" i="1"/>
  <c r="J1032" i="1"/>
  <c r="I1032" i="1"/>
  <c r="H1032" i="1"/>
  <c r="G1032" i="1"/>
  <c r="F1032" i="1"/>
  <c r="E1032" i="1"/>
  <c r="D1032" i="1"/>
  <c r="J1031" i="1"/>
  <c r="I1031" i="1"/>
  <c r="H1031" i="1"/>
  <c r="G1031" i="1"/>
  <c r="F1031" i="1"/>
  <c r="E1031" i="1"/>
  <c r="D1031" i="1"/>
  <c r="J1030" i="1"/>
  <c r="I1030" i="1"/>
  <c r="H1030" i="1"/>
  <c r="G1030" i="1"/>
  <c r="F1030" i="1"/>
  <c r="E1030" i="1"/>
  <c r="D1030" i="1"/>
  <c r="J1029" i="1"/>
  <c r="I1029" i="1"/>
  <c r="H1029" i="1"/>
  <c r="G1029" i="1"/>
  <c r="F1029" i="1"/>
  <c r="E1029" i="1"/>
  <c r="D1029" i="1"/>
  <c r="J1028" i="1"/>
  <c r="I1028" i="1"/>
  <c r="H1028" i="1"/>
  <c r="G1028" i="1"/>
  <c r="F1028" i="1"/>
  <c r="E1028" i="1"/>
  <c r="D1028" i="1"/>
  <c r="J1027" i="1"/>
  <c r="I1027" i="1"/>
  <c r="H1027" i="1"/>
  <c r="G1027" i="1"/>
  <c r="F1027" i="1"/>
  <c r="E1027" i="1"/>
  <c r="D1027" i="1"/>
  <c r="J1026" i="1"/>
  <c r="I1026" i="1"/>
  <c r="H1026" i="1"/>
  <c r="G1026" i="1"/>
  <c r="F1026" i="1"/>
  <c r="E1026" i="1"/>
  <c r="D1026" i="1"/>
  <c r="J1025" i="1"/>
  <c r="I1025" i="1"/>
  <c r="H1025" i="1"/>
  <c r="G1025" i="1"/>
  <c r="F1025" i="1"/>
  <c r="E1025" i="1"/>
  <c r="D1025" i="1"/>
  <c r="J1024" i="1"/>
  <c r="I1024" i="1"/>
  <c r="H1024" i="1"/>
  <c r="G1024" i="1"/>
  <c r="F1024" i="1"/>
  <c r="E1024" i="1"/>
  <c r="D1024" i="1"/>
  <c r="J1023" i="1"/>
  <c r="I1023" i="1"/>
  <c r="H1023" i="1"/>
  <c r="G1023" i="1"/>
  <c r="F1023" i="1"/>
  <c r="E1023" i="1"/>
  <c r="D1023" i="1"/>
  <c r="J1022" i="1"/>
  <c r="I1022" i="1"/>
  <c r="H1022" i="1"/>
  <c r="G1022" i="1"/>
  <c r="F1022" i="1"/>
  <c r="E1022" i="1"/>
  <c r="D1022" i="1"/>
  <c r="J1021" i="1"/>
  <c r="I1021" i="1"/>
  <c r="H1021" i="1"/>
  <c r="G1021" i="1"/>
  <c r="F1021" i="1"/>
  <c r="E1021" i="1"/>
  <c r="D1021" i="1"/>
  <c r="J1020" i="1"/>
  <c r="I1020" i="1"/>
  <c r="H1020" i="1"/>
  <c r="G1020" i="1"/>
  <c r="F1020" i="1"/>
  <c r="E1020" i="1"/>
  <c r="D1020" i="1"/>
  <c r="J1019" i="1"/>
  <c r="I1019" i="1"/>
  <c r="H1019" i="1"/>
  <c r="G1019" i="1"/>
  <c r="F1019" i="1"/>
  <c r="E1019" i="1"/>
  <c r="D1019" i="1"/>
  <c r="J1018" i="1"/>
  <c r="I1018" i="1"/>
  <c r="H1018" i="1"/>
  <c r="G1018" i="1"/>
  <c r="F1018" i="1"/>
  <c r="E1018" i="1"/>
  <c r="D1018" i="1"/>
  <c r="J1017" i="1"/>
  <c r="I1017" i="1"/>
  <c r="H1017" i="1"/>
  <c r="G1017" i="1"/>
  <c r="F1017" i="1"/>
  <c r="E1017" i="1"/>
  <c r="D1017" i="1"/>
  <c r="J1016" i="1"/>
  <c r="I1016" i="1"/>
  <c r="H1016" i="1"/>
  <c r="G1016" i="1"/>
  <c r="F1016" i="1"/>
  <c r="E1016" i="1"/>
  <c r="D1016" i="1"/>
  <c r="J1015" i="1"/>
  <c r="I1015" i="1"/>
  <c r="H1015" i="1"/>
  <c r="G1015" i="1"/>
  <c r="F1015" i="1"/>
  <c r="E1015" i="1"/>
  <c r="D1015" i="1"/>
  <c r="J1014" i="1"/>
  <c r="I1014" i="1"/>
  <c r="H1014" i="1"/>
  <c r="G1014" i="1"/>
  <c r="F1014" i="1"/>
  <c r="E1014" i="1"/>
  <c r="D1014" i="1"/>
  <c r="J1013" i="1"/>
  <c r="I1013" i="1"/>
  <c r="H1013" i="1"/>
  <c r="G1013" i="1"/>
  <c r="F1013" i="1"/>
  <c r="E1013" i="1"/>
  <c r="D1013" i="1"/>
  <c r="J1012" i="1"/>
  <c r="I1012" i="1"/>
  <c r="H1012" i="1"/>
  <c r="G1012" i="1"/>
  <c r="F1012" i="1"/>
  <c r="E1012" i="1"/>
  <c r="D1012" i="1"/>
  <c r="J1011" i="1"/>
  <c r="I1011" i="1"/>
  <c r="H1011" i="1"/>
  <c r="G1011" i="1"/>
  <c r="F1011" i="1"/>
  <c r="E1011" i="1"/>
  <c r="D1011" i="1"/>
  <c r="J1010" i="1"/>
  <c r="I1010" i="1"/>
  <c r="H1010" i="1"/>
  <c r="G1010" i="1"/>
  <c r="F1010" i="1"/>
  <c r="E1010" i="1"/>
  <c r="D1010" i="1"/>
  <c r="J1009" i="1"/>
  <c r="I1009" i="1"/>
  <c r="H1009" i="1"/>
  <c r="G1009" i="1"/>
  <c r="F1009" i="1"/>
  <c r="E1009" i="1"/>
  <c r="D1009" i="1"/>
  <c r="J1008" i="1"/>
  <c r="I1008" i="1"/>
  <c r="H1008" i="1"/>
  <c r="G1008" i="1"/>
  <c r="F1008" i="1"/>
  <c r="E1008" i="1"/>
  <c r="D1008" i="1"/>
  <c r="J1007" i="1"/>
  <c r="I1007" i="1"/>
  <c r="H1007" i="1"/>
  <c r="G1007" i="1"/>
  <c r="F1007" i="1"/>
  <c r="E1007" i="1"/>
  <c r="D1007" i="1"/>
  <c r="J1006" i="1"/>
  <c r="H1006" i="1"/>
  <c r="F1006" i="1"/>
  <c r="D1006" i="1"/>
  <c r="J1005" i="1"/>
  <c r="I1005" i="1"/>
  <c r="H1005" i="1"/>
  <c r="G1005" i="1"/>
  <c r="F1005" i="1"/>
  <c r="E1005" i="1"/>
  <c r="D1005" i="1"/>
  <c r="J1004" i="1"/>
  <c r="I1004" i="1"/>
  <c r="H1004" i="1"/>
  <c r="G1004" i="1"/>
  <c r="F1004" i="1"/>
  <c r="E1004" i="1"/>
  <c r="D1004" i="1"/>
  <c r="J1003" i="1"/>
  <c r="I1003" i="1"/>
  <c r="H1003" i="1"/>
  <c r="G1003" i="1"/>
  <c r="F1003" i="1"/>
  <c r="E1003" i="1"/>
  <c r="D1003" i="1"/>
  <c r="J1002" i="1"/>
  <c r="I1002" i="1"/>
  <c r="H1002" i="1"/>
  <c r="G1002" i="1"/>
  <c r="F1002" i="1"/>
  <c r="E1002" i="1"/>
  <c r="D1002" i="1"/>
  <c r="J1001" i="1"/>
  <c r="I1001" i="1"/>
  <c r="H1001" i="1"/>
  <c r="G1001" i="1"/>
  <c r="F1001" i="1"/>
  <c r="E1001" i="1"/>
  <c r="D1001" i="1"/>
  <c r="J1000" i="1"/>
  <c r="I1000" i="1"/>
  <c r="H1000" i="1"/>
  <c r="G1000" i="1"/>
  <c r="F1000" i="1"/>
  <c r="E1000" i="1"/>
  <c r="D1000" i="1"/>
  <c r="J999" i="1"/>
  <c r="I999" i="1"/>
  <c r="H999" i="1"/>
  <c r="G999" i="1"/>
  <c r="F999" i="1"/>
  <c r="E999" i="1"/>
  <c r="D999" i="1"/>
  <c r="J998" i="1"/>
  <c r="I998" i="1"/>
  <c r="H998" i="1"/>
  <c r="G998" i="1"/>
  <c r="F998" i="1"/>
  <c r="E998" i="1"/>
  <c r="D998" i="1"/>
  <c r="J997" i="1"/>
  <c r="I997" i="1"/>
  <c r="H997" i="1"/>
  <c r="G997" i="1"/>
  <c r="F997" i="1"/>
  <c r="E997" i="1"/>
  <c r="D997" i="1"/>
  <c r="J996" i="1"/>
  <c r="I996" i="1"/>
  <c r="H996" i="1"/>
  <c r="G996" i="1"/>
  <c r="F996" i="1"/>
  <c r="E996" i="1"/>
  <c r="D996" i="1"/>
  <c r="J995" i="1"/>
  <c r="I995" i="1"/>
  <c r="H995" i="1"/>
  <c r="G995" i="1"/>
  <c r="F995" i="1"/>
  <c r="E995" i="1"/>
  <c r="D995" i="1"/>
  <c r="J994" i="1"/>
  <c r="I994" i="1"/>
  <c r="H994" i="1"/>
  <c r="G994" i="1"/>
  <c r="F994" i="1"/>
  <c r="E994" i="1"/>
  <c r="D994" i="1"/>
  <c r="J993" i="1"/>
  <c r="I993" i="1"/>
  <c r="H993" i="1"/>
  <c r="G993" i="1"/>
  <c r="F993" i="1"/>
  <c r="E993" i="1"/>
  <c r="D993" i="1"/>
  <c r="J992" i="1"/>
  <c r="I992" i="1"/>
  <c r="H992" i="1"/>
  <c r="G992" i="1"/>
  <c r="F992" i="1"/>
  <c r="E992" i="1"/>
  <c r="D992" i="1"/>
  <c r="J991" i="1"/>
  <c r="I991" i="1"/>
  <c r="H991" i="1"/>
  <c r="G991" i="1"/>
  <c r="F991" i="1"/>
  <c r="E991" i="1"/>
  <c r="D991" i="1"/>
  <c r="J990" i="1"/>
  <c r="I990" i="1"/>
  <c r="H990" i="1"/>
  <c r="G990" i="1"/>
  <c r="F990" i="1"/>
  <c r="E990" i="1"/>
  <c r="D990" i="1"/>
  <c r="J989" i="1"/>
  <c r="I989" i="1"/>
  <c r="H989" i="1"/>
  <c r="G989" i="1"/>
  <c r="F989" i="1"/>
  <c r="E989" i="1"/>
  <c r="D989" i="1"/>
  <c r="J988" i="1"/>
  <c r="H988" i="1"/>
  <c r="F988" i="1"/>
  <c r="D988" i="1"/>
  <c r="J987" i="1"/>
  <c r="I987" i="1"/>
  <c r="H987" i="1"/>
  <c r="G987" i="1"/>
  <c r="F987" i="1"/>
  <c r="E987" i="1"/>
  <c r="D987" i="1"/>
  <c r="J986" i="1"/>
  <c r="I986" i="1"/>
  <c r="H986" i="1"/>
  <c r="G986" i="1"/>
  <c r="F986" i="1"/>
  <c r="E986" i="1"/>
  <c r="D986" i="1"/>
  <c r="J985" i="1"/>
  <c r="I985" i="1"/>
  <c r="H985" i="1"/>
  <c r="G985" i="1"/>
  <c r="F985" i="1"/>
  <c r="E985" i="1"/>
  <c r="D985" i="1"/>
  <c r="J984" i="1"/>
  <c r="I984" i="1"/>
  <c r="H984" i="1"/>
  <c r="G984" i="1"/>
  <c r="F984" i="1"/>
  <c r="E984" i="1"/>
  <c r="D984" i="1"/>
  <c r="J983" i="1"/>
  <c r="I983" i="1"/>
  <c r="H983" i="1"/>
  <c r="G983" i="1"/>
  <c r="F983" i="1"/>
  <c r="E983" i="1"/>
  <c r="D983" i="1"/>
  <c r="J982" i="1"/>
  <c r="I982" i="1"/>
  <c r="H982" i="1"/>
  <c r="G982" i="1"/>
  <c r="F982" i="1"/>
  <c r="E982" i="1"/>
  <c r="D982" i="1"/>
  <c r="J981" i="1"/>
  <c r="I981" i="1"/>
  <c r="H981" i="1"/>
  <c r="G981" i="1"/>
  <c r="F981" i="1"/>
  <c r="E981" i="1"/>
  <c r="D981" i="1"/>
  <c r="J980" i="1"/>
  <c r="I980" i="1"/>
  <c r="H980" i="1"/>
  <c r="G980" i="1"/>
  <c r="F980" i="1"/>
  <c r="E980" i="1"/>
  <c r="D980" i="1"/>
  <c r="J979" i="1"/>
  <c r="I979" i="1"/>
  <c r="H979" i="1"/>
  <c r="G979" i="1"/>
  <c r="F979" i="1"/>
  <c r="E979" i="1"/>
  <c r="D979" i="1"/>
  <c r="J978" i="1"/>
  <c r="I978" i="1"/>
  <c r="H978" i="1"/>
  <c r="G978" i="1"/>
  <c r="F978" i="1"/>
  <c r="E978" i="1"/>
  <c r="D978" i="1"/>
  <c r="J977" i="1"/>
  <c r="I977" i="1"/>
  <c r="H977" i="1"/>
  <c r="G977" i="1"/>
  <c r="F977" i="1"/>
  <c r="E977" i="1"/>
  <c r="D977" i="1"/>
  <c r="J976" i="1"/>
  <c r="I976" i="1"/>
  <c r="H976" i="1"/>
  <c r="G976" i="1"/>
  <c r="F976" i="1"/>
  <c r="E976" i="1"/>
  <c r="D976" i="1"/>
  <c r="J975" i="1"/>
  <c r="H975" i="1"/>
  <c r="F975" i="1"/>
  <c r="D975" i="1"/>
  <c r="J974" i="1"/>
  <c r="I974" i="1"/>
  <c r="H974" i="1"/>
  <c r="G974" i="1"/>
  <c r="F974" i="1"/>
  <c r="E974" i="1"/>
  <c r="D974" i="1"/>
  <c r="J973" i="1"/>
  <c r="I973" i="1"/>
  <c r="H973" i="1"/>
  <c r="G973" i="1"/>
  <c r="F973" i="1"/>
  <c r="E973" i="1"/>
  <c r="D973" i="1"/>
  <c r="J972" i="1"/>
  <c r="I972" i="1"/>
  <c r="H972" i="1"/>
  <c r="G972" i="1"/>
  <c r="F972" i="1"/>
  <c r="E972" i="1"/>
  <c r="D972" i="1"/>
  <c r="J971" i="1"/>
  <c r="I971" i="1"/>
  <c r="H971" i="1"/>
  <c r="G971" i="1"/>
  <c r="F971" i="1"/>
  <c r="E971" i="1"/>
  <c r="D971" i="1"/>
  <c r="J970" i="1"/>
  <c r="I970" i="1"/>
  <c r="H970" i="1"/>
  <c r="G970" i="1"/>
  <c r="F970" i="1"/>
  <c r="E970" i="1"/>
  <c r="D970" i="1"/>
  <c r="J969" i="1"/>
  <c r="I969" i="1"/>
  <c r="H969" i="1"/>
  <c r="G969" i="1"/>
  <c r="F969" i="1"/>
  <c r="E969" i="1"/>
  <c r="D969" i="1"/>
  <c r="J968" i="1"/>
  <c r="I968" i="1"/>
  <c r="H968" i="1"/>
  <c r="G968" i="1"/>
  <c r="F968" i="1"/>
  <c r="E968" i="1"/>
  <c r="D968" i="1"/>
  <c r="J967" i="1"/>
  <c r="I967" i="1"/>
  <c r="H967" i="1"/>
  <c r="G967" i="1"/>
  <c r="F967" i="1"/>
  <c r="E967" i="1"/>
  <c r="D967" i="1"/>
  <c r="J966" i="1"/>
  <c r="I966" i="1"/>
  <c r="H966" i="1"/>
  <c r="G966" i="1"/>
  <c r="F966" i="1"/>
  <c r="E966" i="1"/>
  <c r="D966" i="1"/>
  <c r="J965" i="1"/>
  <c r="I965" i="1"/>
  <c r="H965" i="1"/>
  <c r="G965" i="1"/>
  <c r="F965" i="1"/>
  <c r="E965" i="1"/>
  <c r="D965" i="1"/>
  <c r="J964" i="1"/>
  <c r="I964" i="1"/>
  <c r="H964" i="1"/>
  <c r="G964" i="1"/>
  <c r="F964" i="1"/>
  <c r="E964" i="1"/>
  <c r="D964" i="1"/>
  <c r="J963" i="1"/>
  <c r="I963" i="1"/>
  <c r="H963" i="1"/>
  <c r="G963" i="1"/>
  <c r="F963" i="1"/>
  <c r="E963" i="1"/>
  <c r="D963" i="1"/>
  <c r="J962" i="1"/>
  <c r="I962" i="1"/>
  <c r="H962" i="1"/>
  <c r="G962" i="1"/>
  <c r="F962" i="1"/>
  <c r="E962" i="1"/>
  <c r="D962" i="1"/>
  <c r="J961" i="1"/>
  <c r="I961" i="1"/>
  <c r="H961" i="1"/>
  <c r="G961" i="1"/>
  <c r="F961" i="1"/>
  <c r="E961" i="1"/>
  <c r="D961" i="1"/>
  <c r="J960" i="1"/>
  <c r="I960" i="1"/>
  <c r="H960" i="1"/>
  <c r="G960" i="1"/>
  <c r="F960" i="1"/>
  <c r="E960" i="1"/>
  <c r="D960" i="1"/>
  <c r="J959" i="1"/>
  <c r="I959" i="1"/>
  <c r="H959" i="1"/>
  <c r="G959" i="1"/>
  <c r="F959" i="1"/>
  <c r="E959" i="1"/>
  <c r="D959" i="1"/>
  <c r="J958" i="1"/>
  <c r="I958" i="1"/>
  <c r="H958" i="1"/>
  <c r="G958" i="1"/>
  <c r="F958" i="1"/>
  <c r="E958" i="1"/>
  <c r="D958" i="1"/>
  <c r="J957" i="1"/>
  <c r="I957" i="1"/>
  <c r="H957" i="1"/>
  <c r="G957" i="1"/>
  <c r="F957" i="1"/>
  <c r="E957" i="1"/>
  <c r="D957" i="1"/>
  <c r="J956" i="1"/>
  <c r="I956" i="1"/>
  <c r="H956" i="1"/>
  <c r="G956" i="1"/>
  <c r="F956" i="1"/>
  <c r="E956" i="1"/>
  <c r="D956" i="1"/>
  <c r="J955" i="1"/>
  <c r="I955" i="1"/>
  <c r="H955" i="1"/>
  <c r="G955" i="1"/>
  <c r="F955" i="1"/>
  <c r="E955" i="1"/>
  <c r="D955" i="1"/>
  <c r="J954" i="1"/>
  <c r="I954" i="1"/>
  <c r="H954" i="1"/>
  <c r="G954" i="1"/>
  <c r="F954" i="1"/>
  <c r="E954" i="1"/>
  <c r="D954" i="1"/>
  <c r="J953" i="1"/>
  <c r="I953" i="1"/>
  <c r="H953" i="1"/>
  <c r="G953" i="1"/>
  <c r="F953" i="1"/>
  <c r="E953" i="1"/>
  <c r="D953" i="1"/>
  <c r="J952" i="1"/>
  <c r="I952" i="1"/>
  <c r="H952" i="1"/>
  <c r="G952" i="1"/>
  <c r="F952" i="1"/>
  <c r="E952" i="1"/>
  <c r="D952" i="1"/>
  <c r="J951" i="1"/>
  <c r="I951" i="1"/>
  <c r="H951" i="1"/>
  <c r="G951" i="1"/>
  <c r="F951" i="1"/>
  <c r="E951" i="1"/>
  <c r="D951" i="1"/>
  <c r="J950" i="1"/>
  <c r="I950" i="1"/>
  <c r="H950" i="1"/>
  <c r="G950" i="1"/>
  <c r="F950" i="1"/>
  <c r="E950" i="1"/>
  <c r="D950" i="1"/>
  <c r="J949" i="1"/>
  <c r="I949" i="1"/>
  <c r="H949" i="1"/>
  <c r="G949" i="1"/>
  <c r="F949" i="1"/>
  <c r="E949" i="1"/>
  <c r="D949" i="1"/>
  <c r="J948" i="1"/>
  <c r="I948" i="1"/>
  <c r="H948" i="1"/>
  <c r="G948" i="1"/>
  <c r="F948" i="1"/>
  <c r="E948" i="1"/>
  <c r="D948" i="1"/>
  <c r="J947" i="1"/>
  <c r="I947" i="1"/>
  <c r="H947" i="1"/>
  <c r="G947" i="1"/>
  <c r="F947" i="1"/>
  <c r="E947" i="1"/>
  <c r="D947" i="1"/>
  <c r="J946" i="1"/>
  <c r="I946" i="1"/>
  <c r="H946" i="1"/>
  <c r="G946" i="1"/>
  <c r="F946" i="1"/>
  <c r="E946" i="1"/>
  <c r="D946" i="1"/>
  <c r="J945" i="1"/>
  <c r="I945" i="1"/>
  <c r="H945" i="1"/>
  <c r="G945" i="1"/>
  <c r="F945" i="1"/>
  <c r="E945" i="1"/>
  <c r="D945" i="1"/>
  <c r="J944" i="1"/>
  <c r="I944" i="1"/>
  <c r="H944" i="1"/>
  <c r="G944" i="1"/>
  <c r="F944" i="1"/>
  <c r="E944" i="1"/>
  <c r="D944" i="1"/>
  <c r="J943" i="1"/>
  <c r="I943" i="1"/>
  <c r="H943" i="1"/>
  <c r="G943" i="1"/>
  <c r="F943" i="1"/>
  <c r="E943" i="1"/>
  <c r="D943" i="1"/>
  <c r="J942" i="1"/>
  <c r="I942" i="1"/>
  <c r="H942" i="1"/>
  <c r="G942" i="1"/>
  <c r="F942" i="1"/>
  <c r="E942" i="1"/>
  <c r="D942" i="1"/>
  <c r="J941" i="1"/>
  <c r="I941" i="1"/>
  <c r="H941" i="1"/>
  <c r="G941" i="1"/>
  <c r="F941" i="1"/>
  <c r="E941" i="1"/>
  <c r="D941" i="1"/>
  <c r="J940" i="1"/>
  <c r="I940" i="1"/>
  <c r="H940" i="1"/>
  <c r="G940" i="1"/>
  <c r="F940" i="1"/>
  <c r="E940" i="1"/>
  <c r="D940" i="1"/>
  <c r="J939" i="1"/>
  <c r="I939" i="1"/>
  <c r="H939" i="1"/>
  <c r="G939" i="1"/>
  <c r="F939" i="1"/>
  <c r="E939" i="1"/>
  <c r="D939" i="1"/>
  <c r="J938" i="1"/>
  <c r="H938" i="1"/>
  <c r="F938" i="1"/>
  <c r="D938" i="1"/>
  <c r="J937" i="1"/>
  <c r="I937" i="1"/>
  <c r="H937" i="1"/>
  <c r="G937" i="1"/>
  <c r="F937" i="1"/>
  <c r="E937" i="1"/>
  <c r="D937" i="1"/>
  <c r="J936" i="1"/>
  <c r="I936" i="1"/>
  <c r="H936" i="1"/>
  <c r="G936" i="1"/>
  <c r="F936" i="1"/>
  <c r="E936" i="1"/>
  <c r="D936" i="1"/>
  <c r="J935" i="1"/>
  <c r="I935" i="1"/>
  <c r="H935" i="1"/>
  <c r="G935" i="1"/>
  <c r="F935" i="1"/>
  <c r="E935" i="1"/>
  <c r="D935" i="1"/>
  <c r="J934" i="1"/>
  <c r="I934" i="1"/>
  <c r="H934" i="1"/>
  <c r="G934" i="1"/>
  <c r="F934" i="1"/>
  <c r="E934" i="1"/>
  <c r="D934" i="1"/>
  <c r="J933" i="1"/>
  <c r="I933" i="1"/>
  <c r="H933" i="1"/>
  <c r="G933" i="1"/>
  <c r="F933" i="1"/>
  <c r="E933" i="1"/>
  <c r="D933" i="1"/>
  <c r="J932" i="1"/>
  <c r="I932" i="1"/>
  <c r="H932" i="1"/>
  <c r="G932" i="1"/>
  <c r="F932" i="1"/>
  <c r="E932" i="1"/>
  <c r="D932" i="1"/>
  <c r="J931" i="1"/>
  <c r="I931" i="1"/>
  <c r="H931" i="1"/>
  <c r="G931" i="1"/>
  <c r="F931" i="1"/>
  <c r="E931" i="1"/>
  <c r="D931" i="1"/>
  <c r="J930" i="1"/>
  <c r="I930" i="1"/>
  <c r="H930" i="1"/>
  <c r="G930" i="1"/>
  <c r="F930" i="1"/>
  <c r="E930" i="1"/>
  <c r="D930" i="1"/>
  <c r="J929" i="1"/>
  <c r="I929" i="1"/>
  <c r="H929" i="1"/>
  <c r="G929" i="1"/>
  <c r="F929" i="1"/>
  <c r="E929" i="1"/>
  <c r="D929" i="1"/>
  <c r="J928" i="1"/>
  <c r="I928" i="1"/>
  <c r="H928" i="1"/>
  <c r="G928" i="1"/>
  <c r="F928" i="1"/>
  <c r="E928" i="1"/>
  <c r="D928" i="1"/>
  <c r="J927" i="1"/>
  <c r="I927" i="1"/>
  <c r="H927" i="1"/>
  <c r="G927" i="1"/>
  <c r="F927" i="1"/>
  <c r="E927" i="1"/>
  <c r="D927" i="1"/>
  <c r="J926" i="1"/>
  <c r="I926" i="1"/>
  <c r="H926" i="1"/>
  <c r="G926" i="1"/>
  <c r="F926" i="1"/>
  <c r="E926" i="1"/>
  <c r="D926" i="1"/>
  <c r="J925" i="1"/>
  <c r="I925" i="1"/>
  <c r="H925" i="1"/>
  <c r="G925" i="1"/>
  <c r="F925" i="1"/>
  <c r="E925" i="1"/>
  <c r="D925" i="1"/>
  <c r="J924" i="1"/>
  <c r="I924" i="1"/>
  <c r="H924" i="1"/>
  <c r="G924" i="1"/>
  <c r="F924" i="1"/>
  <c r="E924" i="1"/>
  <c r="D924" i="1"/>
  <c r="J923" i="1"/>
  <c r="I923" i="1"/>
  <c r="H923" i="1"/>
  <c r="G923" i="1"/>
  <c r="F923" i="1"/>
  <c r="E923" i="1"/>
  <c r="D923" i="1"/>
  <c r="J922" i="1"/>
  <c r="H922" i="1"/>
  <c r="F922" i="1"/>
  <c r="D922" i="1"/>
  <c r="J921" i="1"/>
  <c r="I921" i="1"/>
  <c r="H921" i="1"/>
  <c r="G921" i="1"/>
  <c r="F921" i="1"/>
  <c r="E921" i="1"/>
  <c r="D921" i="1"/>
  <c r="J920" i="1"/>
  <c r="I920" i="1"/>
  <c r="H920" i="1"/>
  <c r="G920" i="1"/>
  <c r="F920" i="1"/>
  <c r="E920" i="1"/>
  <c r="D920" i="1"/>
  <c r="J919" i="1"/>
  <c r="I919" i="1"/>
  <c r="H919" i="1"/>
  <c r="G919" i="1"/>
  <c r="F919" i="1"/>
  <c r="E919" i="1"/>
  <c r="D919" i="1"/>
  <c r="J918" i="1"/>
  <c r="I918" i="1"/>
  <c r="H918" i="1"/>
  <c r="G918" i="1"/>
  <c r="F918" i="1"/>
  <c r="E918" i="1"/>
  <c r="D918" i="1"/>
  <c r="J917" i="1"/>
  <c r="I917" i="1"/>
  <c r="H917" i="1"/>
  <c r="G917" i="1"/>
  <c r="F917" i="1"/>
  <c r="E917" i="1"/>
  <c r="D917" i="1"/>
  <c r="J916" i="1"/>
  <c r="I916" i="1"/>
  <c r="H916" i="1"/>
  <c r="G916" i="1"/>
  <c r="F916" i="1"/>
  <c r="E916" i="1"/>
  <c r="D916" i="1"/>
  <c r="J915" i="1"/>
  <c r="I915" i="1"/>
  <c r="H915" i="1"/>
  <c r="G915" i="1"/>
  <c r="F915" i="1"/>
  <c r="E915" i="1"/>
  <c r="D915" i="1"/>
  <c r="J914" i="1"/>
  <c r="I914" i="1"/>
  <c r="H914" i="1"/>
  <c r="G914" i="1"/>
  <c r="F914" i="1"/>
  <c r="E914" i="1"/>
  <c r="D914" i="1"/>
  <c r="J913" i="1"/>
  <c r="I913" i="1"/>
  <c r="H913" i="1"/>
  <c r="G913" i="1"/>
  <c r="F913" i="1"/>
  <c r="E913" i="1"/>
  <c r="D913" i="1"/>
  <c r="J912" i="1"/>
  <c r="I912" i="1"/>
  <c r="H912" i="1"/>
  <c r="G912" i="1"/>
  <c r="F912" i="1"/>
  <c r="E912" i="1"/>
  <c r="D912" i="1"/>
  <c r="J911" i="1"/>
  <c r="H911" i="1"/>
  <c r="F911" i="1"/>
  <c r="D911" i="1"/>
  <c r="J910" i="1"/>
  <c r="I910" i="1"/>
  <c r="H910" i="1"/>
  <c r="G910" i="1"/>
  <c r="F910" i="1"/>
  <c r="E910" i="1"/>
  <c r="D910" i="1"/>
  <c r="J909" i="1"/>
  <c r="I909" i="1"/>
  <c r="H909" i="1"/>
  <c r="G909" i="1"/>
  <c r="F909" i="1"/>
  <c r="E909" i="1"/>
  <c r="D909" i="1"/>
  <c r="J908" i="1"/>
  <c r="I908" i="1"/>
  <c r="H908" i="1"/>
  <c r="G908" i="1"/>
  <c r="F908" i="1"/>
  <c r="E908" i="1"/>
  <c r="D908" i="1"/>
  <c r="J907" i="1"/>
  <c r="I907" i="1"/>
  <c r="H907" i="1"/>
  <c r="G907" i="1"/>
  <c r="F907" i="1"/>
  <c r="E907" i="1"/>
  <c r="D907" i="1"/>
  <c r="J906" i="1"/>
  <c r="I906" i="1"/>
  <c r="H906" i="1"/>
  <c r="G906" i="1"/>
  <c r="F906" i="1"/>
  <c r="E906" i="1"/>
  <c r="D906" i="1"/>
  <c r="J905" i="1"/>
  <c r="I905" i="1"/>
  <c r="H905" i="1"/>
  <c r="G905" i="1"/>
  <c r="F905" i="1"/>
  <c r="E905" i="1"/>
  <c r="D905" i="1"/>
  <c r="J904" i="1"/>
  <c r="I904" i="1"/>
  <c r="H904" i="1"/>
  <c r="G904" i="1"/>
  <c r="F904" i="1"/>
  <c r="E904" i="1"/>
  <c r="D904" i="1"/>
  <c r="J903" i="1"/>
  <c r="I903" i="1"/>
  <c r="H903" i="1"/>
  <c r="G903" i="1"/>
  <c r="F903" i="1"/>
  <c r="E903" i="1"/>
  <c r="D903" i="1"/>
  <c r="J902" i="1"/>
  <c r="H902" i="1"/>
  <c r="F902" i="1"/>
  <c r="D902" i="1"/>
  <c r="J901" i="1"/>
  <c r="I901" i="1"/>
  <c r="H901" i="1"/>
  <c r="G901" i="1"/>
  <c r="F901" i="1"/>
  <c r="E901" i="1"/>
  <c r="D901" i="1"/>
  <c r="J900" i="1"/>
  <c r="I900" i="1"/>
  <c r="H900" i="1"/>
  <c r="G900" i="1"/>
  <c r="F900" i="1"/>
  <c r="E900" i="1"/>
  <c r="D900" i="1"/>
  <c r="J899" i="1"/>
  <c r="I899" i="1"/>
  <c r="H899" i="1"/>
  <c r="G899" i="1"/>
  <c r="F899" i="1"/>
  <c r="E899" i="1"/>
  <c r="D899" i="1"/>
  <c r="J898" i="1"/>
  <c r="I898" i="1"/>
  <c r="H898" i="1"/>
  <c r="G898" i="1"/>
  <c r="F898" i="1"/>
  <c r="E898" i="1"/>
  <c r="D898" i="1"/>
  <c r="J897" i="1"/>
  <c r="I897" i="1"/>
  <c r="H897" i="1"/>
  <c r="G897" i="1"/>
  <c r="F897" i="1"/>
  <c r="E897" i="1"/>
  <c r="D897" i="1"/>
  <c r="J896" i="1"/>
  <c r="I896" i="1"/>
  <c r="H896" i="1"/>
  <c r="G896" i="1"/>
  <c r="F896" i="1"/>
  <c r="E896" i="1"/>
  <c r="D896" i="1"/>
  <c r="J895" i="1"/>
  <c r="I895" i="1"/>
  <c r="H895" i="1"/>
  <c r="G895" i="1"/>
  <c r="F895" i="1"/>
  <c r="E895" i="1"/>
  <c r="D895" i="1"/>
  <c r="J894" i="1"/>
  <c r="I894" i="1"/>
  <c r="H894" i="1"/>
  <c r="G894" i="1"/>
  <c r="F894" i="1"/>
  <c r="E894" i="1"/>
  <c r="D894" i="1"/>
  <c r="J893" i="1"/>
  <c r="I893" i="1"/>
  <c r="H893" i="1"/>
  <c r="G893" i="1"/>
  <c r="F893" i="1"/>
  <c r="E893" i="1"/>
  <c r="D893" i="1"/>
  <c r="J892" i="1"/>
  <c r="I892" i="1"/>
  <c r="H892" i="1"/>
  <c r="G892" i="1"/>
  <c r="F892" i="1"/>
  <c r="E892" i="1"/>
  <c r="D892" i="1"/>
  <c r="J891" i="1"/>
  <c r="I891" i="1"/>
  <c r="H891" i="1"/>
  <c r="G891" i="1"/>
  <c r="F891" i="1"/>
  <c r="E891" i="1"/>
  <c r="D891" i="1"/>
  <c r="J890" i="1"/>
  <c r="I890" i="1"/>
  <c r="H890" i="1"/>
  <c r="G890" i="1"/>
  <c r="F890" i="1"/>
  <c r="E890" i="1"/>
  <c r="D890" i="1"/>
  <c r="J889" i="1"/>
  <c r="I889" i="1"/>
  <c r="H889" i="1"/>
  <c r="G889" i="1"/>
  <c r="F889" i="1"/>
  <c r="E889" i="1"/>
  <c r="D889" i="1"/>
  <c r="J888" i="1"/>
  <c r="I888" i="1"/>
  <c r="H888" i="1"/>
  <c r="G888" i="1"/>
  <c r="F888" i="1"/>
  <c r="E888" i="1"/>
  <c r="D888" i="1"/>
  <c r="J887" i="1"/>
  <c r="I887" i="1"/>
  <c r="H887" i="1"/>
  <c r="G887" i="1"/>
  <c r="F887" i="1"/>
  <c r="E887" i="1"/>
  <c r="D887" i="1"/>
  <c r="J886" i="1"/>
  <c r="I886" i="1"/>
  <c r="H886" i="1"/>
  <c r="G886" i="1"/>
  <c r="F886" i="1"/>
  <c r="E886" i="1"/>
  <c r="D886" i="1"/>
  <c r="J885" i="1"/>
  <c r="I885" i="1"/>
  <c r="H885" i="1"/>
  <c r="G885" i="1"/>
  <c r="F885" i="1"/>
  <c r="E885" i="1"/>
  <c r="D885" i="1"/>
  <c r="J884" i="1"/>
  <c r="I884" i="1"/>
  <c r="H884" i="1"/>
  <c r="G884" i="1"/>
  <c r="F884" i="1"/>
  <c r="E884" i="1"/>
  <c r="D884" i="1"/>
  <c r="J883" i="1"/>
  <c r="I883" i="1"/>
  <c r="H883" i="1"/>
  <c r="G883" i="1"/>
  <c r="F883" i="1"/>
  <c r="E883" i="1"/>
  <c r="D883" i="1"/>
  <c r="J882" i="1"/>
  <c r="I882" i="1"/>
  <c r="H882" i="1"/>
  <c r="G882" i="1"/>
  <c r="F882" i="1"/>
  <c r="E882" i="1"/>
  <c r="D882" i="1"/>
  <c r="J881" i="1"/>
  <c r="I881" i="1"/>
  <c r="H881" i="1"/>
  <c r="G881" i="1"/>
  <c r="F881" i="1"/>
  <c r="E881" i="1"/>
  <c r="D881" i="1"/>
  <c r="J880" i="1"/>
  <c r="I880" i="1"/>
  <c r="H880" i="1"/>
  <c r="G880" i="1"/>
  <c r="F880" i="1"/>
  <c r="E880" i="1"/>
  <c r="D880" i="1"/>
  <c r="J879" i="1"/>
  <c r="I879" i="1"/>
  <c r="H879" i="1"/>
  <c r="G879" i="1"/>
  <c r="F879" i="1"/>
  <c r="E879" i="1"/>
  <c r="D879" i="1"/>
  <c r="J878" i="1"/>
  <c r="H878" i="1"/>
  <c r="F878" i="1"/>
  <c r="D878" i="1"/>
  <c r="J877" i="1"/>
  <c r="I877" i="1"/>
  <c r="H877" i="1"/>
  <c r="G877" i="1"/>
  <c r="F877" i="1"/>
  <c r="E877" i="1"/>
  <c r="D877" i="1"/>
  <c r="J876" i="1"/>
  <c r="H876" i="1"/>
  <c r="F876" i="1"/>
  <c r="D876" i="1"/>
  <c r="J875" i="1"/>
  <c r="I875" i="1"/>
  <c r="H875" i="1"/>
  <c r="G875" i="1"/>
  <c r="F875" i="1"/>
  <c r="E875" i="1"/>
  <c r="D875" i="1"/>
  <c r="J874" i="1"/>
  <c r="I874" i="1"/>
  <c r="H874" i="1"/>
  <c r="G874" i="1"/>
  <c r="F874" i="1"/>
  <c r="E874" i="1"/>
  <c r="D874" i="1"/>
  <c r="J873" i="1"/>
  <c r="I873" i="1"/>
  <c r="H873" i="1"/>
  <c r="G873" i="1"/>
  <c r="F873" i="1"/>
  <c r="E873" i="1"/>
  <c r="D873" i="1"/>
  <c r="J872" i="1"/>
  <c r="I872" i="1"/>
  <c r="H872" i="1"/>
  <c r="G872" i="1"/>
  <c r="F872" i="1"/>
  <c r="E872" i="1"/>
  <c r="D872" i="1"/>
  <c r="J871" i="1"/>
  <c r="I871" i="1"/>
  <c r="H871" i="1"/>
  <c r="G871" i="1"/>
  <c r="F871" i="1"/>
  <c r="E871" i="1"/>
  <c r="D871" i="1"/>
  <c r="J870" i="1"/>
  <c r="I870" i="1"/>
  <c r="H870" i="1"/>
  <c r="G870" i="1"/>
  <c r="F870" i="1"/>
  <c r="E870" i="1"/>
  <c r="D870" i="1"/>
  <c r="J869" i="1"/>
  <c r="I869" i="1"/>
  <c r="H869" i="1"/>
  <c r="G869" i="1"/>
  <c r="F869" i="1"/>
  <c r="E869" i="1"/>
  <c r="D869" i="1"/>
  <c r="J868" i="1"/>
  <c r="H868" i="1"/>
  <c r="F868" i="1"/>
  <c r="D868" i="1"/>
  <c r="J867" i="1"/>
  <c r="I867" i="1"/>
  <c r="H867" i="1"/>
  <c r="G867" i="1"/>
  <c r="F867" i="1"/>
  <c r="E867" i="1"/>
  <c r="D867" i="1"/>
  <c r="J866" i="1"/>
  <c r="I866" i="1"/>
  <c r="H866" i="1"/>
  <c r="G866" i="1"/>
  <c r="F866" i="1"/>
  <c r="E866" i="1"/>
  <c r="D866" i="1"/>
  <c r="J865" i="1"/>
  <c r="I865" i="1"/>
  <c r="H865" i="1"/>
  <c r="G865" i="1"/>
  <c r="F865" i="1"/>
  <c r="E865" i="1"/>
  <c r="D865" i="1"/>
  <c r="J864" i="1"/>
  <c r="I864" i="1"/>
  <c r="H864" i="1"/>
  <c r="G864" i="1"/>
  <c r="F864" i="1"/>
  <c r="E864" i="1"/>
  <c r="D864" i="1"/>
  <c r="J863" i="1"/>
  <c r="I863" i="1"/>
  <c r="H863" i="1"/>
  <c r="G863" i="1"/>
  <c r="F863" i="1"/>
  <c r="E863" i="1"/>
  <c r="D863" i="1"/>
  <c r="J862" i="1"/>
  <c r="I862" i="1"/>
  <c r="H862" i="1"/>
  <c r="G862" i="1"/>
  <c r="F862" i="1"/>
  <c r="E862" i="1"/>
  <c r="D862" i="1"/>
  <c r="J861" i="1"/>
  <c r="I861" i="1"/>
  <c r="H861" i="1"/>
  <c r="G861" i="1"/>
  <c r="F861" i="1"/>
  <c r="E861" i="1"/>
  <c r="D861" i="1"/>
  <c r="J860" i="1"/>
  <c r="I860" i="1"/>
  <c r="H860" i="1"/>
  <c r="G860" i="1"/>
  <c r="F860" i="1"/>
  <c r="E860" i="1"/>
  <c r="D860" i="1"/>
  <c r="J859" i="1"/>
  <c r="I859" i="1"/>
  <c r="H859" i="1"/>
  <c r="G859" i="1"/>
  <c r="F859" i="1"/>
  <c r="E859" i="1"/>
  <c r="D859" i="1"/>
  <c r="J858" i="1"/>
  <c r="I858" i="1"/>
  <c r="H858" i="1"/>
  <c r="G858" i="1"/>
  <c r="F858" i="1"/>
  <c r="E858" i="1"/>
  <c r="D858" i="1"/>
  <c r="J857" i="1"/>
  <c r="H857" i="1"/>
  <c r="F857" i="1"/>
  <c r="D857" i="1"/>
  <c r="J856" i="1"/>
  <c r="I856" i="1"/>
  <c r="H856" i="1"/>
  <c r="G856" i="1"/>
  <c r="F856" i="1"/>
  <c r="E856" i="1"/>
  <c r="D856" i="1"/>
  <c r="J855" i="1"/>
  <c r="I855" i="1"/>
  <c r="H855" i="1"/>
  <c r="G855" i="1"/>
  <c r="F855" i="1"/>
  <c r="E855" i="1"/>
  <c r="D855" i="1"/>
  <c r="J854" i="1"/>
  <c r="I854" i="1"/>
  <c r="H854" i="1"/>
  <c r="G854" i="1"/>
  <c r="F854" i="1"/>
  <c r="E854" i="1"/>
  <c r="D854" i="1"/>
  <c r="J853" i="1"/>
  <c r="I853" i="1"/>
  <c r="H853" i="1"/>
  <c r="G853" i="1"/>
  <c r="F853" i="1"/>
  <c r="E853" i="1"/>
  <c r="D853" i="1"/>
  <c r="J852" i="1"/>
  <c r="I852" i="1"/>
  <c r="H852" i="1"/>
  <c r="G852" i="1"/>
  <c r="F852" i="1"/>
  <c r="E852" i="1"/>
  <c r="D852" i="1"/>
  <c r="J851" i="1"/>
  <c r="I851" i="1"/>
  <c r="H851" i="1"/>
  <c r="G851" i="1"/>
  <c r="F851" i="1"/>
  <c r="E851" i="1"/>
  <c r="D851" i="1"/>
  <c r="J850" i="1"/>
  <c r="I850" i="1"/>
  <c r="H850" i="1"/>
  <c r="G850" i="1"/>
  <c r="F850" i="1"/>
  <c r="E850" i="1"/>
  <c r="D850" i="1"/>
  <c r="J849" i="1"/>
  <c r="I849" i="1"/>
  <c r="H849" i="1"/>
  <c r="G849" i="1"/>
  <c r="F849" i="1"/>
  <c r="E849" i="1"/>
  <c r="D849" i="1"/>
  <c r="J848" i="1"/>
  <c r="I848" i="1"/>
  <c r="H848" i="1"/>
  <c r="G848" i="1"/>
  <c r="F848" i="1"/>
  <c r="E848" i="1"/>
  <c r="D848" i="1"/>
  <c r="J847" i="1"/>
  <c r="I847" i="1"/>
  <c r="H847" i="1"/>
  <c r="G847" i="1"/>
  <c r="F847" i="1"/>
  <c r="E847" i="1"/>
  <c r="D847" i="1"/>
  <c r="J846" i="1"/>
  <c r="H846" i="1"/>
  <c r="F846" i="1"/>
  <c r="D846" i="1"/>
  <c r="J845" i="1"/>
  <c r="I845" i="1"/>
  <c r="H845" i="1"/>
  <c r="G845" i="1"/>
  <c r="F845" i="1"/>
  <c r="E845" i="1"/>
  <c r="D845" i="1"/>
  <c r="J844" i="1"/>
  <c r="I844" i="1"/>
  <c r="H844" i="1"/>
  <c r="G844" i="1"/>
  <c r="F844" i="1"/>
  <c r="E844" i="1"/>
  <c r="D844" i="1"/>
  <c r="J843" i="1"/>
  <c r="I843" i="1"/>
  <c r="H843" i="1"/>
  <c r="G843" i="1"/>
  <c r="F843" i="1"/>
  <c r="E843" i="1"/>
  <c r="D843" i="1"/>
  <c r="J842" i="1"/>
  <c r="I842" i="1"/>
  <c r="H842" i="1"/>
  <c r="G842" i="1"/>
  <c r="F842" i="1"/>
  <c r="E842" i="1"/>
  <c r="D842" i="1"/>
  <c r="J841" i="1"/>
  <c r="H841" i="1"/>
  <c r="F841" i="1"/>
  <c r="D841" i="1"/>
  <c r="J840" i="1"/>
  <c r="I840" i="1"/>
  <c r="H840" i="1"/>
  <c r="G840" i="1"/>
  <c r="F840" i="1"/>
  <c r="E840" i="1"/>
  <c r="D840" i="1"/>
  <c r="J839" i="1"/>
  <c r="I839" i="1"/>
  <c r="H839" i="1"/>
  <c r="G839" i="1"/>
  <c r="F839" i="1"/>
  <c r="E839" i="1"/>
  <c r="D839" i="1"/>
  <c r="J838" i="1"/>
  <c r="I838" i="1"/>
  <c r="H838" i="1"/>
  <c r="G838" i="1"/>
  <c r="F838" i="1"/>
  <c r="E838" i="1"/>
  <c r="D838" i="1"/>
  <c r="J837" i="1"/>
  <c r="I837" i="1"/>
  <c r="H837" i="1"/>
  <c r="G837" i="1"/>
  <c r="F837" i="1"/>
  <c r="E837" i="1"/>
  <c r="D837" i="1"/>
  <c r="J836" i="1"/>
  <c r="I836" i="1"/>
  <c r="H836" i="1"/>
  <c r="G836" i="1"/>
  <c r="F836" i="1"/>
  <c r="E836" i="1"/>
  <c r="D836" i="1"/>
  <c r="J835" i="1"/>
  <c r="I835" i="1"/>
  <c r="H835" i="1"/>
  <c r="G835" i="1"/>
  <c r="F835" i="1"/>
  <c r="E835" i="1"/>
  <c r="D835" i="1"/>
  <c r="J834" i="1"/>
  <c r="I834" i="1"/>
  <c r="H834" i="1"/>
  <c r="G834" i="1"/>
  <c r="F834" i="1"/>
  <c r="E834" i="1"/>
  <c r="D834" i="1"/>
  <c r="J833" i="1"/>
  <c r="I833" i="1"/>
  <c r="H833" i="1"/>
  <c r="G833" i="1"/>
  <c r="F833" i="1"/>
  <c r="E833" i="1"/>
  <c r="D833" i="1"/>
  <c r="J832" i="1"/>
  <c r="I832" i="1"/>
  <c r="H832" i="1"/>
  <c r="G832" i="1"/>
  <c r="F832" i="1"/>
  <c r="E832" i="1"/>
  <c r="D832" i="1"/>
  <c r="J831" i="1"/>
  <c r="I831" i="1"/>
  <c r="H831" i="1"/>
  <c r="G831" i="1"/>
  <c r="F831" i="1"/>
  <c r="E831" i="1"/>
  <c r="D831" i="1"/>
  <c r="J830" i="1"/>
  <c r="I830" i="1"/>
  <c r="H830" i="1"/>
  <c r="G830" i="1"/>
  <c r="F830" i="1"/>
  <c r="E830" i="1"/>
  <c r="D830" i="1"/>
  <c r="J829" i="1"/>
  <c r="I829" i="1"/>
  <c r="H829" i="1"/>
  <c r="G829" i="1"/>
  <c r="F829" i="1"/>
  <c r="E829" i="1"/>
  <c r="D829" i="1"/>
  <c r="J828" i="1"/>
  <c r="I828" i="1"/>
  <c r="H828" i="1"/>
  <c r="G828" i="1"/>
  <c r="F828" i="1"/>
  <c r="E828" i="1"/>
  <c r="D828" i="1"/>
  <c r="J827" i="1"/>
  <c r="I827" i="1"/>
  <c r="H827" i="1"/>
  <c r="G827" i="1"/>
  <c r="F827" i="1"/>
  <c r="E827" i="1"/>
  <c r="D827" i="1"/>
  <c r="J826" i="1"/>
  <c r="I826" i="1"/>
  <c r="H826" i="1"/>
  <c r="G826" i="1"/>
  <c r="F826" i="1"/>
  <c r="E826" i="1"/>
  <c r="D826" i="1"/>
  <c r="J825" i="1"/>
  <c r="I825" i="1"/>
  <c r="H825" i="1"/>
  <c r="G825" i="1"/>
  <c r="F825" i="1"/>
  <c r="E825" i="1"/>
  <c r="D825" i="1"/>
  <c r="J824" i="1"/>
  <c r="I824" i="1"/>
  <c r="H824" i="1"/>
  <c r="G824" i="1"/>
  <c r="F824" i="1"/>
  <c r="E824" i="1"/>
  <c r="D824" i="1"/>
  <c r="J823" i="1"/>
  <c r="I823" i="1"/>
  <c r="H823" i="1"/>
  <c r="G823" i="1"/>
  <c r="F823" i="1"/>
  <c r="E823" i="1"/>
  <c r="D823" i="1"/>
  <c r="J822" i="1"/>
  <c r="I822" i="1"/>
  <c r="H822" i="1"/>
  <c r="G822" i="1"/>
  <c r="F822" i="1"/>
  <c r="E822" i="1"/>
  <c r="D822" i="1"/>
  <c r="J821" i="1"/>
  <c r="I821" i="1"/>
  <c r="H821" i="1"/>
  <c r="G821" i="1"/>
  <c r="F821" i="1"/>
  <c r="E821" i="1"/>
  <c r="D821" i="1"/>
  <c r="J820" i="1"/>
  <c r="I820" i="1"/>
  <c r="H820" i="1"/>
  <c r="G820" i="1"/>
  <c r="F820" i="1"/>
  <c r="E820" i="1"/>
  <c r="D820" i="1"/>
  <c r="J819" i="1"/>
  <c r="I819" i="1"/>
  <c r="H819" i="1"/>
  <c r="G819" i="1"/>
  <c r="F819" i="1"/>
  <c r="E819" i="1"/>
  <c r="D819" i="1"/>
  <c r="J818" i="1"/>
  <c r="I818" i="1"/>
  <c r="H818" i="1"/>
  <c r="G818" i="1"/>
  <c r="F818" i="1"/>
  <c r="E818" i="1"/>
  <c r="D818" i="1"/>
  <c r="J817" i="1"/>
  <c r="I817" i="1"/>
  <c r="H817" i="1"/>
  <c r="G817" i="1"/>
  <c r="F817" i="1"/>
  <c r="E817" i="1"/>
  <c r="D817" i="1"/>
  <c r="J816" i="1"/>
  <c r="I816" i="1"/>
  <c r="H816" i="1"/>
  <c r="G816" i="1"/>
  <c r="F816" i="1"/>
  <c r="E816" i="1"/>
  <c r="D816" i="1"/>
  <c r="J815" i="1"/>
  <c r="I815" i="1"/>
  <c r="H815" i="1"/>
  <c r="G815" i="1"/>
  <c r="F815" i="1"/>
  <c r="E815" i="1"/>
  <c r="D815" i="1"/>
  <c r="J814" i="1"/>
  <c r="I814" i="1"/>
  <c r="H814" i="1"/>
  <c r="G814" i="1"/>
  <c r="F814" i="1"/>
  <c r="E814" i="1"/>
  <c r="D814" i="1"/>
  <c r="J813" i="1"/>
  <c r="I813" i="1"/>
  <c r="H813" i="1"/>
  <c r="G813" i="1"/>
  <c r="F813" i="1"/>
  <c r="E813" i="1"/>
  <c r="D813" i="1"/>
  <c r="J812" i="1"/>
  <c r="H812" i="1"/>
  <c r="F812" i="1"/>
  <c r="D812" i="1"/>
  <c r="J811" i="1"/>
  <c r="I811" i="1"/>
  <c r="H811" i="1"/>
  <c r="G811" i="1"/>
  <c r="F811" i="1"/>
  <c r="E811" i="1"/>
  <c r="D811" i="1"/>
  <c r="J810" i="1"/>
  <c r="I810" i="1"/>
  <c r="H810" i="1"/>
  <c r="G810" i="1"/>
  <c r="F810" i="1"/>
  <c r="E810" i="1"/>
  <c r="D810" i="1"/>
  <c r="J809" i="1"/>
  <c r="I809" i="1"/>
  <c r="H809" i="1"/>
  <c r="G809" i="1"/>
  <c r="F809" i="1"/>
  <c r="E809" i="1"/>
  <c r="D809" i="1"/>
  <c r="J808" i="1"/>
  <c r="I808" i="1"/>
  <c r="H808" i="1"/>
  <c r="G808" i="1"/>
  <c r="F808" i="1"/>
  <c r="E808" i="1"/>
  <c r="D808" i="1"/>
  <c r="J807" i="1"/>
  <c r="I807" i="1"/>
  <c r="H807" i="1"/>
  <c r="G807" i="1"/>
  <c r="F807" i="1"/>
  <c r="E807" i="1"/>
  <c r="D807" i="1"/>
  <c r="J806" i="1"/>
  <c r="I806" i="1"/>
  <c r="H806" i="1"/>
  <c r="G806" i="1"/>
  <c r="F806" i="1"/>
  <c r="E806" i="1"/>
  <c r="D806" i="1"/>
  <c r="J805" i="1"/>
  <c r="I805" i="1"/>
  <c r="H805" i="1"/>
  <c r="G805" i="1"/>
  <c r="F805" i="1"/>
  <c r="E805" i="1"/>
  <c r="D805" i="1"/>
  <c r="J804" i="1"/>
  <c r="I804" i="1"/>
  <c r="H804" i="1"/>
  <c r="G804" i="1"/>
  <c r="F804" i="1"/>
  <c r="E804" i="1"/>
  <c r="D804" i="1"/>
  <c r="J803" i="1"/>
  <c r="I803" i="1"/>
  <c r="H803" i="1"/>
  <c r="G803" i="1"/>
  <c r="F803" i="1"/>
  <c r="E803" i="1"/>
  <c r="D803" i="1"/>
  <c r="J802" i="1"/>
  <c r="I802" i="1"/>
  <c r="H802" i="1"/>
  <c r="G802" i="1"/>
  <c r="F802" i="1"/>
  <c r="E802" i="1"/>
  <c r="D802" i="1"/>
  <c r="J801" i="1"/>
  <c r="I801" i="1"/>
  <c r="H801" i="1"/>
  <c r="G801" i="1"/>
  <c r="F801" i="1"/>
  <c r="E801" i="1"/>
  <c r="D801" i="1"/>
  <c r="J800" i="1"/>
  <c r="I800" i="1"/>
  <c r="H800" i="1"/>
  <c r="G800" i="1"/>
  <c r="F800" i="1"/>
  <c r="E800" i="1"/>
  <c r="D800" i="1"/>
  <c r="J799" i="1"/>
  <c r="I799" i="1"/>
  <c r="H799" i="1"/>
  <c r="G799" i="1"/>
  <c r="F799" i="1"/>
  <c r="E799" i="1"/>
  <c r="D799" i="1"/>
  <c r="J798" i="1"/>
  <c r="I798" i="1"/>
  <c r="H798" i="1"/>
  <c r="G798" i="1"/>
  <c r="F798" i="1"/>
  <c r="E798" i="1"/>
  <c r="D798" i="1"/>
  <c r="J797" i="1"/>
  <c r="H797" i="1"/>
  <c r="F797" i="1"/>
  <c r="D797" i="1"/>
  <c r="J796" i="1"/>
  <c r="I796" i="1"/>
  <c r="H796" i="1"/>
  <c r="G796" i="1"/>
  <c r="F796" i="1"/>
  <c r="E796" i="1"/>
  <c r="D796" i="1"/>
  <c r="J795" i="1"/>
  <c r="I795" i="1"/>
  <c r="H795" i="1"/>
  <c r="G795" i="1"/>
  <c r="F795" i="1"/>
  <c r="E795" i="1"/>
  <c r="D795" i="1"/>
  <c r="J794" i="1"/>
  <c r="H794" i="1"/>
  <c r="F794" i="1"/>
  <c r="D794" i="1"/>
  <c r="J793" i="1"/>
  <c r="I793" i="1"/>
  <c r="H793" i="1"/>
  <c r="G793" i="1"/>
  <c r="F793" i="1"/>
  <c r="E793" i="1"/>
  <c r="D793" i="1"/>
  <c r="J792" i="1"/>
  <c r="I792" i="1"/>
  <c r="H792" i="1"/>
  <c r="G792" i="1"/>
  <c r="F792" i="1"/>
  <c r="E792" i="1"/>
  <c r="D792" i="1"/>
  <c r="J791" i="1"/>
  <c r="I791" i="1"/>
  <c r="H791" i="1"/>
  <c r="G791" i="1"/>
  <c r="F791" i="1"/>
  <c r="E791" i="1"/>
  <c r="D791" i="1"/>
  <c r="J790" i="1"/>
  <c r="I790" i="1"/>
  <c r="H790" i="1"/>
  <c r="G790" i="1"/>
  <c r="F790" i="1"/>
  <c r="E790" i="1"/>
  <c r="D790" i="1"/>
  <c r="J789" i="1"/>
  <c r="I789" i="1"/>
  <c r="H789" i="1"/>
  <c r="G789" i="1"/>
  <c r="F789" i="1"/>
  <c r="E789" i="1"/>
  <c r="D789" i="1"/>
  <c r="J788" i="1"/>
  <c r="I788" i="1"/>
  <c r="H788" i="1"/>
  <c r="G788" i="1"/>
  <c r="F788" i="1"/>
  <c r="E788" i="1"/>
  <c r="D788" i="1"/>
  <c r="J787" i="1"/>
  <c r="I787" i="1"/>
  <c r="H787" i="1"/>
  <c r="G787" i="1"/>
  <c r="F787" i="1"/>
  <c r="E787" i="1"/>
  <c r="D787" i="1"/>
  <c r="J786" i="1"/>
  <c r="I786" i="1"/>
  <c r="H786" i="1"/>
  <c r="G786" i="1"/>
  <c r="F786" i="1"/>
  <c r="E786" i="1"/>
  <c r="D786" i="1"/>
  <c r="J785" i="1"/>
  <c r="H785" i="1"/>
  <c r="F785" i="1"/>
  <c r="D785" i="1"/>
  <c r="J784" i="1"/>
  <c r="I784" i="1"/>
  <c r="H784" i="1"/>
  <c r="G784" i="1"/>
  <c r="F784" i="1"/>
  <c r="E784" i="1"/>
  <c r="D784" i="1"/>
  <c r="J783" i="1"/>
  <c r="I783" i="1"/>
  <c r="H783" i="1"/>
  <c r="G783" i="1"/>
  <c r="F783" i="1"/>
  <c r="E783" i="1"/>
  <c r="D783" i="1"/>
  <c r="J782" i="1"/>
  <c r="I782" i="1"/>
  <c r="H782" i="1"/>
  <c r="G782" i="1"/>
  <c r="F782" i="1"/>
  <c r="E782" i="1"/>
  <c r="D782" i="1"/>
  <c r="J781" i="1"/>
  <c r="I781" i="1"/>
  <c r="H781" i="1"/>
  <c r="G781" i="1"/>
  <c r="F781" i="1"/>
  <c r="E781" i="1"/>
  <c r="D781" i="1"/>
  <c r="J780" i="1"/>
  <c r="I780" i="1"/>
  <c r="H780" i="1"/>
  <c r="G780" i="1"/>
  <c r="F780" i="1"/>
  <c r="E780" i="1"/>
  <c r="D780" i="1"/>
  <c r="J779" i="1"/>
  <c r="I779" i="1"/>
  <c r="H779" i="1"/>
  <c r="G779" i="1"/>
  <c r="F779" i="1"/>
  <c r="E779" i="1"/>
  <c r="D779" i="1"/>
  <c r="J778" i="1"/>
  <c r="I778" i="1"/>
  <c r="H778" i="1"/>
  <c r="G778" i="1"/>
  <c r="F778" i="1"/>
  <c r="E778" i="1"/>
  <c r="D778" i="1"/>
  <c r="J777" i="1"/>
  <c r="H777" i="1"/>
  <c r="F777" i="1"/>
  <c r="D777" i="1"/>
  <c r="J776" i="1"/>
  <c r="I776" i="1"/>
  <c r="H776" i="1"/>
  <c r="G776" i="1"/>
  <c r="F776" i="1"/>
  <c r="E776" i="1"/>
  <c r="D776" i="1"/>
  <c r="J775" i="1"/>
  <c r="I775" i="1"/>
  <c r="H775" i="1"/>
  <c r="G775" i="1"/>
  <c r="F775" i="1"/>
  <c r="E775" i="1"/>
  <c r="D775" i="1"/>
  <c r="J774" i="1"/>
  <c r="I774" i="1"/>
  <c r="H774" i="1"/>
  <c r="G774" i="1"/>
  <c r="F774" i="1"/>
  <c r="E774" i="1"/>
  <c r="D774" i="1"/>
  <c r="J773" i="1"/>
  <c r="I773" i="1"/>
  <c r="H773" i="1"/>
  <c r="G773" i="1"/>
  <c r="F773" i="1"/>
  <c r="E773" i="1"/>
  <c r="D773" i="1"/>
  <c r="J772" i="1"/>
  <c r="I772" i="1"/>
  <c r="H772" i="1"/>
  <c r="G772" i="1"/>
  <c r="F772" i="1"/>
  <c r="E772" i="1"/>
  <c r="D772" i="1"/>
  <c r="J771" i="1"/>
  <c r="I771" i="1"/>
  <c r="H771" i="1"/>
  <c r="G771" i="1"/>
  <c r="F771" i="1"/>
  <c r="E771" i="1"/>
  <c r="D771" i="1"/>
  <c r="J770" i="1"/>
  <c r="H770" i="1"/>
  <c r="F770" i="1"/>
  <c r="D770" i="1"/>
  <c r="J769" i="1"/>
  <c r="I769" i="1"/>
  <c r="H769" i="1"/>
  <c r="G769" i="1"/>
  <c r="F769" i="1"/>
  <c r="E769" i="1"/>
  <c r="D769" i="1"/>
  <c r="J768" i="1"/>
  <c r="I768" i="1"/>
  <c r="H768" i="1"/>
  <c r="G768" i="1"/>
  <c r="F768" i="1"/>
  <c r="E768" i="1"/>
  <c r="D768" i="1"/>
  <c r="J767" i="1"/>
  <c r="I767" i="1"/>
  <c r="H767" i="1"/>
  <c r="G767" i="1"/>
  <c r="F767" i="1"/>
  <c r="E767" i="1"/>
  <c r="D767" i="1"/>
  <c r="J766" i="1"/>
  <c r="I766" i="1"/>
  <c r="H766" i="1"/>
  <c r="G766" i="1"/>
  <c r="F766" i="1"/>
  <c r="E766" i="1"/>
  <c r="D766" i="1"/>
  <c r="J765" i="1"/>
  <c r="I765" i="1"/>
  <c r="H765" i="1"/>
  <c r="G765" i="1"/>
  <c r="F765" i="1"/>
  <c r="E765" i="1"/>
  <c r="D765" i="1"/>
  <c r="J764" i="1"/>
  <c r="I764" i="1"/>
  <c r="H764" i="1"/>
  <c r="G764" i="1"/>
  <c r="F764" i="1"/>
  <c r="E764" i="1"/>
  <c r="D764" i="1"/>
  <c r="J763" i="1"/>
  <c r="I763" i="1"/>
  <c r="H763" i="1"/>
  <c r="G763" i="1"/>
  <c r="F763" i="1"/>
  <c r="E763" i="1"/>
  <c r="D763" i="1"/>
  <c r="J762" i="1"/>
  <c r="I762" i="1"/>
  <c r="H762" i="1"/>
  <c r="G762" i="1"/>
  <c r="F762" i="1"/>
  <c r="E762" i="1"/>
  <c r="D762" i="1"/>
  <c r="J761" i="1"/>
  <c r="I761" i="1"/>
  <c r="H761" i="1"/>
  <c r="G761" i="1"/>
  <c r="F761" i="1"/>
  <c r="E761" i="1"/>
  <c r="D761" i="1"/>
  <c r="J760" i="1"/>
  <c r="I760" i="1"/>
  <c r="H760" i="1"/>
  <c r="G760" i="1"/>
  <c r="F760" i="1"/>
  <c r="E760" i="1"/>
  <c r="D760" i="1"/>
  <c r="J759" i="1"/>
  <c r="I759" i="1"/>
  <c r="H759" i="1"/>
  <c r="G759" i="1"/>
  <c r="F759" i="1"/>
  <c r="E759" i="1"/>
  <c r="D759" i="1"/>
  <c r="J758" i="1"/>
  <c r="I758" i="1"/>
  <c r="H758" i="1"/>
  <c r="G758" i="1"/>
  <c r="F758" i="1"/>
  <c r="E758" i="1"/>
  <c r="D758" i="1"/>
  <c r="J757" i="1"/>
  <c r="I757" i="1"/>
  <c r="H757" i="1"/>
  <c r="G757" i="1"/>
  <c r="F757" i="1"/>
  <c r="E757" i="1"/>
  <c r="D757" i="1"/>
  <c r="J756" i="1"/>
  <c r="H756" i="1"/>
  <c r="F756" i="1"/>
  <c r="D756" i="1"/>
  <c r="J755" i="1"/>
  <c r="I755" i="1"/>
  <c r="H755" i="1"/>
  <c r="G755" i="1"/>
  <c r="F755" i="1"/>
  <c r="E755" i="1"/>
  <c r="D755" i="1"/>
  <c r="J754" i="1"/>
  <c r="I754" i="1"/>
  <c r="H754" i="1"/>
  <c r="G754" i="1"/>
  <c r="F754" i="1"/>
  <c r="E754" i="1"/>
  <c r="D754" i="1"/>
  <c r="J753" i="1"/>
  <c r="I753" i="1"/>
  <c r="H753" i="1"/>
  <c r="G753" i="1"/>
  <c r="F753" i="1"/>
  <c r="E753" i="1"/>
  <c r="D753" i="1"/>
  <c r="J752" i="1"/>
  <c r="I752" i="1"/>
  <c r="H752" i="1"/>
  <c r="G752" i="1"/>
  <c r="F752" i="1"/>
  <c r="E752" i="1"/>
  <c r="D752" i="1"/>
  <c r="J751" i="1"/>
  <c r="H751" i="1"/>
  <c r="F751" i="1"/>
  <c r="D751" i="1"/>
  <c r="J750" i="1"/>
  <c r="I750" i="1"/>
  <c r="H750" i="1"/>
  <c r="G750" i="1"/>
  <c r="F750" i="1"/>
  <c r="E750" i="1"/>
  <c r="D750" i="1"/>
  <c r="J749" i="1"/>
  <c r="I749" i="1"/>
  <c r="H749" i="1"/>
  <c r="G749" i="1"/>
  <c r="F749" i="1"/>
  <c r="E749" i="1"/>
  <c r="D749" i="1"/>
  <c r="J748" i="1"/>
  <c r="I748" i="1"/>
  <c r="H748" i="1"/>
  <c r="G748" i="1"/>
  <c r="F748" i="1"/>
  <c r="E748" i="1"/>
  <c r="D748" i="1"/>
  <c r="J747" i="1"/>
  <c r="I747" i="1"/>
  <c r="H747" i="1"/>
  <c r="G747" i="1"/>
  <c r="F747" i="1"/>
  <c r="E747" i="1"/>
  <c r="D747" i="1"/>
  <c r="J746" i="1"/>
  <c r="I746" i="1"/>
  <c r="H746" i="1"/>
  <c r="G746" i="1"/>
  <c r="F746" i="1"/>
  <c r="E746" i="1"/>
  <c r="D746" i="1"/>
  <c r="J745" i="1"/>
  <c r="I745" i="1"/>
  <c r="H745" i="1"/>
  <c r="G745" i="1"/>
  <c r="F745" i="1"/>
  <c r="E745" i="1"/>
  <c r="D745" i="1"/>
  <c r="J744" i="1"/>
  <c r="I744" i="1"/>
  <c r="H744" i="1"/>
  <c r="G744" i="1"/>
  <c r="F744" i="1"/>
  <c r="E744" i="1"/>
  <c r="D744" i="1"/>
  <c r="J743" i="1"/>
  <c r="I743" i="1"/>
  <c r="H743" i="1"/>
  <c r="G743" i="1"/>
  <c r="F743" i="1"/>
  <c r="E743" i="1"/>
  <c r="D743" i="1"/>
  <c r="J742" i="1"/>
  <c r="I742" i="1"/>
  <c r="H742" i="1"/>
  <c r="G742" i="1"/>
  <c r="F742" i="1"/>
  <c r="E742" i="1"/>
  <c r="D742" i="1"/>
  <c r="J741" i="1"/>
  <c r="I741" i="1"/>
  <c r="H741" i="1"/>
  <c r="G741" i="1"/>
  <c r="F741" i="1"/>
  <c r="E741" i="1"/>
  <c r="D741" i="1"/>
  <c r="J740" i="1"/>
  <c r="I740" i="1"/>
  <c r="H740" i="1"/>
  <c r="G740" i="1"/>
  <c r="F740" i="1"/>
  <c r="E740" i="1"/>
  <c r="D740" i="1"/>
  <c r="J739" i="1"/>
  <c r="I739" i="1"/>
  <c r="H739" i="1"/>
  <c r="G739" i="1"/>
  <c r="F739" i="1"/>
  <c r="E739" i="1"/>
  <c r="D739" i="1"/>
  <c r="J738" i="1"/>
  <c r="I738" i="1"/>
  <c r="H738" i="1"/>
  <c r="G738" i="1"/>
  <c r="F738" i="1"/>
  <c r="E738" i="1"/>
  <c r="D738" i="1"/>
  <c r="J737" i="1"/>
  <c r="H737" i="1"/>
  <c r="F737" i="1"/>
  <c r="D737" i="1"/>
  <c r="J736" i="1"/>
  <c r="I736" i="1"/>
  <c r="H736" i="1"/>
  <c r="G736" i="1"/>
  <c r="F736" i="1"/>
  <c r="E736" i="1"/>
  <c r="D736" i="1"/>
  <c r="J735" i="1"/>
  <c r="I735" i="1"/>
  <c r="H735" i="1"/>
  <c r="G735" i="1"/>
  <c r="F735" i="1"/>
  <c r="E735" i="1"/>
  <c r="D735" i="1"/>
  <c r="J734" i="1"/>
  <c r="I734" i="1"/>
  <c r="H734" i="1"/>
  <c r="G734" i="1"/>
  <c r="F734" i="1"/>
  <c r="E734" i="1"/>
  <c r="D734" i="1"/>
  <c r="J733" i="1"/>
  <c r="I733" i="1"/>
  <c r="H733" i="1"/>
  <c r="G733" i="1"/>
  <c r="F733" i="1"/>
  <c r="E733" i="1"/>
  <c r="D733" i="1"/>
  <c r="J732" i="1"/>
  <c r="I732" i="1"/>
  <c r="H732" i="1"/>
  <c r="G732" i="1"/>
  <c r="F732" i="1"/>
  <c r="E732" i="1"/>
  <c r="D732" i="1"/>
  <c r="J731" i="1"/>
  <c r="I731" i="1"/>
  <c r="H731" i="1"/>
  <c r="G731" i="1"/>
  <c r="F731" i="1"/>
  <c r="E731" i="1"/>
  <c r="D731" i="1"/>
  <c r="J730" i="1"/>
  <c r="H730" i="1"/>
  <c r="F730" i="1"/>
  <c r="D730" i="1"/>
  <c r="J729" i="1"/>
  <c r="I729" i="1"/>
  <c r="H729" i="1"/>
  <c r="G729" i="1"/>
  <c r="F729" i="1"/>
  <c r="E729" i="1"/>
  <c r="D729" i="1"/>
  <c r="J728" i="1"/>
  <c r="I728" i="1"/>
  <c r="H728" i="1"/>
  <c r="G728" i="1"/>
  <c r="F728" i="1"/>
  <c r="E728" i="1"/>
  <c r="D728" i="1"/>
  <c r="J727" i="1"/>
  <c r="I727" i="1"/>
  <c r="H727" i="1"/>
  <c r="G727" i="1"/>
  <c r="F727" i="1"/>
  <c r="E727" i="1"/>
  <c r="D727" i="1"/>
  <c r="J726" i="1"/>
  <c r="I726" i="1"/>
  <c r="H726" i="1"/>
  <c r="G726" i="1"/>
  <c r="F726" i="1"/>
  <c r="E726" i="1"/>
  <c r="D726" i="1"/>
  <c r="J725" i="1"/>
  <c r="H725" i="1"/>
  <c r="F725" i="1"/>
  <c r="D725" i="1"/>
  <c r="J724" i="1"/>
  <c r="I724" i="1"/>
  <c r="H724" i="1"/>
  <c r="G724" i="1"/>
  <c r="F724" i="1"/>
  <c r="E724" i="1"/>
  <c r="D724" i="1"/>
  <c r="J723" i="1"/>
  <c r="I723" i="1"/>
  <c r="H723" i="1"/>
  <c r="G723" i="1"/>
  <c r="F723" i="1"/>
  <c r="E723" i="1"/>
  <c r="D723" i="1"/>
  <c r="J722" i="1"/>
  <c r="I722" i="1"/>
  <c r="H722" i="1"/>
  <c r="G722" i="1"/>
  <c r="F722" i="1"/>
  <c r="E722" i="1"/>
  <c r="D722" i="1"/>
  <c r="J721" i="1"/>
  <c r="I721" i="1"/>
  <c r="H721" i="1"/>
  <c r="G721" i="1"/>
  <c r="F721" i="1"/>
  <c r="E721" i="1"/>
  <c r="D721" i="1"/>
  <c r="J720" i="1"/>
  <c r="I720" i="1"/>
  <c r="H720" i="1"/>
  <c r="G720" i="1"/>
  <c r="F720" i="1"/>
  <c r="E720" i="1"/>
  <c r="D720" i="1"/>
  <c r="J719" i="1"/>
  <c r="I719" i="1"/>
  <c r="H719" i="1"/>
  <c r="G719" i="1"/>
  <c r="F719" i="1"/>
  <c r="E719" i="1"/>
  <c r="D719" i="1"/>
  <c r="J718" i="1"/>
  <c r="I718" i="1"/>
  <c r="H718" i="1"/>
  <c r="G718" i="1"/>
  <c r="F718" i="1"/>
  <c r="E718" i="1"/>
  <c r="D718" i="1"/>
  <c r="J717" i="1"/>
  <c r="I717" i="1"/>
  <c r="H717" i="1"/>
  <c r="G717" i="1"/>
  <c r="F717" i="1"/>
  <c r="E717" i="1"/>
  <c r="D717" i="1"/>
  <c r="J716" i="1"/>
  <c r="I716" i="1"/>
  <c r="H716" i="1"/>
  <c r="G716" i="1"/>
  <c r="F716" i="1"/>
  <c r="E716" i="1"/>
  <c r="D716" i="1"/>
  <c r="J715" i="1"/>
  <c r="I715" i="1"/>
  <c r="H715" i="1"/>
  <c r="G715" i="1"/>
  <c r="F715" i="1"/>
  <c r="E715" i="1"/>
  <c r="D715" i="1"/>
  <c r="J714" i="1"/>
  <c r="I714" i="1"/>
  <c r="H714" i="1"/>
  <c r="G714" i="1"/>
  <c r="F714" i="1"/>
  <c r="E714" i="1"/>
  <c r="D714" i="1"/>
  <c r="J713" i="1"/>
  <c r="I713" i="1"/>
  <c r="H713" i="1"/>
  <c r="G713" i="1"/>
  <c r="F713" i="1"/>
  <c r="E713" i="1"/>
  <c r="D713" i="1"/>
  <c r="J712" i="1"/>
  <c r="I712" i="1"/>
  <c r="H712" i="1"/>
  <c r="G712" i="1"/>
  <c r="F712" i="1"/>
  <c r="E712" i="1"/>
  <c r="D712" i="1"/>
  <c r="J711" i="1"/>
  <c r="I711" i="1"/>
  <c r="H711" i="1"/>
  <c r="G711" i="1"/>
  <c r="F711" i="1"/>
  <c r="E711" i="1"/>
  <c r="D711" i="1"/>
  <c r="J710" i="1"/>
  <c r="I710" i="1"/>
  <c r="H710" i="1"/>
  <c r="G710" i="1"/>
  <c r="F710" i="1"/>
  <c r="E710" i="1"/>
  <c r="D710" i="1"/>
  <c r="J709" i="1"/>
  <c r="I709" i="1"/>
  <c r="H709" i="1"/>
  <c r="G709" i="1"/>
  <c r="F709" i="1"/>
  <c r="E709" i="1"/>
  <c r="D709" i="1"/>
  <c r="J708" i="1"/>
  <c r="I708" i="1"/>
  <c r="H708" i="1"/>
  <c r="G708" i="1"/>
  <c r="F708" i="1"/>
  <c r="E708" i="1"/>
  <c r="D708" i="1"/>
  <c r="J707" i="1"/>
  <c r="I707" i="1"/>
  <c r="H707" i="1"/>
  <c r="G707" i="1"/>
  <c r="F707" i="1"/>
  <c r="E707" i="1"/>
  <c r="D707" i="1"/>
  <c r="J706" i="1"/>
  <c r="I706" i="1"/>
  <c r="H706" i="1"/>
  <c r="G706" i="1"/>
  <c r="F706" i="1"/>
  <c r="E706" i="1"/>
  <c r="D706" i="1"/>
  <c r="J705" i="1"/>
  <c r="I705" i="1"/>
  <c r="H705" i="1"/>
  <c r="G705" i="1"/>
  <c r="F705" i="1"/>
  <c r="E705" i="1"/>
  <c r="D705" i="1"/>
  <c r="J704" i="1"/>
  <c r="I704" i="1"/>
  <c r="H704" i="1"/>
  <c r="G704" i="1"/>
  <c r="F704" i="1"/>
  <c r="E704" i="1"/>
  <c r="D704" i="1"/>
  <c r="J703" i="1"/>
  <c r="I703" i="1"/>
  <c r="H703" i="1"/>
  <c r="G703" i="1"/>
  <c r="F703" i="1"/>
  <c r="E703" i="1"/>
  <c r="D703" i="1"/>
  <c r="J702" i="1"/>
  <c r="I702" i="1"/>
  <c r="H702" i="1"/>
  <c r="G702" i="1"/>
  <c r="F702" i="1"/>
  <c r="E702" i="1"/>
  <c r="D702" i="1"/>
  <c r="J701" i="1"/>
  <c r="I701" i="1"/>
  <c r="H701" i="1"/>
  <c r="G701" i="1"/>
  <c r="F701" i="1"/>
  <c r="E701" i="1"/>
  <c r="D701" i="1"/>
  <c r="J700" i="1"/>
  <c r="I700" i="1"/>
  <c r="H700" i="1"/>
  <c r="G700" i="1"/>
  <c r="F700" i="1"/>
  <c r="E700" i="1"/>
  <c r="D700" i="1"/>
  <c r="J699" i="1"/>
  <c r="I699" i="1"/>
  <c r="H699" i="1"/>
  <c r="G699" i="1"/>
  <c r="F699" i="1"/>
  <c r="E699" i="1"/>
  <c r="D699" i="1"/>
  <c r="J698" i="1"/>
  <c r="I698" i="1"/>
  <c r="H698" i="1"/>
  <c r="G698" i="1"/>
  <c r="F698" i="1"/>
  <c r="E698" i="1"/>
  <c r="D698" i="1"/>
  <c r="J697" i="1"/>
  <c r="I697" i="1"/>
  <c r="H697" i="1"/>
  <c r="G697" i="1"/>
  <c r="F697" i="1"/>
  <c r="E697" i="1"/>
  <c r="D697" i="1"/>
  <c r="J696" i="1"/>
  <c r="I696" i="1"/>
  <c r="H696" i="1"/>
  <c r="G696" i="1"/>
  <c r="F696" i="1"/>
  <c r="E696" i="1"/>
  <c r="D696" i="1"/>
  <c r="J695" i="1"/>
  <c r="I695" i="1"/>
  <c r="H695" i="1"/>
  <c r="G695" i="1"/>
  <c r="F695" i="1"/>
  <c r="E695" i="1"/>
  <c r="D695" i="1"/>
  <c r="J694" i="1"/>
  <c r="I694" i="1"/>
  <c r="H694" i="1"/>
  <c r="G694" i="1"/>
  <c r="F694" i="1"/>
  <c r="E694" i="1"/>
  <c r="D694" i="1"/>
  <c r="J693" i="1"/>
  <c r="I693" i="1"/>
  <c r="H693" i="1"/>
  <c r="G693" i="1"/>
  <c r="F693" i="1"/>
  <c r="E693" i="1"/>
  <c r="D693" i="1"/>
  <c r="J692" i="1"/>
  <c r="I692" i="1"/>
  <c r="H692" i="1"/>
  <c r="G692" i="1"/>
  <c r="F692" i="1"/>
  <c r="E692" i="1"/>
  <c r="D692" i="1"/>
  <c r="J691" i="1"/>
  <c r="I691" i="1"/>
  <c r="H691" i="1"/>
  <c r="G691" i="1"/>
  <c r="F691" i="1"/>
  <c r="E691" i="1"/>
  <c r="D691" i="1"/>
  <c r="J690" i="1"/>
  <c r="I690" i="1"/>
  <c r="H690" i="1"/>
  <c r="G690" i="1"/>
  <c r="F690" i="1"/>
  <c r="E690" i="1"/>
  <c r="D690" i="1"/>
  <c r="J689" i="1"/>
  <c r="I689" i="1"/>
  <c r="H689" i="1"/>
  <c r="G689" i="1"/>
  <c r="F689" i="1"/>
  <c r="E689" i="1"/>
  <c r="D689" i="1"/>
  <c r="J688" i="1"/>
  <c r="I688" i="1"/>
  <c r="H688" i="1"/>
  <c r="G688" i="1"/>
  <c r="F688" i="1"/>
  <c r="E688" i="1"/>
  <c r="D688" i="1"/>
  <c r="J687" i="1"/>
  <c r="H687" i="1"/>
  <c r="F687" i="1"/>
  <c r="D687" i="1"/>
  <c r="J686" i="1"/>
  <c r="I686" i="1"/>
  <c r="H686" i="1"/>
  <c r="G686" i="1"/>
  <c r="F686" i="1"/>
  <c r="E686" i="1"/>
  <c r="D686" i="1"/>
  <c r="J685" i="1"/>
  <c r="I685" i="1"/>
  <c r="H685" i="1"/>
  <c r="G685" i="1"/>
  <c r="F685" i="1"/>
  <c r="E685" i="1"/>
  <c r="D685" i="1"/>
  <c r="J684" i="1"/>
  <c r="I684" i="1"/>
  <c r="H684" i="1"/>
  <c r="G684" i="1"/>
  <c r="F684" i="1"/>
  <c r="E684" i="1"/>
  <c r="D684" i="1"/>
  <c r="J683" i="1"/>
  <c r="I683" i="1"/>
  <c r="H683" i="1"/>
  <c r="G683" i="1"/>
  <c r="F683" i="1"/>
  <c r="E683" i="1"/>
  <c r="D683" i="1"/>
  <c r="J682" i="1"/>
  <c r="I682" i="1"/>
  <c r="H682" i="1"/>
  <c r="G682" i="1"/>
  <c r="F682" i="1"/>
  <c r="E682" i="1"/>
  <c r="D682" i="1"/>
  <c r="J681" i="1"/>
  <c r="I681" i="1"/>
  <c r="H681" i="1"/>
  <c r="G681" i="1"/>
  <c r="F681" i="1"/>
  <c r="E681" i="1"/>
  <c r="D681" i="1"/>
  <c r="J680" i="1"/>
  <c r="I680" i="1"/>
  <c r="H680" i="1"/>
  <c r="G680" i="1"/>
  <c r="F680" i="1"/>
  <c r="E680" i="1"/>
  <c r="D680" i="1"/>
  <c r="J679" i="1"/>
  <c r="I679" i="1"/>
  <c r="H679" i="1"/>
  <c r="G679" i="1"/>
  <c r="F679" i="1"/>
  <c r="E679" i="1"/>
  <c r="D679" i="1"/>
  <c r="J678" i="1"/>
  <c r="I678" i="1"/>
  <c r="H678" i="1"/>
  <c r="G678" i="1"/>
  <c r="F678" i="1"/>
  <c r="E678" i="1"/>
  <c r="D678" i="1"/>
  <c r="J677" i="1"/>
  <c r="I677" i="1"/>
  <c r="H677" i="1"/>
  <c r="G677" i="1"/>
  <c r="F677" i="1"/>
  <c r="E677" i="1"/>
  <c r="D677" i="1"/>
  <c r="J676" i="1"/>
  <c r="H676" i="1"/>
  <c r="F676" i="1"/>
  <c r="D676" i="1"/>
  <c r="J675" i="1"/>
  <c r="H675" i="1"/>
  <c r="F675" i="1"/>
  <c r="D675" i="1"/>
  <c r="J674" i="1"/>
  <c r="I674" i="1"/>
  <c r="H674" i="1"/>
  <c r="G674" i="1"/>
  <c r="F674" i="1"/>
  <c r="E674" i="1"/>
  <c r="D674" i="1"/>
  <c r="J673" i="1"/>
  <c r="I673" i="1"/>
  <c r="H673" i="1"/>
  <c r="G673" i="1"/>
  <c r="F673" i="1"/>
  <c r="E673" i="1"/>
  <c r="D673" i="1"/>
  <c r="J672" i="1"/>
  <c r="I672" i="1"/>
  <c r="H672" i="1"/>
  <c r="G672" i="1"/>
  <c r="F672" i="1"/>
  <c r="E672" i="1"/>
  <c r="D672" i="1"/>
  <c r="J671" i="1"/>
  <c r="I671" i="1"/>
  <c r="H671" i="1"/>
  <c r="G671" i="1"/>
  <c r="F671" i="1"/>
  <c r="E671" i="1"/>
  <c r="D671" i="1"/>
  <c r="J670" i="1"/>
  <c r="I670" i="1"/>
  <c r="H670" i="1"/>
  <c r="G670" i="1"/>
  <c r="F670" i="1"/>
  <c r="E670" i="1"/>
  <c r="D670" i="1"/>
  <c r="J669" i="1"/>
  <c r="I669" i="1"/>
  <c r="H669" i="1"/>
  <c r="G669" i="1"/>
  <c r="F669" i="1"/>
  <c r="E669" i="1"/>
  <c r="D669" i="1"/>
  <c r="J668" i="1"/>
  <c r="I668" i="1"/>
  <c r="H668" i="1"/>
  <c r="G668" i="1"/>
  <c r="F668" i="1"/>
  <c r="E668" i="1"/>
  <c r="D668" i="1"/>
  <c r="J667" i="1"/>
  <c r="I667" i="1"/>
  <c r="H667" i="1"/>
  <c r="G667" i="1"/>
  <c r="F667" i="1"/>
  <c r="E667" i="1"/>
  <c r="D667" i="1"/>
  <c r="J666" i="1"/>
  <c r="I666" i="1"/>
  <c r="H666" i="1"/>
  <c r="G666" i="1"/>
  <c r="F666" i="1"/>
  <c r="E666" i="1"/>
  <c r="D666" i="1"/>
  <c r="J665" i="1"/>
  <c r="I665" i="1"/>
  <c r="H665" i="1"/>
  <c r="G665" i="1"/>
  <c r="F665" i="1"/>
  <c r="E665" i="1"/>
  <c r="D665" i="1"/>
  <c r="J664" i="1"/>
  <c r="I664" i="1"/>
  <c r="H664" i="1"/>
  <c r="G664" i="1"/>
  <c r="F664" i="1"/>
  <c r="E664" i="1"/>
  <c r="D664" i="1"/>
  <c r="J663" i="1"/>
  <c r="I663" i="1"/>
  <c r="H663" i="1"/>
  <c r="G663" i="1"/>
  <c r="F663" i="1"/>
  <c r="E663" i="1"/>
  <c r="D663" i="1"/>
  <c r="J662" i="1"/>
  <c r="I662" i="1"/>
  <c r="H662" i="1"/>
  <c r="G662" i="1"/>
  <c r="F662" i="1"/>
  <c r="E662" i="1"/>
  <c r="D662" i="1"/>
  <c r="J661" i="1"/>
  <c r="I661" i="1"/>
  <c r="H661" i="1"/>
  <c r="G661" i="1"/>
  <c r="F661" i="1"/>
  <c r="E661" i="1"/>
  <c r="D661" i="1"/>
  <c r="J660" i="1"/>
  <c r="I660" i="1"/>
  <c r="H660" i="1"/>
  <c r="G660" i="1"/>
  <c r="F660" i="1"/>
  <c r="E660" i="1"/>
  <c r="D660" i="1"/>
  <c r="J659" i="1"/>
  <c r="H659" i="1"/>
  <c r="F659" i="1"/>
  <c r="D659" i="1"/>
  <c r="J658" i="1"/>
  <c r="I658" i="1"/>
  <c r="H658" i="1"/>
  <c r="G658" i="1"/>
  <c r="F658" i="1"/>
  <c r="E658" i="1"/>
  <c r="D658" i="1"/>
  <c r="J657" i="1"/>
  <c r="I657" i="1"/>
  <c r="H657" i="1"/>
  <c r="G657" i="1"/>
  <c r="F657" i="1"/>
  <c r="E657" i="1"/>
  <c r="D657" i="1"/>
  <c r="J656" i="1"/>
  <c r="I656" i="1"/>
  <c r="H656" i="1"/>
  <c r="G656" i="1"/>
  <c r="F656" i="1"/>
  <c r="E656" i="1"/>
  <c r="D656" i="1"/>
  <c r="J655" i="1"/>
  <c r="I655" i="1"/>
  <c r="H655" i="1"/>
  <c r="G655" i="1"/>
  <c r="F655" i="1"/>
  <c r="E655" i="1"/>
  <c r="D655" i="1"/>
  <c r="J654" i="1"/>
  <c r="H654" i="1"/>
  <c r="F654" i="1"/>
  <c r="D654" i="1"/>
  <c r="J653" i="1"/>
  <c r="I653" i="1"/>
  <c r="H653" i="1"/>
  <c r="G653" i="1"/>
  <c r="F653" i="1"/>
  <c r="E653" i="1"/>
  <c r="D653" i="1"/>
  <c r="J652" i="1"/>
  <c r="I652" i="1"/>
  <c r="H652" i="1"/>
  <c r="G652" i="1"/>
  <c r="F652" i="1"/>
  <c r="E652" i="1"/>
  <c r="D652" i="1"/>
  <c r="J651" i="1"/>
  <c r="I651" i="1"/>
  <c r="H651" i="1"/>
  <c r="G651" i="1"/>
  <c r="F651" i="1"/>
  <c r="E651" i="1"/>
  <c r="D651" i="1"/>
  <c r="J650" i="1"/>
  <c r="I650" i="1"/>
  <c r="H650" i="1"/>
  <c r="G650" i="1"/>
  <c r="F650" i="1"/>
  <c r="E650" i="1"/>
  <c r="D650" i="1"/>
  <c r="J649" i="1"/>
  <c r="I649" i="1"/>
  <c r="H649" i="1"/>
  <c r="G649" i="1"/>
  <c r="F649" i="1"/>
  <c r="E649" i="1"/>
  <c r="D649" i="1"/>
  <c r="J648" i="1"/>
  <c r="I648" i="1"/>
  <c r="H648" i="1"/>
  <c r="G648" i="1"/>
  <c r="F648" i="1"/>
  <c r="E648" i="1"/>
  <c r="D648" i="1"/>
  <c r="J647" i="1"/>
  <c r="I647" i="1"/>
  <c r="H647" i="1"/>
  <c r="G647" i="1"/>
  <c r="F647" i="1"/>
  <c r="E647" i="1"/>
  <c r="D647" i="1"/>
  <c r="J646" i="1"/>
  <c r="I646" i="1"/>
  <c r="H646" i="1"/>
  <c r="G646" i="1"/>
  <c r="F646" i="1"/>
  <c r="E646" i="1"/>
  <c r="D646" i="1"/>
  <c r="J645" i="1"/>
  <c r="I645" i="1"/>
  <c r="H645" i="1"/>
  <c r="G645" i="1"/>
  <c r="F645" i="1"/>
  <c r="E645" i="1"/>
  <c r="D645" i="1"/>
  <c r="J644" i="1"/>
  <c r="I644" i="1"/>
  <c r="H644" i="1"/>
  <c r="G644" i="1"/>
  <c r="F644" i="1"/>
  <c r="E644" i="1"/>
  <c r="D644" i="1"/>
  <c r="J643" i="1"/>
  <c r="I643" i="1"/>
  <c r="H643" i="1"/>
  <c r="G643" i="1"/>
  <c r="F643" i="1"/>
  <c r="E643" i="1"/>
  <c r="D643" i="1"/>
  <c r="J642" i="1"/>
  <c r="I642" i="1"/>
  <c r="H642" i="1"/>
  <c r="G642" i="1"/>
  <c r="F642" i="1"/>
  <c r="E642" i="1"/>
  <c r="D642" i="1"/>
  <c r="J641" i="1"/>
  <c r="H641" i="1"/>
  <c r="F641" i="1"/>
  <c r="D641" i="1"/>
  <c r="J640" i="1"/>
  <c r="I640" i="1"/>
  <c r="H640" i="1"/>
  <c r="G640" i="1"/>
  <c r="F640" i="1"/>
  <c r="E640" i="1"/>
  <c r="D640" i="1"/>
  <c r="J639" i="1"/>
  <c r="I639" i="1"/>
  <c r="H639" i="1"/>
  <c r="G639" i="1"/>
  <c r="F639" i="1"/>
  <c r="E639" i="1"/>
  <c r="D639" i="1"/>
  <c r="J638" i="1"/>
  <c r="I638" i="1"/>
  <c r="H638" i="1"/>
  <c r="G638" i="1"/>
  <c r="F638" i="1"/>
  <c r="E638" i="1"/>
  <c r="D638" i="1"/>
  <c r="J637" i="1"/>
  <c r="I637" i="1"/>
  <c r="H637" i="1"/>
  <c r="G637" i="1"/>
  <c r="F637" i="1"/>
  <c r="E637" i="1"/>
  <c r="D637" i="1"/>
  <c r="J636" i="1"/>
  <c r="I636" i="1"/>
  <c r="H636" i="1"/>
  <c r="G636" i="1"/>
  <c r="F636" i="1"/>
  <c r="E636" i="1"/>
  <c r="D636" i="1"/>
  <c r="J635" i="1"/>
  <c r="I635" i="1"/>
  <c r="H635" i="1"/>
  <c r="G635" i="1"/>
  <c r="F635" i="1"/>
  <c r="E635" i="1"/>
  <c r="D635" i="1"/>
  <c r="J634" i="1"/>
  <c r="I634" i="1"/>
  <c r="H634" i="1"/>
  <c r="G634" i="1"/>
  <c r="F634" i="1"/>
  <c r="E634" i="1"/>
  <c r="D634" i="1"/>
  <c r="J633" i="1"/>
  <c r="I633" i="1"/>
  <c r="H633" i="1"/>
  <c r="G633" i="1"/>
  <c r="F633" i="1"/>
  <c r="E633" i="1"/>
  <c r="D633" i="1"/>
  <c r="J632" i="1"/>
  <c r="I632" i="1"/>
  <c r="H632" i="1"/>
  <c r="G632" i="1"/>
  <c r="F632" i="1"/>
  <c r="E632" i="1"/>
  <c r="D632" i="1"/>
  <c r="J631" i="1"/>
  <c r="I631" i="1"/>
  <c r="H631" i="1"/>
  <c r="G631" i="1"/>
  <c r="F631" i="1"/>
  <c r="E631" i="1"/>
  <c r="D631" i="1"/>
  <c r="J630" i="1"/>
  <c r="I630" i="1"/>
  <c r="H630" i="1"/>
  <c r="G630" i="1"/>
  <c r="F630" i="1"/>
  <c r="E630" i="1"/>
  <c r="D630" i="1"/>
  <c r="J629" i="1"/>
  <c r="I629" i="1"/>
  <c r="H629" i="1"/>
  <c r="G629" i="1"/>
  <c r="F629" i="1"/>
  <c r="E629" i="1"/>
  <c r="D629" i="1"/>
  <c r="J628" i="1"/>
  <c r="I628" i="1"/>
  <c r="H628" i="1"/>
  <c r="G628" i="1"/>
  <c r="F628" i="1"/>
  <c r="E628" i="1"/>
  <c r="D628" i="1"/>
  <c r="J627" i="1"/>
  <c r="I627" i="1"/>
  <c r="H627" i="1"/>
  <c r="G627" i="1"/>
  <c r="F627" i="1"/>
  <c r="E627" i="1"/>
  <c r="D627" i="1"/>
  <c r="J626" i="1"/>
  <c r="I626" i="1"/>
  <c r="H626" i="1"/>
  <c r="G626" i="1"/>
  <c r="F626" i="1"/>
  <c r="E626" i="1"/>
  <c r="D626" i="1"/>
  <c r="J625" i="1"/>
  <c r="I625" i="1"/>
  <c r="H625" i="1"/>
  <c r="G625" i="1"/>
  <c r="F625" i="1"/>
  <c r="E625" i="1"/>
  <c r="D625" i="1"/>
  <c r="J624" i="1"/>
  <c r="H624" i="1"/>
  <c r="F624" i="1"/>
  <c r="D624" i="1"/>
  <c r="J623" i="1"/>
  <c r="I623" i="1"/>
  <c r="H623" i="1"/>
  <c r="G623" i="1"/>
  <c r="F623" i="1"/>
  <c r="E623" i="1"/>
  <c r="D623" i="1"/>
  <c r="J622" i="1"/>
  <c r="I622" i="1"/>
  <c r="H622" i="1"/>
  <c r="G622" i="1"/>
  <c r="F622" i="1"/>
  <c r="E622" i="1"/>
  <c r="D622" i="1"/>
  <c r="J621" i="1"/>
  <c r="I621" i="1"/>
  <c r="H621" i="1"/>
  <c r="G621" i="1"/>
  <c r="F621" i="1"/>
  <c r="E621" i="1"/>
  <c r="D621" i="1"/>
  <c r="J620" i="1"/>
  <c r="I620" i="1"/>
  <c r="H620" i="1"/>
  <c r="G620" i="1"/>
  <c r="F620" i="1"/>
  <c r="E620" i="1"/>
  <c r="D620" i="1"/>
  <c r="J619" i="1"/>
  <c r="I619" i="1"/>
  <c r="H619" i="1"/>
  <c r="G619" i="1"/>
  <c r="F619" i="1"/>
  <c r="E619" i="1"/>
  <c r="D619" i="1"/>
  <c r="J618" i="1"/>
  <c r="I618" i="1"/>
  <c r="H618" i="1"/>
  <c r="G618" i="1"/>
  <c r="F618" i="1"/>
  <c r="E618" i="1"/>
  <c r="D618" i="1"/>
  <c r="J617" i="1"/>
  <c r="I617" i="1"/>
  <c r="H617" i="1"/>
  <c r="G617" i="1"/>
  <c r="F617" i="1"/>
  <c r="E617" i="1"/>
  <c r="D617" i="1"/>
  <c r="J616" i="1"/>
  <c r="I616" i="1"/>
  <c r="H616" i="1"/>
  <c r="G616" i="1"/>
  <c r="F616" i="1"/>
  <c r="E616" i="1"/>
  <c r="D616" i="1"/>
  <c r="J615" i="1"/>
  <c r="I615" i="1"/>
  <c r="H615" i="1"/>
  <c r="G615" i="1"/>
  <c r="F615" i="1"/>
  <c r="E615" i="1"/>
  <c r="D615" i="1"/>
  <c r="J614" i="1"/>
  <c r="I614" i="1"/>
  <c r="H614" i="1"/>
  <c r="G614" i="1"/>
  <c r="F614" i="1"/>
  <c r="E614" i="1"/>
  <c r="D614" i="1"/>
  <c r="J613" i="1"/>
  <c r="I613" i="1"/>
  <c r="H613" i="1"/>
  <c r="G613" i="1"/>
  <c r="F613" i="1"/>
  <c r="E613" i="1"/>
  <c r="D613" i="1"/>
  <c r="J612" i="1"/>
  <c r="I612" i="1"/>
  <c r="H612" i="1"/>
  <c r="G612" i="1"/>
  <c r="F612" i="1"/>
  <c r="E612" i="1"/>
  <c r="D612" i="1"/>
  <c r="J611" i="1"/>
  <c r="I611" i="1"/>
  <c r="H611" i="1"/>
  <c r="G611" i="1"/>
  <c r="F611" i="1"/>
  <c r="E611" i="1"/>
  <c r="D611" i="1"/>
  <c r="J610" i="1"/>
  <c r="I610" i="1"/>
  <c r="H610" i="1"/>
  <c r="G610" i="1"/>
  <c r="F610" i="1"/>
  <c r="E610" i="1"/>
  <c r="D610" i="1"/>
  <c r="J609" i="1"/>
  <c r="I609" i="1"/>
  <c r="H609" i="1"/>
  <c r="G609" i="1"/>
  <c r="F609" i="1"/>
  <c r="E609" i="1"/>
  <c r="D609" i="1"/>
  <c r="J608" i="1"/>
  <c r="I608" i="1"/>
  <c r="H608" i="1"/>
  <c r="G608" i="1"/>
  <c r="F608" i="1"/>
  <c r="E608" i="1"/>
  <c r="D608" i="1"/>
  <c r="J607" i="1"/>
  <c r="I607" i="1"/>
  <c r="H607" i="1"/>
  <c r="G607" i="1"/>
  <c r="F607" i="1"/>
  <c r="E607" i="1"/>
  <c r="D607" i="1"/>
  <c r="J606" i="1"/>
  <c r="I606" i="1"/>
  <c r="H606" i="1"/>
  <c r="G606" i="1"/>
  <c r="F606" i="1"/>
  <c r="E606" i="1"/>
  <c r="D606" i="1"/>
  <c r="J605" i="1"/>
  <c r="I605" i="1"/>
  <c r="H605" i="1"/>
  <c r="G605" i="1"/>
  <c r="F605" i="1"/>
  <c r="E605" i="1"/>
  <c r="D605" i="1"/>
  <c r="J604" i="1"/>
  <c r="I604" i="1"/>
  <c r="H604" i="1"/>
  <c r="G604" i="1"/>
  <c r="F604" i="1"/>
  <c r="E604" i="1"/>
  <c r="D604" i="1"/>
  <c r="J603" i="1"/>
  <c r="I603" i="1"/>
  <c r="H603" i="1"/>
  <c r="G603" i="1"/>
  <c r="F603" i="1"/>
  <c r="E603" i="1"/>
  <c r="D603" i="1"/>
  <c r="J602" i="1"/>
  <c r="I602" i="1"/>
  <c r="H602" i="1"/>
  <c r="G602" i="1"/>
  <c r="F602" i="1"/>
  <c r="E602" i="1"/>
  <c r="D602" i="1"/>
  <c r="J601" i="1"/>
  <c r="H601" i="1"/>
  <c r="F601" i="1"/>
  <c r="D601" i="1"/>
  <c r="J600" i="1"/>
  <c r="I600" i="1"/>
  <c r="H600" i="1"/>
  <c r="G600" i="1"/>
  <c r="F600" i="1"/>
  <c r="E600" i="1"/>
  <c r="D600" i="1"/>
  <c r="J599" i="1"/>
  <c r="I599" i="1"/>
  <c r="H599" i="1"/>
  <c r="G599" i="1"/>
  <c r="F599" i="1"/>
  <c r="E599" i="1"/>
  <c r="D599" i="1"/>
  <c r="J598" i="1"/>
  <c r="H598" i="1"/>
  <c r="F598" i="1"/>
  <c r="D598" i="1"/>
  <c r="J597" i="1"/>
  <c r="I597" i="1"/>
  <c r="H597" i="1"/>
  <c r="G597" i="1"/>
  <c r="F597" i="1"/>
  <c r="E597" i="1"/>
  <c r="D597" i="1"/>
  <c r="J596" i="1"/>
  <c r="I596" i="1"/>
  <c r="H596" i="1"/>
  <c r="G596" i="1"/>
  <c r="F596" i="1"/>
  <c r="E596" i="1"/>
  <c r="D596" i="1"/>
  <c r="J595" i="1"/>
  <c r="I595" i="1"/>
  <c r="H595" i="1"/>
  <c r="G595" i="1"/>
  <c r="F595" i="1"/>
  <c r="E595" i="1"/>
  <c r="D595" i="1"/>
  <c r="J594" i="1"/>
  <c r="I594" i="1"/>
  <c r="H594" i="1"/>
  <c r="G594" i="1"/>
  <c r="F594" i="1"/>
  <c r="E594" i="1"/>
  <c r="D594" i="1"/>
  <c r="J593" i="1"/>
  <c r="I593" i="1"/>
  <c r="H593" i="1"/>
  <c r="G593" i="1"/>
  <c r="F593" i="1"/>
  <c r="E593" i="1"/>
  <c r="D593" i="1"/>
  <c r="J592" i="1"/>
  <c r="I592" i="1"/>
  <c r="H592" i="1"/>
  <c r="G592" i="1"/>
  <c r="F592" i="1"/>
  <c r="E592" i="1"/>
  <c r="D592" i="1"/>
  <c r="J591" i="1"/>
  <c r="I591" i="1"/>
  <c r="H591" i="1"/>
  <c r="G591" i="1"/>
  <c r="F591" i="1"/>
  <c r="E591" i="1"/>
  <c r="D591" i="1"/>
  <c r="J590" i="1"/>
  <c r="I590" i="1"/>
  <c r="H590" i="1"/>
  <c r="G590" i="1"/>
  <c r="F590" i="1"/>
  <c r="E590" i="1"/>
  <c r="D590" i="1"/>
  <c r="J589" i="1"/>
  <c r="I589" i="1"/>
  <c r="H589" i="1"/>
  <c r="G589" i="1"/>
  <c r="F589" i="1"/>
  <c r="E589" i="1"/>
  <c r="D589" i="1"/>
  <c r="J588" i="1"/>
  <c r="I588" i="1"/>
  <c r="H588" i="1"/>
  <c r="G588" i="1"/>
  <c r="F588" i="1"/>
  <c r="E588" i="1"/>
  <c r="D588" i="1"/>
  <c r="J587" i="1"/>
  <c r="I587" i="1"/>
  <c r="H587" i="1"/>
  <c r="G587" i="1"/>
  <c r="F587" i="1"/>
  <c r="E587" i="1"/>
  <c r="D587" i="1"/>
  <c r="J586" i="1"/>
  <c r="I586" i="1"/>
  <c r="H586" i="1"/>
  <c r="G586" i="1"/>
  <c r="F586" i="1"/>
  <c r="E586" i="1"/>
  <c r="D586" i="1"/>
  <c r="J585" i="1"/>
  <c r="I585" i="1"/>
  <c r="H585" i="1"/>
  <c r="G585" i="1"/>
  <c r="F585" i="1"/>
  <c r="E585" i="1"/>
  <c r="D585" i="1"/>
  <c r="J584" i="1"/>
  <c r="I584" i="1"/>
  <c r="H584" i="1"/>
  <c r="G584" i="1"/>
  <c r="F584" i="1"/>
  <c r="E584" i="1"/>
  <c r="D584" i="1"/>
  <c r="J583" i="1"/>
  <c r="I583" i="1"/>
  <c r="H583" i="1"/>
  <c r="G583" i="1"/>
  <c r="F583" i="1"/>
  <c r="E583" i="1"/>
  <c r="D583" i="1"/>
  <c r="J582" i="1"/>
  <c r="I582" i="1"/>
  <c r="H582" i="1"/>
  <c r="G582" i="1"/>
  <c r="F582" i="1"/>
  <c r="E582" i="1"/>
  <c r="D582" i="1"/>
  <c r="J581" i="1"/>
  <c r="I581" i="1"/>
  <c r="H581" i="1"/>
  <c r="G581" i="1"/>
  <c r="F581" i="1"/>
  <c r="E581" i="1"/>
  <c r="D581" i="1"/>
  <c r="J580" i="1"/>
  <c r="H580" i="1"/>
  <c r="F580" i="1"/>
  <c r="D580" i="1"/>
  <c r="J579" i="1"/>
  <c r="I579" i="1"/>
  <c r="H579" i="1"/>
  <c r="G579" i="1"/>
  <c r="F579" i="1"/>
  <c r="E579" i="1"/>
  <c r="D579" i="1"/>
  <c r="J578" i="1"/>
  <c r="I578" i="1"/>
  <c r="H578" i="1"/>
  <c r="G578" i="1"/>
  <c r="F578" i="1"/>
  <c r="E578" i="1"/>
  <c r="D578" i="1"/>
  <c r="J577" i="1"/>
  <c r="I577" i="1"/>
  <c r="H577" i="1"/>
  <c r="G577" i="1"/>
  <c r="F577" i="1"/>
  <c r="E577" i="1"/>
  <c r="D577" i="1"/>
  <c r="J576" i="1"/>
  <c r="I576" i="1"/>
  <c r="H576" i="1"/>
  <c r="G576" i="1"/>
  <c r="F576" i="1"/>
  <c r="E576" i="1"/>
  <c r="D576" i="1"/>
  <c r="J575" i="1"/>
  <c r="I575" i="1"/>
  <c r="H575" i="1"/>
  <c r="G575" i="1"/>
  <c r="F575" i="1"/>
  <c r="E575" i="1"/>
  <c r="D575" i="1"/>
  <c r="J574" i="1"/>
  <c r="I574" i="1"/>
  <c r="H574" i="1"/>
  <c r="G574" i="1"/>
  <c r="F574" i="1"/>
  <c r="E574" i="1"/>
  <c r="D574" i="1"/>
  <c r="J573" i="1"/>
  <c r="I573" i="1"/>
  <c r="H573" i="1"/>
  <c r="G573" i="1"/>
  <c r="F573" i="1"/>
  <c r="E573" i="1"/>
  <c r="D573" i="1"/>
  <c r="J572" i="1"/>
  <c r="H572" i="1"/>
  <c r="F572" i="1"/>
  <c r="D572" i="1"/>
  <c r="J571" i="1"/>
  <c r="I571" i="1"/>
  <c r="H571" i="1"/>
  <c r="G571" i="1"/>
  <c r="F571" i="1"/>
  <c r="E571" i="1"/>
  <c r="D571" i="1"/>
  <c r="J570" i="1"/>
  <c r="I570" i="1"/>
  <c r="H570" i="1"/>
  <c r="G570" i="1"/>
  <c r="F570" i="1"/>
  <c r="E570" i="1"/>
  <c r="D570" i="1"/>
  <c r="J569" i="1"/>
  <c r="I569" i="1"/>
  <c r="H569" i="1"/>
  <c r="G569" i="1"/>
  <c r="F569" i="1"/>
  <c r="E569" i="1"/>
  <c r="D569" i="1"/>
  <c r="J568" i="1"/>
  <c r="I568" i="1"/>
  <c r="H568" i="1"/>
  <c r="G568" i="1"/>
  <c r="F568" i="1"/>
  <c r="E568" i="1"/>
  <c r="D568" i="1"/>
  <c r="J567" i="1"/>
  <c r="I567" i="1"/>
  <c r="H567" i="1"/>
  <c r="G567" i="1"/>
  <c r="F567" i="1"/>
  <c r="E567" i="1"/>
  <c r="D567" i="1"/>
  <c r="J566" i="1"/>
  <c r="I566" i="1"/>
  <c r="H566" i="1"/>
  <c r="G566" i="1"/>
  <c r="F566" i="1"/>
  <c r="E566" i="1"/>
  <c r="D566" i="1"/>
  <c r="J565" i="1"/>
  <c r="I565" i="1"/>
  <c r="H565" i="1"/>
  <c r="G565" i="1"/>
  <c r="F565" i="1"/>
  <c r="E565" i="1"/>
  <c r="D565" i="1"/>
  <c r="J564" i="1"/>
  <c r="I564" i="1"/>
  <c r="H564" i="1"/>
  <c r="G564" i="1"/>
  <c r="F564" i="1"/>
  <c r="E564" i="1"/>
  <c r="D564" i="1"/>
  <c r="J563" i="1"/>
  <c r="I563" i="1"/>
  <c r="H563" i="1"/>
  <c r="G563" i="1"/>
  <c r="F563" i="1"/>
  <c r="E563" i="1"/>
  <c r="D563" i="1"/>
  <c r="J562" i="1"/>
  <c r="I562" i="1"/>
  <c r="H562" i="1"/>
  <c r="G562" i="1"/>
  <c r="F562" i="1"/>
  <c r="E562" i="1"/>
  <c r="D562" i="1"/>
  <c r="J561" i="1"/>
  <c r="I561" i="1"/>
  <c r="H561" i="1"/>
  <c r="G561" i="1"/>
  <c r="F561" i="1"/>
  <c r="E561" i="1"/>
  <c r="D561" i="1"/>
  <c r="J560" i="1"/>
  <c r="I560" i="1"/>
  <c r="H560" i="1"/>
  <c r="G560" i="1"/>
  <c r="F560" i="1"/>
  <c r="E560" i="1"/>
  <c r="D560" i="1"/>
  <c r="J559" i="1"/>
  <c r="I559" i="1"/>
  <c r="H559" i="1"/>
  <c r="G559" i="1"/>
  <c r="F559" i="1"/>
  <c r="E559" i="1"/>
  <c r="D559" i="1"/>
  <c r="J558" i="1"/>
  <c r="I558" i="1"/>
  <c r="H558" i="1"/>
  <c r="G558" i="1"/>
  <c r="F558" i="1"/>
  <c r="E558" i="1"/>
  <c r="D558" i="1"/>
  <c r="J557" i="1"/>
  <c r="I557" i="1"/>
  <c r="H557" i="1"/>
  <c r="G557" i="1"/>
  <c r="F557" i="1"/>
  <c r="E557" i="1"/>
  <c r="D557" i="1"/>
  <c r="J556" i="1"/>
  <c r="I556" i="1"/>
  <c r="H556" i="1"/>
  <c r="G556" i="1"/>
  <c r="F556" i="1"/>
  <c r="E556" i="1"/>
  <c r="D556" i="1"/>
  <c r="J555" i="1"/>
  <c r="I555" i="1"/>
  <c r="H555" i="1"/>
  <c r="G555" i="1"/>
  <c r="F555" i="1"/>
  <c r="E555" i="1"/>
  <c r="D555" i="1"/>
  <c r="J554" i="1"/>
  <c r="H554" i="1"/>
  <c r="F554" i="1"/>
  <c r="D554" i="1"/>
  <c r="J553" i="1"/>
  <c r="I553" i="1"/>
  <c r="H553" i="1"/>
  <c r="G553" i="1"/>
  <c r="F553" i="1"/>
  <c r="E553" i="1"/>
  <c r="D553" i="1"/>
  <c r="J552" i="1"/>
  <c r="I552" i="1"/>
  <c r="H552" i="1"/>
  <c r="G552" i="1"/>
  <c r="F552" i="1"/>
  <c r="E552" i="1"/>
  <c r="D552" i="1"/>
  <c r="J551" i="1"/>
  <c r="I551" i="1"/>
  <c r="H551" i="1"/>
  <c r="G551" i="1"/>
  <c r="F551" i="1"/>
  <c r="E551" i="1"/>
  <c r="D551" i="1"/>
  <c r="J550" i="1"/>
  <c r="I550" i="1"/>
  <c r="H550" i="1"/>
  <c r="G550" i="1"/>
  <c r="F550" i="1"/>
  <c r="E550" i="1"/>
  <c r="D550" i="1"/>
  <c r="J549" i="1"/>
  <c r="I549" i="1"/>
  <c r="H549" i="1"/>
  <c r="G549" i="1"/>
  <c r="F549" i="1"/>
  <c r="E549" i="1"/>
  <c r="D549" i="1"/>
  <c r="J548" i="1"/>
  <c r="I548" i="1"/>
  <c r="H548" i="1"/>
  <c r="G548" i="1"/>
  <c r="F548" i="1"/>
  <c r="E548" i="1"/>
  <c r="D548" i="1"/>
  <c r="J547" i="1"/>
  <c r="I547" i="1"/>
  <c r="H547" i="1"/>
  <c r="G547" i="1"/>
  <c r="F547" i="1"/>
  <c r="E547" i="1"/>
  <c r="D547" i="1"/>
  <c r="J546" i="1"/>
  <c r="I546" i="1"/>
  <c r="H546" i="1"/>
  <c r="G546" i="1"/>
  <c r="F546" i="1"/>
  <c r="E546" i="1"/>
  <c r="D546" i="1"/>
  <c r="J545" i="1"/>
  <c r="I545" i="1"/>
  <c r="H545" i="1"/>
  <c r="G545" i="1"/>
  <c r="F545" i="1"/>
  <c r="E545" i="1"/>
  <c r="D545" i="1"/>
  <c r="J544" i="1"/>
  <c r="I544" i="1"/>
  <c r="H544" i="1"/>
  <c r="G544" i="1"/>
  <c r="F544" i="1"/>
  <c r="E544" i="1"/>
  <c r="D544" i="1"/>
  <c r="J543" i="1"/>
  <c r="I543" i="1"/>
  <c r="H543" i="1"/>
  <c r="G543" i="1"/>
  <c r="F543" i="1"/>
  <c r="E543" i="1"/>
  <c r="D543" i="1"/>
  <c r="J542" i="1"/>
  <c r="I542" i="1"/>
  <c r="H542" i="1"/>
  <c r="G542" i="1"/>
  <c r="F542" i="1"/>
  <c r="E542" i="1"/>
  <c r="D542" i="1"/>
  <c r="J541" i="1"/>
  <c r="I541" i="1"/>
  <c r="H541" i="1"/>
  <c r="G541" i="1"/>
  <c r="F541" i="1"/>
  <c r="E541" i="1"/>
  <c r="D541" i="1"/>
  <c r="J540" i="1"/>
  <c r="I540" i="1"/>
  <c r="H540" i="1"/>
  <c r="G540" i="1"/>
  <c r="F540" i="1"/>
  <c r="E540" i="1"/>
  <c r="D540" i="1"/>
  <c r="J539" i="1"/>
  <c r="I539" i="1"/>
  <c r="H539" i="1"/>
  <c r="G539" i="1"/>
  <c r="F539" i="1"/>
  <c r="E539" i="1"/>
  <c r="D539" i="1"/>
  <c r="J538" i="1"/>
  <c r="I538" i="1"/>
  <c r="H538" i="1"/>
  <c r="G538" i="1"/>
  <c r="F538" i="1"/>
  <c r="E538" i="1"/>
  <c r="D538" i="1"/>
  <c r="J537" i="1"/>
  <c r="I537" i="1"/>
  <c r="H537" i="1"/>
  <c r="G537" i="1"/>
  <c r="F537" i="1"/>
  <c r="E537" i="1"/>
  <c r="D537" i="1"/>
  <c r="J536" i="1"/>
  <c r="I536" i="1"/>
  <c r="H536" i="1"/>
  <c r="G536" i="1"/>
  <c r="F536" i="1"/>
  <c r="E536" i="1"/>
  <c r="D536" i="1"/>
  <c r="J535" i="1"/>
  <c r="I535" i="1"/>
  <c r="H535" i="1"/>
  <c r="G535" i="1"/>
  <c r="F535" i="1"/>
  <c r="E535" i="1"/>
  <c r="D535" i="1"/>
  <c r="J534" i="1"/>
  <c r="I534" i="1"/>
  <c r="H534" i="1"/>
  <c r="G534" i="1"/>
  <c r="F534" i="1"/>
  <c r="E534" i="1"/>
  <c r="D534" i="1"/>
  <c r="J533" i="1"/>
  <c r="I533" i="1"/>
  <c r="H533" i="1"/>
  <c r="G533" i="1"/>
  <c r="F533" i="1"/>
  <c r="E533" i="1"/>
  <c r="D533" i="1"/>
  <c r="J532" i="1"/>
  <c r="I532" i="1"/>
  <c r="H532" i="1"/>
  <c r="G532" i="1"/>
  <c r="F532" i="1"/>
  <c r="E532" i="1"/>
  <c r="D532" i="1"/>
  <c r="J531" i="1"/>
  <c r="I531" i="1"/>
  <c r="H531" i="1"/>
  <c r="G531" i="1"/>
  <c r="F531" i="1"/>
  <c r="E531" i="1"/>
  <c r="D531" i="1"/>
  <c r="J530" i="1"/>
  <c r="H530" i="1"/>
  <c r="F530" i="1"/>
  <c r="D530" i="1"/>
  <c r="J529" i="1"/>
  <c r="I529" i="1"/>
  <c r="H529" i="1"/>
  <c r="G529" i="1"/>
  <c r="F529" i="1"/>
  <c r="E529" i="1"/>
  <c r="D529" i="1"/>
  <c r="J528" i="1"/>
  <c r="I528" i="1"/>
  <c r="H528" i="1"/>
  <c r="G528" i="1"/>
  <c r="F528" i="1"/>
  <c r="E528" i="1"/>
  <c r="D528" i="1"/>
  <c r="J527" i="1"/>
  <c r="I527" i="1"/>
  <c r="H527" i="1"/>
  <c r="G527" i="1"/>
  <c r="F527" i="1"/>
  <c r="E527" i="1"/>
  <c r="D527" i="1"/>
  <c r="J526" i="1"/>
  <c r="I526" i="1"/>
  <c r="H526" i="1"/>
  <c r="G526" i="1"/>
  <c r="F526" i="1"/>
  <c r="E526" i="1"/>
  <c r="D526" i="1"/>
  <c r="J525" i="1"/>
  <c r="I525" i="1"/>
  <c r="H525" i="1"/>
  <c r="G525" i="1"/>
  <c r="F525" i="1"/>
  <c r="E525" i="1"/>
  <c r="D525" i="1"/>
  <c r="J524" i="1"/>
  <c r="I524" i="1"/>
  <c r="H524" i="1"/>
  <c r="G524" i="1"/>
  <c r="F524" i="1"/>
  <c r="E524" i="1"/>
  <c r="D524" i="1"/>
  <c r="J523" i="1"/>
  <c r="I523" i="1"/>
  <c r="H523" i="1"/>
  <c r="G523" i="1"/>
  <c r="F523" i="1"/>
  <c r="E523" i="1"/>
  <c r="D523" i="1"/>
  <c r="J522" i="1"/>
  <c r="I522" i="1"/>
  <c r="H522" i="1"/>
  <c r="G522" i="1"/>
  <c r="F522" i="1"/>
  <c r="E522" i="1"/>
  <c r="D522" i="1"/>
  <c r="J521" i="1"/>
  <c r="I521" i="1"/>
  <c r="H521" i="1"/>
  <c r="G521" i="1"/>
  <c r="F521" i="1"/>
  <c r="E521" i="1"/>
  <c r="D521" i="1"/>
  <c r="J520" i="1"/>
  <c r="I520" i="1"/>
  <c r="H520" i="1"/>
  <c r="G520" i="1"/>
  <c r="F520" i="1"/>
  <c r="E520" i="1"/>
  <c r="D520" i="1"/>
  <c r="J519" i="1"/>
  <c r="I519" i="1"/>
  <c r="H519" i="1"/>
  <c r="G519" i="1"/>
  <c r="F519" i="1"/>
  <c r="E519" i="1"/>
  <c r="D519" i="1"/>
  <c r="J518" i="1"/>
  <c r="I518" i="1"/>
  <c r="H518" i="1"/>
  <c r="G518" i="1"/>
  <c r="F518" i="1"/>
  <c r="E518" i="1"/>
  <c r="D518" i="1"/>
  <c r="J517" i="1"/>
  <c r="I517" i="1"/>
  <c r="H517" i="1"/>
  <c r="G517" i="1"/>
  <c r="F517" i="1"/>
  <c r="E517" i="1"/>
  <c r="D517" i="1"/>
  <c r="J516" i="1"/>
  <c r="I516" i="1"/>
  <c r="H516" i="1"/>
  <c r="G516" i="1"/>
  <c r="F516" i="1"/>
  <c r="E516" i="1"/>
  <c r="D516" i="1"/>
  <c r="J515" i="1"/>
  <c r="I515" i="1"/>
  <c r="H515" i="1"/>
  <c r="G515" i="1"/>
  <c r="F515" i="1"/>
  <c r="E515" i="1"/>
  <c r="D515" i="1"/>
  <c r="J514" i="1"/>
  <c r="I514" i="1"/>
  <c r="H514" i="1"/>
  <c r="G514" i="1"/>
  <c r="F514" i="1"/>
  <c r="E514" i="1"/>
  <c r="D514" i="1"/>
  <c r="J513" i="1"/>
  <c r="I513" i="1"/>
  <c r="H513" i="1"/>
  <c r="G513" i="1"/>
  <c r="F513" i="1"/>
  <c r="E513" i="1"/>
  <c r="D513" i="1"/>
  <c r="J512" i="1"/>
  <c r="I512" i="1"/>
  <c r="H512" i="1"/>
  <c r="G512" i="1"/>
  <c r="F512" i="1"/>
  <c r="E512" i="1"/>
  <c r="D512" i="1"/>
  <c r="J511" i="1"/>
  <c r="I511" i="1"/>
  <c r="H511" i="1"/>
  <c r="G511" i="1"/>
  <c r="F511" i="1"/>
  <c r="E511" i="1"/>
  <c r="D511" i="1"/>
  <c r="J510" i="1"/>
  <c r="I510" i="1"/>
  <c r="H510" i="1"/>
  <c r="G510" i="1"/>
  <c r="F510" i="1"/>
  <c r="E510" i="1"/>
  <c r="D510" i="1"/>
  <c r="J509" i="1"/>
  <c r="H509" i="1"/>
  <c r="F509" i="1"/>
  <c r="D509" i="1"/>
  <c r="J508" i="1"/>
  <c r="H508" i="1"/>
  <c r="F508" i="1"/>
  <c r="D508" i="1"/>
  <c r="J507" i="1"/>
  <c r="I507" i="1"/>
  <c r="H507" i="1"/>
  <c r="G507" i="1"/>
  <c r="F507" i="1"/>
  <c r="E507" i="1"/>
  <c r="D507" i="1"/>
  <c r="J506" i="1"/>
  <c r="I506" i="1"/>
  <c r="H506" i="1"/>
  <c r="G506" i="1"/>
  <c r="F506" i="1"/>
  <c r="E506" i="1"/>
  <c r="D506" i="1"/>
  <c r="J505" i="1"/>
  <c r="I505" i="1"/>
  <c r="H505" i="1"/>
  <c r="G505" i="1"/>
  <c r="F505" i="1"/>
  <c r="E505" i="1"/>
  <c r="D505" i="1"/>
  <c r="J504" i="1"/>
  <c r="I504" i="1"/>
  <c r="H504" i="1"/>
  <c r="G504" i="1"/>
  <c r="F504" i="1"/>
  <c r="E504" i="1"/>
  <c r="D504" i="1"/>
  <c r="J503" i="1"/>
  <c r="I503" i="1"/>
  <c r="H503" i="1"/>
  <c r="G503" i="1"/>
  <c r="F503" i="1"/>
  <c r="E503" i="1"/>
  <c r="D503" i="1"/>
  <c r="J502" i="1"/>
  <c r="I502" i="1"/>
  <c r="H502" i="1"/>
  <c r="G502" i="1"/>
  <c r="F502" i="1"/>
  <c r="E502" i="1"/>
  <c r="D502" i="1"/>
  <c r="J501" i="1"/>
  <c r="I501" i="1"/>
  <c r="H501" i="1"/>
  <c r="G501" i="1"/>
  <c r="F501" i="1"/>
  <c r="E501" i="1"/>
  <c r="D501" i="1"/>
  <c r="J500" i="1"/>
  <c r="I500" i="1"/>
  <c r="H500" i="1"/>
  <c r="G500" i="1"/>
  <c r="F500" i="1"/>
  <c r="E500" i="1"/>
  <c r="D500" i="1"/>
  <c r="J499" i="1"/>
  <c r="I499" i="1"/>
  <c r="H499" i="1"/>
  <c r="G499" i="1"/>
  <c r="F499" i="1"/>
  <c r="E499" i="1"/>
  <c r="D499" i="1"/>
  <c r="J498" i="1"/>
  <c r="I498" i="1"/>
  <c r="H498" i="1"/>
  <c r="G498" i="1"/>
  <c r="F498" i="1"/>
  <c r="E498" i="1"/>
  <c r="D498" i="1"/>
  <c r="J497" i="1"/>
  <c r="I497" i="1"/>
  <c r="H497" i="1"/>
  <c r="G497" i="1"/>
  <c r="F497" i="1"/>
  <c r="E497" i="1"/>
  <c r="D497" i="1"/>
  <c r="J496" i="1"/>
  <c r="I496" i="1"/>
  <c r="H496" i="1"/>
  <c r="G496" i="1"/>
  <c r="F496" i="1"/>
  <c r="E496" i="1"/>
  <c r="D496" i="1"/>
  <c r="J495" i="1"/>
  <c r="H495" i="1"/>
  <c r="F495" i="1"/>
  <c r="D495" i="1"/>
  <c r="J494" i="1"/>
  <c r="I494" i="1"/>
  <c r="H494" i="1"/>
  <c r="G494" i="1"/>
  <c r="F494" i="1"/>
  <c r="E494" i="1"/>
  <c r="D494" i="1"/>
  <c r="J493" i="1"/>
  <c r="I493" i="1"/>
  <c r="H493" i="1"/>
  <c r="G493" i="1"/>
  <c r="F493" i="1"/>
  <c r="E493" i="1"/>
  <c r="D493" i="1"/>
  <c r="J492" i="1"/>
  <c r="I492" i="1"/>
  <c r="H492" i="1"/>
  <c r="G492" i="1"/>
  <c r="F492" i="1"/>
  <c r="E492" i="1"/>
  <c r="D492" i="1"/>
  <c r="J491" i="1"/>
  <c r="I491" i="1"/>
  <c r="H491" i="1"/>
  <c r="G491" i="1"/>
  <c r="F491" i="1"/>
  <c r="E491" i="1"/>
  <c r="D491" i="1"/>
  <c r="J490" i="1"/>
  <c r="I490" i="1"/>
  <c r="H490" i="1"/>
  <c r="G490" i="1"/>
  <c r="F490" i="1"/>
  <c r="E490" i="1"/>
  <c r="D490" i="1"/>
  <c r="J489" i="1"/>
  <c r="I489" i="1"/>
  <c r="H489" i="1"/>
  <c r="G489" i="1"/>
  <c r="F489" i="1"/>
  <c r="E489" i="1"/>
  <c r="D489" i="1"/>
  <c r="J488" i="1"/>
  <c r="I488" i="1"/>
  <c r="H488" i="1"/>
  <c r="G488" i="1"/>
  <c r="F488" i="1"/>
  <c r="E488" i="1"/>
  <c r="D488" i="1"/>
  <c r="J487" i="1"/>
  <c r="I487" i="1"/>
  <c r="H487" i="1"/>
  <c r="G487" i="1"/>
  <c r="F487" i="1"/>
  <c r="E487" i="1"/>
  <c r="D487" i="1"/>
  <c r="J486" i="1"/>
  <c r="I486" i="1"/>
  <c r="H486" i="1"/>
  <c r="G486" i="1"/>
  <c r="F486" i="1"/>
  <c r="E486" i="1"/>
  <c r="D486" i="1"/>
  <c r="J485" i="1"/>
  <c r="I485" i="1"/>
  <c r="H485" i="1"/>
  <c r="G485" i="1"/>
  <c r="F485" i="1"/>
  <c r="E485" i="1"/>
  <c r="D485" i="1"/>
  <c r="J484" i="1"/>
  <c r="I484" i="1"/>
  <c r="H484" i="1"/>
  <c r="G484" i="1"/>
  <c r="F484" i="1"/>
  <c r="E484" i="1"/>
  <c r="D484" i="1"/>
  <c r="J483" i="1"/>
  <c r="I483" i="1"/>
  <c r="H483" i="1"/>
  <c r="G483" i="1"/>
  <c r="F483" i="1"/>
  <c r="E483" i="1"/>
  <c r="D483" i="1"/>
  <c r="J482" i="1"/>
  <c r="H482" i="1"/>
  <c r="F482" i="1"/>
  <c r="D482" i="1"/>
  <c r="J481" i="1"/>
  <c r="I481" i="1"/>
  <c r="H481" i="1"/>
  <c r="G481" i="1"/>
  <c r="F481" i="1"/>
  <c r="E481" i="1"/>
  <c r="D481" i="1"/>
  <c r="J480" i="1"/>
  <c r="I480" i="1"/>
  <c r="H480" i="1"/>
  <c r="G480" i="1"/>
  <c r="F480" i="1"/>
  <c r="E480" i="1"/>
  <c r="D480" i="1"/>
  <c r="J479" i="1"/>
  <c r="I479" i="1"/>
  <c r="H479" i="1"/>
  <c r="G479" i="1"/>
  <c r="F479" i="1"/>
  <c r="E479" i="1"/>
  <c r="D479" i="1"/>
  <c r="J478" i="1"/>
  <c r="I478" i="1"/>
  <c r="H478" i="1"/>
  <c r="G478" i="1"/>
  <c r="F478" i="1"/>
  <c r="E478" i="1"/>
  <c r="D478" i="1"/>
  <c r="J477" i="1"/>
  <c r="I477" i="1"/>
  <c r="H477" i="1"/>
  <c r="G477" i="1"/>
  <c r="F477" i="1"/>
  <c r="E477" i="1"/>
  <c r="D477" i="1"/>
  <c r="J476" i="1"/>
  <c r="I476" i="1"/>
  <c r="H476" i="1"/>
  <c r="G476" i="1"/>
  <c r="F476" i="1"/>
  <c r="E476" i="1"/>
  <c r="D476" i="1"/>
  <c r="J475" i="1"/>
  <c r="I475" i="1"/>
  <c r="H475" i="1"/>
  <c r="G475" i="1"/>
  <c r="F475" i="1"/>
  <c r="E475" i="1"/>
  <c r="D475" i="1"/>
  <c r="J474" i="1"/>
  <c r="H474" i="1"/>
  <c r="F474" i="1"/>
  <c r="D474" i="1"/>
  <c r="J473" i="1"/>
  <c r="I473" i="1"/>
  <c r="H473" i="1"/>
  <c r="G473" i="1"/>
  <c r="F473" i="1"/>
  <c r="E473" i="1"/>
  <c r="D473" i="1"/>
  <c r="J472" i="1"/>
  <c r="I472" i="1"/>
  <c r="H472" i="1"/>
  <c r="G472" i="1"/>
  <c r="F472" i="1"/>
  <c r="E472" i="1"/>
  <c r="D472" i="1"/>
  <c r="J471" i="1"/>
  <c r="I471" i="1"/>
  <c r="H471" i="1"/>
  <c r="G471" i="1"/>
  <c r="F471" i="1"/>
  <c r="E471" i="1"/>
  <c r="D471" i="1"/>
  <c r="J470" i="1"/>
  <c r="I470" i="1"/>
  <c r="H470" i="1"/>
  <c r="G470" i="1"/>
  <c r="F470" i="1"/>
  <c r="E470" i="1"/>
  <c r="D470" i="1"/>
  <c r="J469" i="1"/>
  <c r="I469" i="1"/>
  <c r="H469" i="1"/>
  <c r="G469" i="1"/>
  <c r="F469" i="1"/>
  <c r="E469" i="1"/>
  <c r="D469" i="1"/>
  <c r="J468" i="1"/>
  <c r="I468" i="1"/>
  <c r="H468" i="1"/>
  <c r="G468" i="1"/>
  <c r="F468" i="1"/>
  <c r="E468" i="1"/>
  <c r="D468" i="1"/>
  <c r="J467" i="1"/>
  <c r="I467" i="1"/>
  <c r="H467" i="1"/>
  <c r="G467" i="1"/>
  <c r="F467" i="1"/>
  <c r="E467" i="1"/>
  <c r="D467" i="1"/>
  <c r="J466" i="1"/>
  <c r="I466" i="1"/>
  <c r="H466" i="1"/>
  <c r="G466" i="1"/>
  <c r="F466" i="1"/>
  <c r="E466" i="1"/>
  <c r="D466" i="1"/>
  <c r="J465" i="1"/>
  <c r="I465" i="1"/>
  <c r="H465" i="1"/>
  <c r="G465" i="1"/>
  <c r="F465" i="1"/>
  <c r="E465" i="1"/>
  <c r="D465" i="1"/>
  <c r="J464" i="1"/>
  <c r="I464" i="1"/>
  <c r="H464" i="1"/>
  <c r="G464" i="1"/>
  <c r="F464" i="1"/>
  <c r="E464" i="1"/>
  <c r="D464" i="1"/>
  <c r="J463" i="1"/>
  <c r="I463" i="1"/>
  <c r="H463" i="1"/>
  <c r="G463" i="1"/>
  <c r="F463" i="1"/>
  <c r="E463" i="1"/>
  <c r="D463" i="1"/>
  <c r="J462" i="1"/>
  <c r="I462" i="1"/>
  <c r="H462" i="1"/>
  <c r="G462" i="1"/>
  <c r="F462" i="1"/>
  <c r="E462" i="1"/>
  <c r="D462" i="1"/>
  <c r="J461" i="1"/>
  <c r="I461" i="1"/>
  <c r="H461" i="1"/>
  <c r="G461" i="1"/>
  <c r="F461" i="1"/>
  <c r="E461" i="1"/>
  <c r="D461" i="1"/>
  <c r="J460" i="1"/>
  <c r="I460" i="1"/>
  <c r="H460" i="1"/>
  <c r="G460" i="1"/>
  <c r="F460" i="1"/>
  <c r="E460" i="1"/>
  <c r="D460" i="1"/>
  <c r="J459" i="1"/>
  <c r="I459" i="1"/>
  <c r="H459" i="1"/>
  <c r="G459" i="1"/>
  <c r="F459" i="1"/>
  <c r="E459" i="1"/>
  <c r="D459" i="1"/>
  <c r="J458" i="1"/>
  <c r="I458" i="1"/>
  <c r="H458" i="1"/>
  <c r="G458" i="1"/>
  <c r="F458" i="1"/>
  <c r="E458" i="1"/>
  <c r="D458" i="1"/>
  <c r="J457" i="1"/>
  <c r="I457" i="1"/>
  <c r="H457" i="1"/>
  <c r="G457" i="1"/>
  <c r="F457" i="1"/>
  <c r="E457" i="1"/>
  <c r="D457" i="1"/>
  <c r="J456" i="1"/>
  <c r="H456" i="1"/>
  <c r="F456" i="1"/>
  <c r="D456" i="1"/>
  <c r="J455" i="1"/>
  <c r="I455" i="1"/>
  <c r="H455" i="1"/>
  <c r="G455" i="1"/>
  <c r="F455" i="1"/>
  <c r="E455" i="1"/>
  <c r="D455" i="1"/>
  <c r="J454" i="1"/>
  <c r="I454" i="1"/>
  <c r="H454" i="1"/>
  <c r="G454" i="1"/>
  <c r="F454" i="1"/>
  <c r="E454" i="1"/>
  <c r="D454" i="1"/>
  <c r="J453" i="1"/>
  <c r="H453" i="1"/>
  <c r="F453" i="1"/>
  <c r="D453" i="1"/>
  <c r="J452" i="1"/>
  <c r="I452" i="1"/>
  <c r="H452" i="1"/>
  <c r="G452" i="1"/>
  <c r="F452" i="1"/>
  <c r="E452" i="1"/>
  <c r="D452" i="1"/>
  <c r="J451" i="1"/>
  <c r="H451" i="1"/>
  <c r="F451" i="1"/>
  <c r="D451" i="1"/>
  <c r="J450" i="1"/>
  <c r="I450" i="1"/>
  <c r="H450" i="1"/>
  <c r="G450" i="1"/>
  <c r="F450" i="1"/>
  <c r="E450" i="1"/>
  <c r="D450" i="1"/>
  <c r="J449" i="1"/>
  <c r="I449" i="1"/>
  <c r="H449" i="1"/>
  <c r="G449" i="1"/>
  <c r="F449" i="1"/>
  <c r="E449" i="1"/>
  <c r="D449" i="1"/>
  <c r="J448" i="1"/>
  <c r="I448" i="1"/>
  <c r="H448" i="1"/>
  <c r="G448" i="1"/>
  <c r="F448" i="1"/>
  <c r="E448" i="1"/>
  <c r="D448" i="1"/>
  <c r="J447" i="1"/>
  <c r="I447" i="1"/>
  <c r="H447" i="1"/>
  <c r="G447" i="1"/>
  <c r="F447" i="1"/>
  <c r="E447" i="1"/>
  <c r="D447" i="1"/>
  <c r="J446" i="1"/>
  <c r="I446" i="1"/>
  <c r="H446" i="1"/>
  <c r="G446" i="1"/>
  <c r="F446" i="1"/>
  <c r="E446" i="1"/>
  <c r="D446" i="1"/>
  <c r="J445" i="1"/>
  <c r="I445" i="1"/>
  <c r="H445" i="1"/>
  <c r="G445" i="1"/>
  <c r="F445" i="1"/>
  <c r="E445" i="1"/>
  <c r="D445" i="1"/>
  <c r="J444" i="1"/>
  <c r="I444" i="1"/>
  <c r="H444" i="1"/>
  <c r="G444" i="1"/>
  <c r="F444" i="1"/>
  <c r="E444" i="1"/>
  <c r="D444" i="1"/>
  <c r="J443" i="1"/>
  <c r="I443" i="1"/>
  <c r="H443" i="1"/>
  <c r="G443" i="1"/>
  <c r="F443" i="1"/>
  <c r="E443" i="1"/>
  <c r="D443" i="1"/>
  <c r="J442" i="1"/>
  <c r="I442" i="1"/>
  <c r="H442" i="1"/>
  <c r="G442" i="1"/>
  <c r="F442" i="1"/>
  <c r="E442" i="1"/>
  <c r="D442" i="1"/>
  <c r="J441" i="1"/>
  <c r="I441" i="1"/>
  <c r="H441" i="1"/>
  <c r="G441" i="1"/>
  <c r="F441" i="1"/>
  <c r="E441" i="1"/>
  <c r="D441" i="1"/>
  <c r="J440" i="1"/>
  <c r="I440" i="1"/>
  <c r="H440" i="1"/>
  <c r="G440" i="1"/>
  <c r="F440" i="1"/>
  <c r="E440" i="1"/>
  <c r="D440" i="1"/>
  <c r="J439" i="1"/>
  <c r="I439" i="1"/>
  <c r="H439" i="1"/>
  <c r="G439" i="1"/>
  <c r="F439" i="1"/>
  <c r="E439" i="1"/>
  <c r="D439" i="1"/>
  <c r="J438" i="1"/>
  <c r="I438" i="1"/>
  <c r="H438" i="1"/>
  <c r="G438" i="1"/>
  <c r="F438" i="1"/>
  <c r="E438" i="1"/>
  <c r="D438" i="1"/>
  <c r="J437" i="1"/>
  <c r="I437" i="1"/>
  <c r="H437" i="1"/>
  <c r="G437" i="1"/>
  <c r="F437" i="1"/>
  <c r="E437" i="1"/>
  <c r="D437" i="1"/>
  <c r="J436" i="1"/>
  <c r="I436" i="1"/>
  <c r="H436" i="1"/>
  <c r="G436" i="1"/>
  <c r="F436" i="1"/>
  <c r="E436" i="1"/>
  <c r="D436" i="1"/>
  <c r="J435" i="1"/>
  <c r="H435" i="1"/>
  <c r="F435" i="1"/>
  <c r="D435" i="1"/>
  <c r="J434" i="1"/>
  <c r="I434" i="1"/>
  <c r="H434" i="1"/>
  <c r="G434" i="1"/>
  <c r="F434" i="1"/>
  <c r="E434" i="1"/>
  <c r="D434" i="1"/>
  <c r="J433" i="1"/>
  <c r="I433" i="1"/>
  <c r="H433" i="1"/>
  <c r="G433" i="1"/>
  <c r="F433" i="1"/>
  <c r="E433" i="1"/>
  <c r="D433" i="1"/>
  <c r="J432" i="1"/>
  <c r="I432" i="1"/>
  <c r="H432" i="1"/>
  <c r="G432" i="1"/>
  <c r="F432" i="1"/>
  <c r="E432" i="1"/>
  <c r="D432" i="1"/>
  <c r="J431" i="1"/>
  <c r="I431" i="1"/>
  <c r="H431" i="1"/>
  <c r="G431" i="1"/>
  <c r="F431" i="1"/>
  <c r="E431" i="1"/>
  <c r="D431" i="1"/>
  <c r="J430" i="1"/>
  <c r="I430" i="1"/>
  <c r="H430" i="1"/>
  <c r="G430" i="1"/>
  <c r="F430" i="1"/>
  <c r="E430" i="1"/>
  <c r="D430" i="1"/>
  <c r="J429" i="1"/>
  <c r="I429" i="1"/>
  <c r="H429" i="1"/>
  <c r="G429" i="1"/>
  <c r="F429" i="1"/>
  <c r="E429" i="1"/>
  <c r="D429" i="1"/>
  <c r="J428" i="1"/>
  <c r="I428" i="1"/>
  <c r="H428" i="1"/>
  <c r="G428" i="1"/>
  <c r="F428" i="1"/>
  <c r="E428" i="1"/>
  <c r="D428" i="1"/>
  <c r="J427" i="1"/>
  <c r="I427" i="1"/>
  <c r="H427" i="1"/>
  <c r="G427" i="1"/>
  <c r="F427" i="1"/>
  <c r="E427" i="1"/>
  <c r="D427" i="1"/>
  <c r="J426" i="1"/>
  <c r="I426" i="1"/>
  <c r="H426" i="1"/>
  <c r="G426" i="1"/>
  <c r="F426" i="1"/>
  <c r="E426" i="1"/>
  <c r="D426" i="1"/>
  <c r="J425" i="1"/>
  <c r="I425" i="1"/>
  <c r="H425" i="1"/>
  <c r="G425" i="1"/>
  <c r="F425" i="1"/>
  <c r="E425" i="1"/>
  <c r="D425" i="1"/>
  <c r="J424" i="1"/>
  <c r="I424" i="1"/>
  <c r="H424" i="1"/>
  <c r="G424" i="1"/>
  <c r="F424" i="1"/>
  <c r="E424" i="1"/>
  <c r="D424" i="1"/>
  <c r="J423" i="1"/>
  <c r="I423" i="1"/>
  <c r="H423" i="1"/>
  <c r="G423" i="1"/>
  <c r="F423" i="1"/>
  <c r="E423" i="1"/>
  <c r="D423" i="1"/>
  <c r="J422" i="1"/>
  <c r="I422" i="1"/>
  <c r="H422" i="1"/>
  <c r="G422" i="1"/>
  <c r="F422" i="1"/>
  <c r="E422" i="1"/>
  <c r="D422" i="1"/>
  <c r="J421" i="1"/>
  <c r="I421" i="1"/>
  <c r="H421" i="1"/>
  <c r="G421" i="1"/>
  <c r="F421" i="1"/>
  <c r="E421" i="1"/>
  <c r="D421" i="1"/>
  <c r="J420" i="1"/>
  <c r="I420" i="1"/>
  <c r="H420" i="1"/>
  <c r="G420" i="1"/>
  <c r="F420" i="1"/>
  <c r="E420" i="1"/>
  <c r="D420" i="1"/>
  <c r="J419" i="1"/>
  <c r="I419" i="1"/>
  <c r="H419" i="1"/>
  <c r="G419" i="1"/>
  <c r="F419" i="1"/>
  <c r="E419" i="1"/>
  <c r="D419" i="1"/>
  <c r="J418" i="1"/>
  <c r="I418" i="1"/>
  <c r="H418" i="1"/>
  <c r="G418" i="1"/>
  <c r="F418" i="1"/>
  <c r="E418" i="1"/>
  <c r="D418" i="1"/>
  <c r="J417" i="1"/>
  <c r="I417" i="1"/>
  <c r="H417" i="1"/>
  <c r="G417" i="1"/>
  <c r="F417" i="1"/>
  <c r="E417" i="1"/>
  <c r="D417" i="1"/>
  <c r="J416" i="1"/>
  <c r="I416" i="1"/>
  <c r="H416" i="1"/>
  <c r="G416" i="1"/>
  <c r="F416" i="1"/>
  <c r="E416" i="1"/>
  <c r="D416" i="1"/>
  <c r="J415" i="1"/>
  <c r="I415" i="1"/>
  <c r="H415" i="1"/>
  <c r="G415" i="1"/>
  <c r="F415" i="1"/>
  <c r="E415" i="1"/>
  <c r="D415" i="1"/>
  <c r="J414" i="1"/>
  <c r="I414" i="1"/>
  <c r="H414" i="1"/>
  <c r="G414" i="1"/>
  <c r="F414" i="1"/>
  <c r="E414" i="1"/>
  <c r="D414" i="1"/>
  <c r="J413" i="1"/>
  <c r="I413" i="1"/>
  <c r="H413" i="1"/>
  <c r="G413" i="1"/>
  <c r="F413" i="1"/>
  <c r="E413" i="1"/>
  <c r="D413" i="1"/>
  <c r="J412" i="1"/>
  <c r="I412" i="1"/>
  <c r="H412" i="1"/>
  <c r="G412" i="1"/>
  <c r="F412" i="1"/>
  <c r="E412" i="1"/>
  <c r="D412" i="1"/>
  <c r="J411" i="1"/>
  <c r="I411" i="1"/>
  <c r="H411" i="1"/>
  <c r="G411" i="1"/>
  <c r="F411" i="1"/>
  <c r="E411" i="1"/>
  <c r="D411" i="1"/>
  <c r="J410" i="1"/>
  <c r="I410" i="1"/>
  <c r="H410" i="1"/>
  <c r="G410" i="1"/>
  <c r="F410" i="1"/>
  <c r="E410" i="1"/>
  <c r="D410" i="1"/>
  <c r="J409" i="1"/>
  <c r="I409" i="1"/>
  <c r="H409" i="1"/>
  <c r="G409" i="1"/>
  <c r="F409" i="1"/>
  <c r="E409" i="1"/>
  <c r="D409" i="1"/>
  <c r="J408" i="1"/>
  <c r="I408" i="1"/>
  <c r="H408" i="1"/>
  <c r="G408" i="1"/>
  <c r="F408" i="1"/>
  <c r="E408" i="1"/>
  <c r="D408" i="1"/>
  <c r="J407" i="1"/>
  <c r="I407" i="1"/>
  <c r="H407" i="1"/>
  <c r="G407" i="1"/>
  <c r="F407" i="1"/>
  <c r="E407" i="1"/>
  <c r="D407" i="1"/>
  <c r="J406" i="1"/>
  <c r="I406" i="1"/>
  <c r="H406" i="1"/>
  <c r="G406" i="1"/>
  <c r="F406" i="1"/>
  <c r="E406" i="1"/>
  <c r="D406" i="1"/>
  <c r="J405" i="1"/>
  <c r="H405" i="1"/>
  <c r="F405" i="1"/>
  <c r="D405" i="1"/>
  <c r="J404" i="1"/>
  <c r="I404" i="1"/>
  <c r="H404" i="1"/>
  <c r="G404" i="1"/>
  <c r="F404" i="1"/>
  <c r="E404" i="1"/>
  <c r="D404" i="1"/>
  <c r="J403" i="1"/>
  <c r="I403" i="1"/>
  <c r="H403" i="1"/>
  <c r="G403" i="1"/>
  <c r="F403" i="1"/>
  <c r="E403" i="1"/>
  <c r="D403" i="1"/>
  <c r="J402" i="1"/>
  <c r="I402" i="1"/>
  <c r="H402" i="1"/>
  <c r="G402" i="1"/>
  <c r="F402" i="1"/>
  <c r="E402" i="1"/>
  <c r="D402" i="1"/>
  <c r="J401" i="1"/>
  <c r="I401" i="1"/>
  <c r="H401" i="1"/>
  <c r="G401" i="1"/>
  <c r="F401" i="1"/>
  <c r="E401" i="1"/>
  <c r="D401" i="1"/>
  <c r="J400" i="1"/>
  <c r="I400" i="1"/>
  <c r="H400" i="1"/>
  <c r="G400" i="1"/>
  <c r="F400" i="1"/>
  <c r="E400" i="1"/>
  <c r="D400" i="1"/>
  <c r="J399" i="1"/>
  <c r="I399" i="1"/>
  <c r="H399" i="1"/>
  <c r="G399" i="1"/>
  <c r="F399" i="1"/>
  <c r="E399" i="1"/>
  <c r="D399" i="1"/>
  <c r="J398" i="1"/>
  <c r="I398" i="1"/>
  <c r="H398" i="1"/>
  <c r="G398" i="1"/>
  <c r="F398" i="1"/>
  <c r="E398" i="1"/>
  <c r="D398" i="1"/>
  <c r="J397" i="1"/>
  <c r="I397" i="1"/>
  <c r="H397" i="1"/>
  <c r="G397" i="1"/>
  <c r="F397" i="1"/>
  <c r="E397" i="1"/>
  <c r="D397" i="1"/>
  <c r="J396" i="1"/>
  <c r="I396" i="1"/>
  <c r="H396" i="1"/>
  <c r="G396" i="1"/>
  <c r="F396" i="1"/>
  <c r="E396" i="1"/>
  <c r="D396" i="1"/>
  <c r="J395" i="1"/>
  <c r="I395" i="1"/>
  <c r="H395" i="1"/>
  <c r="G395" i="1"/>
  <c r="F395" i="1"/>
  <c r="E395" i="1"/>
  <c r="D395" i="1"/>
  <c r="J394" i="1"/>
  <c r="I394" i="1"/>
  <c r="H394" i="1"/>
  <c r="G394" i="1"/>
  <c r="F394" i="1"/>
  <c r="E394" i="1"/>
  <c r="D394" i="1"/>
  <c r="J393" i="1"/>
  <c r="I393" i="1"/>
  <c r="H393" i="1"/>
  <c r="G393" i="1"/>
  <c r="F393" i="1"/>
  <c r="E393" i="1"/>
  <c r="D393" i="1"/>
  <c r="J392" i="1"/>
  <c r="I392" i="1"/>
  <c r="H392" i="1"/>
  <c r="G392" i="1"/>
  <c r="F392" i="1"/>
  <c r="E392" i="1"/>
  <c r="D392" i="1"/>
  <c r="J391" i="1"/>
  <c r="I391" i="1"/>
  <c r="H391" i="1"/>
  <c r="G391" i="1"/>
  <c r="F391" i="1"/>
  <c r="E391" i="1"/>
  <c r="D391" i="1"/>
  <c r="J390" i="1"/>
  <c r="I390" i="1"/>
  <c r="H390" i="1"/>
  <c r="G390" i="1"/>
  <c r="F390" i="1"/>
  <c r="E390" i="1"/>
  <c r="D390" i="1"/>
  <c r="J389" i="1"/>
  <c r="I389" i="1"/>
  <c r="H389" i="1"/>
  <c r="G389" i="1"/>
  <c r="F389" i="1"/>
  <c r="E389" i="1"/>
  <c r="D389" i="1"/>
  <c r="J388" i="1"/>
  <c r="I388" i="1"/>
  <c r="H388" i="1"/>
  <c r="G388" i="1"/>
  <c r="F388" i="1"/>
  <c r="E388" i="1"/>
  <c r="D388" i="1"/>
  <c r="J387" i="1"/>
  <c r="I387" i="1"/>
  <c r="H387" i="1"/>
  <c r="G387" i="1"/>
  <c r="F387" i="1"/>
  <c r="E387" i="1"/>
  <c r="D387" i="1"/>
  <c r="J386" i="1"/>
  <c r="I386" i="1"/>
  <c r="H386" i="1"/>
  <c r="G386" i="1"/>
  <c r="F386" i="1"/>
  <c r="E386" i="1"/>
  <c r="D386" i="1"/>
  <c r="J385" i="1"/>
  <c r="H385" i="1"/>
  <c r="F385" i="1"/>
  <c r="D385" i="1"/>
  <c r="J384" i="1"/>
  <c r="I384" i="1"/>
  <c r="H384" i="1"/>
  <c r="G384" i="1"/>
  <c r="F384" i="1"/>
  <c r="E384" i="1"/>
  <c r="D384" i="1"/>
  <c r="J383" i="1"/>
  <c r="I383" i="1"/>
  <c r="H383" i="1"/>
  <c r="G383" i="1"/>
  <c r="F383" i="1"/>
  <c r="E383" i="1"/>
  <c r="D383" i="1"/>
  <c r="J382" i="1"/>
  <c r="H382" i="1"/>
  <c r="F382" i="1"/>
  <c r="D382" i="1"/>
  <c r="J381" i="1"/>
  <c r="I381" i="1"/>
  <c r="H381" i="1"/>
  <c r="G381" i="1"/>
  <c r="F381" i="1"/>
  <c r="E381" i="1"/>
  <c r="D381" i="1"/>
  <c r="J380" i="1"/>
  <c r="H380" i="1"/>
  <c r="F380" i="1"/>
  <c r="D380" i="1"/>
  <c r="J379" i="1"/>
  <c r="I379" i="1"/>
  <c r="H379" i="1"/>
  <c r="G379" i="1"/>
  <c r="F379" i="1"/>
  <c r="E379" i="1"/>
  <c r="D379" i="1"/>
  <c r="J378" i="1"/>
  <c r="I378" i="1"/>
  <c r="H378" i="1"/>
  <c r="G378" i="1"/>
  <c r="F378" i="1"/>
  <c r="E378" i="1"/>
  <c r="D378" i="1"/>
  <c r="J377" i="1"/>
  <c r="I377" i="1"/>
  <c r="H377" i="1"/>
  <c r="G377" i="1"/>
  <c r="F377" i="1"/>
  <c r="E377" i="1"/>
  <c r="D377" i="1"/>
  <c r="J376" i="1"/>
  <c r="I376" i="1"/>
  <c r="H376" i="1"/>
  <c r="G376" i="1"/>
  <c r="F376" i="1"/>
  <c r="E376" i="1"/>
  <c r="D376" i="1"/>
  <c r="J375" i="1"/>
  <c r="I375" i="1"/>
  <c r="H375" i="1"/>
  <c r="G375" i="1"/>
  <c r="F375" i="1"/>
  <c r="E375" i="1"/>
  <c r="D375" i="1"/>
  <c r="J374" i="1"/>
  <c r="I374" i="1"/>
  <c r="H374" i="1"/>
  <c r="G374" i="1"/>
  <c r="F374" i="1"/>
  <c r="E374" i="1"/>
  <c r="D374" i="1"/>
  <c r="J373" i="1"/>
  <c r="I373" i="1"/>
  <c r="H373" i="1"/>
  <c r="G373" i="1"/>
  <c r="F373" i="1"/>
  <c r="E373" i="1"/>
  <c r="D373" i="1"/>
  <c r="J372" i="1"/>
  <c r="H372" i="1"/>
  <c r="F372" i="1"/>
  <c r="D372" i="1"/>
  <c r="J371" i="1"/>
  <c r="I371" i="1"/>
  <c r="H371" i="1"/>
  <c r="G371" i="1"/>
  <c r="F371" i="1"/>
  <c r="E371" i="1"/>
  <c r="D371" i="1"/>
  <c r="J370" i="1"/>
  <c r="I370" i="1"/>
  <c r="H370" i="1"/>
  <c r="G370" i="1"/>
  <c r="F370" i="1"/>
  <c r="E370" i="1"/>
  <c r="D370" i="1"/>
  <c r="J369" i="1"/>
  <c r="I369" i="1"/>
  <c r="H369" i="1"/>
  <c r="G369" i="1"/>
  <c r="F369" i="1"/>
  <c r="E369" i="1"/>
  <c r="D369" i="1"/>
  <c r="J368" i="1"/>
  <c r="I368" i="1"/>
  <c r="H368" i="1"/>
  <c r="G368" i="1"/>
  <c r="F368" i="1"/>
  <c r="E368" i="1"/>
  <c r="D368" i="1"/>
  <c r="J367" i="1"/>
  <c r="H367" i="1"/>
  <c r="F367" i="1"/>
  <c r="D367" i="1"/>
  <c r="J366" i="1"/>
  <c r="I366" i="1"/>
  <c r="H366" i="1"/>
  <c r="G366" i="1"/>
  <c r="F366" i="1"/>
  <c r="E366" i="1"/>
  <c r="D366" i="1"/>
  <c r="J365" i="1"/>
  <c r="I365" i="1"/>
  <c r="H365" i="1"/>
  <c r="G365" i="1"/>
  <c r="F365" i="1"/>
  <c r="E365" i="1"/>
  <c r="D365" i="1"/>
  <c r="J364" i="1"/>
  <c r="I364" i="1"/>
  <c r="H364" i="1"/>
  <c r="G364" i="1"/>
  <c r="F364" i="1"/>
  <c r="E364" i="1"/>
  <c r="D364" i="1"/>
  <c r="J363" i="1"/>
  <c r="I363" i="1"/>
  <c r="H363" i="1"/>
  <c r="G363" i="1"/>
  <c r="F363" i="1"/>
  <c r="E363" i="1"/>
  <c r="D363" i="1"/>
  <c r="J362" i="1"/>
  <c r="I362" i="1"/>
  <c r="H362" i="1"/>
  <c r="G362" i="1"/>
  <c r="F362" i="1"/>
  <c r="E362" i="1"/>
  <c r="D362" i="1"/>
  <c r="J361" i="1"/>
  <c r="I361" i="1"/>
  <c r="H361" i="1"/>
  <c r="G361" i="1"/>
  <c r="F361" i="1"/>
  <c r="E361" i="1"/>
  <c r="D361" i="1"/>
  <c r="J360" i="1"/>
  <c r="I360" i="1"/>
  <c r="H360" i="1"/>
  <c r="G360" i="1"/>
  <c r="F360" i="1"/>
  <c r="E360" i="1"/>
  <c r="D360" i="1"/>
  <c r="J359" i="1"/>
  <c r="I359" i="1"/>
  <c r="H359" i="1"/>
  <c r="G359" i="1"/>
  <c r="F359" i="1"/>
  <c r="E359" i="1"/>
  <c r="D359" i="1"/>
  <c r="J358" i="1"/>
  <c r="I358" i="1"/>
  <c r="H358" i="1"/>
  <c r="G358" i="1"/>
  <c r="F358" i="1"/>
  <c r="E358" i="1"/>
  <c r="D358" i="1"/>
  <c r="J357" i="1"/>
  <c r="I357" i="1"/>
  <c r="H357" i="1"/>
  <c r="G357" i="1"/>
  <c r="F357" i="1"/>
  <c r="E357" i="1"/>
  <c r="D357" i="1"/>
  <c r="J356" i="1"/>
  <c r="I356" i="1"/>
  <c r="H356" i="1"/>
  <c r="G356" i="1"/>
  <c r="F356" i="1"/>
  <c r="E356" i="1"/>
  <c r="D356" i="1"/>
  <c r="J355" i="1"/>
  <c r="I355" i="1"/>
  <c r="H355" i="1"/>
  <c r="G355" i="1"/>
  <c r="F355" i="1"/>
  <c r="E355" i="1"/>
  <c r="D355" i="1"/>
  <c r="J354" i="1"/>
  <c r="I354" i="1"/>
  <c r="H354" i="1"/>
  <c r="G354" i="1"/>
  <c r="F354" i="1"/>
  <c r="E354" i="1"/>
  <c r="D354" i="1"/>
  <c r="J353" i="1"/>
  <c r="I353" i="1"/>
  <c r="H353" i="1"/>
  <c r="G353" i="1"/>
  <c r="F353" i="1"/>
  <c r="E353" i="1"/>
  <c r="D353" i="1"/>
  <c r="J352" i="1"/>
  <c r="I352" i="1"/>
  <c r="H352" i="1"/>
  <c r="G352" i="1"/>
  <c r="F352" i="1"/>
  <c r="E352" i="1"/>
  <c r="D352" i="1"/>
  <c r="J351" i="1"/>
  <c r="I351" i="1"/>
  <c r="H351" i="1"/>
  <c r="G351" i="1"/>
  <c r="F351" i="1"/>
  <c r="E351" i="1"/>
  <c r="D351" i="1"/>
  <c r="J350" i="1"/>
  <c r="I350" i="1"/>
  <c r="H350" i="1"/>
  <c r="G350" i="1"/>
  <c r="F350" i="1"/>
  <c r="E350" i="1"/>
  <c r="D350" i="1"/>
  <c r="J349" i="1"/>
  <c r="I349" i="1"/>
  <c r="H349" i="1"/>
  <c r="G349" i="1"/>
  <c r="F349" i="1"/>
  <c r="E349" i="1"/>
  <c r="D349" i="1"/>
  <c r="J348" i="1"/>
  <c r="I348" i="1"/>
  <c r="H348" i="1"/>
  <c r="G348" i="1"/>
  <c r="F348" i="1"/>
  <c r="E348" i="1"/>
  <c r="D348" i="1"/>
  <c r="J347" i="1"/>
  <c r="I347" i="1"/>
  <c r="H347" i="1"/>
  <c r="G347" i="1"/>
  <c r="F347" i="1"/>
  <c r="E347" i="1"/>
  <c r="D347" i="1"/>
  <c r="J346" i="1"/>
  <c r="I346" i="1"/>
  <c r="H346" i="1"/>
  <c r="G346" i="1"/>
  <c r="F346" i="1"/>
  <c r="E346" i="1"/>
  <c r="D346" i="1"/>
  <c r="J345" i="1"/>
  <c r="I345" i="1"/>
  <c r="H345" i="1"/>
  <c r="G345" i="1"/>
  <c r="F345" i="1"/>
  <c r="E345" i="1"/>
  <c r="D345" i="1"/>
  <c r="J344" i="1"/>
  <c r="I344" i="1"/>
  <c r="H344" i="1"/>
  <c r="G344" i="1"/>
  <c r="F344" i="1"/>
  <c r="E344" i="1"/>
  <c r="D344" i="1"/>
  <c r="J343" i="1"/>
  <c r="I343" i="1"/>
  <c r="H343" i="1"/>
  <c r="G343" i="1"/>
  <c r="F343" i="1"/>
  <c r="E343" i="1"/>
  <c r="D343" i="1"/>
  <c r="J342" i="1"/>
  <c r="I342" i="1"/>
  <c r="H342" i="1"/>
  <c r="G342" i="1"/>
  <c r="F342" i="1"/>
  <c r="E342" i="1"/>
  <c r="D342" i="1"/>
  <c r="J341" i="1"/>
  <c r="I341" i="1"/>
  <c r="H341" i="1"/>
  <c r="G341" i="1"/>
  <c r="F341" i="1"/>
  <c r="E341" i="1"/>
  <c r="D341" i="1"/>
  <c r="J340" i="1"/>
  <c r="H340" i="1"/>
  <c r="F340" i="1"/>
  <c r="D340" i="1"/>
  <c r="J339" i="1"/>
  <c r="I339" i="1"/>
  <c r="H339" i="1"/>
  <c r="G339" i="1"/>
  <c r="F339" i="1"/>
  <c r="E339" i="1"/>
  <c r="D339" i="1"/>
  <c r="J338" i="1"/>
  <c r="I338" i="1"/>
  <c r="H338" i="1"/>
  <c r="G338" i="1"/>
  <c r="F338" i="1"/>
  <c r="E338" i="1"/>
  <c r="D338" i="1"/>
  <c r="J337" i="1"/>
  <c r="I337" i="1"/>
  <c r="H337" i="1"/>
  <c r="G337" i="1"/>
  <c r="F337" i="1"/>
  <c r="E337" i="1"/>
  <c r="D337" i="1"/>
  <c r="J336" i="1"/>
  <c r="I336" i="1"/>
  <c r="H336" i="1"/>
  <c r="G336" i="1"/>
  <c r="F336" i="1"/>
  <c r="E336" i="1"/>
  <c r="D336" i="1"/>
  <c r="J335" i="1"/>
  <c r="I335" i="1"/>
  <c r="H335" i="1"/>
  <c r="G335" i="1"/>
  <c r="F335" i="1"/>
  <c r="E335" i="1"/>
  <c r="D335" i="1"/>
  <c r="J334" i="1"/>
  <c r="H334" i="1"/>
  <c r="F334" i="1"/>
  <c r="D334" i="1"/>
  <c r="J333" i="1"/>
  <c r="H333" i="1"/>
  <c r="F333" i="1"/>
  <c r="D333" i="1"/>
  <c r="J332" i="1"/>
  <c r="I332" i="1"/>
  <c r="H332" i="1"/>
  <c r="G332" i="1"/>
  <c r="F332" i="1"/>
  <c r="E332" i="1"/>
  <c r="D332" i="1"/>
  <c r="J331" i="1"/>
  <c r="I331" i="1"/>
  <c r="H331" i="1"/>
  <c r="G331" i="1"/>
  <c r="F331" i="1"/>
  <c r="E331" i="1"/>
  <c r="D331" i="1"/>
  <c r="J330" i="1"/>
  <c r="I330" i="1"/>
  <c r="H330" i="1"/>
  <c r="G330" i="1"/>
  <c r="F330" i="1"/>
  <c r="E330" i="1"/>
  <c r="D330" i="1"/>
  <c r="J329" i="1"/>
  <c r="I329" i="1"/>
  <c r="H329" i="1"/>
  <c r="G329" i="1"/>
  <c r="F329" i="1"/>
  <c r="E329" i="1"/>
  <c r="D329" i="1"/>
  <c r="J328" i="1"/>
  <c r="I328" i="1"/>
  <c r="H328" i="1"/>
  <c r="G328" i="1"/>
  <c r="F328" i="1"/>
  <c r="E328" i="1"/>
  <c r="D328" i="1"/>
  <c r="J327" i="1"/>
  <c r="I327" i="1"/>
  <c r="H327" i="1"/>
  <c r="G327" i="1"/>
  <c r="F327" i="1"/>
  <c r="E327" i="1"/>
  <c r="D327" i="1"/>
  <c r="J326" i="1"/>
  <c r="I326" i="1"/>
  <c r="H326" i="1"/>
  <c r="G326" i="1"/>
  <c r="F326" i="1"/>
  <c r="E326" i="1"/>
  <c r="D326" i="1"/>
  <c r="J325" i="1"/>
  <c r="H325" i="1"/>
  <c r="F325" i="1"/>
  <c r="D325" i="1"/>
  <c r="J324" i="1"/>
  <c r="I324" i="1"/>
  <c r="H324" i="1"/>
  <c r="G324" i="1"/>
  <c r="F324" i="1"/>
  <c r="E324" i="1"/>
  <c r="D324" i="1"/>
  <c r="J323" i="1"/>
  <c r="I323" i="1"/>
  <c r="H323" i="1"/>
  <c r="G323" i="1"/>
  <c r="F323" i="1"/>
  <c r="E323" i="1"/>
  <c r="D323" i="1"/>
  <c r="J322" i="1"/>
  <c r="I322" i="1"/>
  <c r="H322" i="1"/>
  <c r="G322" i="1"/>
  <c r="F322" i="1"/>
  <c r="E322" i="1"/>
  <c r="D322" i="1"/>
  <c r="J321" i="1"/>
  <c r="I321" i="1"/>
  <c r="H321" i="1"/>
  <c r="G321" i="1"/>
  <c r="F321" i="1"/>
  <c r="E321" i="1"/>
  <c r="D321" i="1"/>
  <c r="J320" i="1"/>
  <c r="I320" i="1"/>
  <c r="H320" i="1"/>
  <c r="G320" i="1"/>
  <c r="F320" i="1"/>
  <c r="E320" i="1"/>
  <c r="D320" i="1"/>
  <c r="J319" i="1"/>
  <c r="H319" i="1"/>
  <c r="F319" i="1"/>
  <c r="D319" i="1"/>
  <c r="J318" i="1"/>
  <c r="I318" i="1"/>
  <c r="H318" i="1"/>
  <c r="G318" i="1"/>
  <c r="F318" i="1"/>
  <c r="E318" i="1"/>
  <c r="D318" i="1"/>
  <c r="J317" i="1"/>
  <c r="I317" i="1"/>
  <c r="H317" i="1"/>
  <c r="G317" i="1"/>
  <c r="F317" i="1"/>
  <c r="E317" i="1"/>
  <c r="D317" i="1"/>
  <c r="J316" i="1"/>
  <c r="I316" i="1"/>
  <c r="H316" i="1"/>
  <c r="G316" i="1"/>
  <c r="F316" i="1"/>
  <c r="E316" i="1"/>
  <c r="D316" i="1"/>
  <c r="J315" i="1"/>
  <c r="I315" i="1"/>
  <c r="H315" i="1"/>
  <c r="G315" i="1"/>
  <c r="F315" i="1"/>
  <c r="E315" i="1"/>
  <c r="D315" i="1"/>
  <c r="J314" i="1"/>
  <c r="I314" i="1"/>
  <c r="H314" i="1"/>
  <c r="G314" i="1"/>
  <c r="F314" i="1"/>
  <c r="E314" i="1"/>
  <c r="D314" i="1"/>
  <c r="J313" i="1"/>
  <c r="I313" i="1"/>
  <c r="H313" i="1"/>
  <c r="G313" i="1"/>
  <c r="F313" i="1"/>
  <c r="E313" i="1"/>
  <c r="D313" i="1"/>
  <c r="J312" i="1"/>
  <c r="I312" i="1"/>
  <c r="H312" i="1"/>
  <c r="G312" i="1"/>
  <c r="F312" i="1"/>
  <c r="E312" i="1"/>
  <c r="D312" i="1"/>
  <c r="J311" i="1"/>
  <c r="I311" i="1"/>
  <c r="H311" i="1"/>
  <c r="G311" i="1"/>
  <c r="F311" i="1"/>
  <c r="E311" i="1"/>
  <c r="D311" i="1"/>
  <c r="J310" i="1"/>
  <c r="H310" i="1"/>
  <c r="F310" i="1"/>
  <c r="D310" i="1"/>
  <c r="J309" i="1"/>
  <c r="I309" i="1"/>
  <c r="H309" i="1"/>
  <c r="G309" i="1"/>
  <c r="F309" i="1"/>
  <c r="E309" i="1"/>
  <c r="D309" i="1"/>
  <c r="J308" i="1"/>
  <c r="I308" i="1"/>
  <c r="H308" i="1"/>
  <c r="G308" i="1"/>
  <c r="F308" i="1"/>
  <c r="E308" i="1"/>
  <c r="D308" i="1"/>
  <c r="J307" i="1"/>
  <c r="I307" i="1"/>
  <c r="H307" i="1"/>
  <c r="G307" i="1"/>
  <c r="F307" i="1"/>
  <c r="E307" i="1"/>
  <c r="D307" i="1"/>
  <c r="J306" i="1"/>
  <c r="I306" i="1"/>
  <c r="H306" i="1"/>
  <c r="G306" i="1"/>
  <c r="F306" i="1"/>
  <c r="E306" i="1"/>
  <c r="D306" i="1"/>
  <c r="J305" i="1"/>
  <c r="I305" i="1"/>
  <c r="H305" i="1"/>
  <c r="G305" i="1"/>
  <c r="F305" i="1"/>
  <c r="E305" i="1"/>
  <c r="D305" i="1"/>
  <c r="J304" i="1"/>
  <c r="I304" i="1"/>
  <c r="H304" i="1"/>
  <c r="G304" i="1"/>
  <c r="F304" i="1"/>
  <c r="E304" i="1"/>
  <c r="D304" i="1"/>
  <c r="J303" i="1"/>
  <c r="I303" i="1"/>
  <c r="H303" i="1"/>
  <c r="G303" i="1"/>
  <c r="F303" i="1"/>
  <c r="E303" i="1"/>
  <c r="D303" i="1"/>
  <c r="J302" i="1"/>
  <c r="I302" i="1"/>
  <c r="H302" i="1"/>
  <c r="G302" i="1"/>
  <c r="F302" i="1"/>
  <c r="E302" i="1"/>
  <c r="D302" i="1"/>
  <c r="J301" i="1"/>
  <c r="I301" i="1"/>
  <c r="H301" i="1"/>
  <c r="G301" i="1"/>
  <c r="F301" i="1"/>
  <c r="E301" i="1"/>
  <c r="D301" i="1"/>
  <c r="J300" i="1"/>
  <c r="I300" i="1"/>
  <c r="H300" i="1"/>
  <c r="G300" i="1"/>
  <c r="F300" i="1"/>
  <c r="E300" i="1"/>
  <c r="D300" i="1"/>
  <c r="J299" i="1"/>
  <c r="H299" i="1"/>
  <c r="F299" i="1"/>
  <c r="D299" i="1"/>
  <c r="J298" i="1"/>
  <c r="I298" i="1"/>
  <c r="H298" i="1"/>
  <c r="G298" i="1"/>
  <c r="F298" i="1"/>
  <c r="E298" i="1"/>
  <c r="D298" i="1"/>
  <c r="J297" i="1"/>
  <c r="I297" i="1"/>
  <c r="H297" i="1"/>
  <c r="G297" i="1"/>
  <c r="F297" i="1"/>
  <c r="E297" i="1"/>
  <c r="D297" i="1"/>
  <c r="J296" i="1"/>
  <c r="I296" i="1"/>
  <c r="H296" i="1"/>
  <c r="G296" i="1"/>
  <c r="F296" i="1"/>
  <c r="E296" i="1"/>
  <c r="D296" i="1"/>
  <c r="J295" i="1"/>
  <c r="I295" i="1"/>
  <c r="H295" i="1"/>
  <c r="G295" i="1"/>
  <c r="F295" i="1"/>
  <c r="E295" i="1"/>
  <c r="D295" i="1"/>
  <c r="J294" i="1"/>
  <c r="I294" i="1"/>
  <c r="H294" i="1"/>
  <c r="G294" i="1"/>
  <c r="F294" i="1"/>
  <c r="E294" i="1"/>
  <c r="D294" i="1"/>
  <c r="J293" i="1"/>
  <c r="I293" i="1"/>
  <c r="H293" i="1"/>
  <c r="G293" i="1"/>
  <c r="F293" i="1"/>
  <c r="E293" i="1"/>
  <c r="D293" i="1"/>
  <c r="J292" i="1"/>
  <c r="I292" i="1"/>
  <c r="H292" i="1"/>
  <c r="G292" i="1"/>
  <c r="F292" i="1"/>
  <c r="E292" i="1"/>
  <c r="D292" i="1"/>
  <c r="J291" i="1"/>
  <c r="I291" i="1"/>
  <c r="H291" i="1"/>
  <c r="G291" i="1"/>
  <c r="F291" i="1"/>
  <c r="E291" i="1"/>
  <c r="D291" i="1"/>
  <c r="J290" i="1"/>
  <c r="I290" i="1"/>
  <c r="H290" i="1"/>
  <c r="G290" i="1"/>
  <c r="F290" i="1"/>
  <c r="E290" i="1"/>
  <c r="D290" i="1"/>
  <c r="J289" i="1"/>
  <c r="I289" i="1"/>
  <c r="H289" i="1"/>
  <c r="G289" i="1"/>
  <c r="F289" i="1"/>
  <c r="E289" i="1"/>
  <c r="D289" i="1"/>
  <c r="J288" i="1"/>
  <c r="I288" i="1"/>
  <c r="H288" i="1"/>
  <c r="G288" i="1"/>
  <c r="F288" i="1"/>
  <c r="E288" i="1"/>
  <c r="D288" i="1"/>
  <c r="J287" i="1"/>
  <c r="I287" i="1"/>
  <c r="H287" i="1"/>
  <c r="G287" i="1"/>
  <c r="F287" i="1"/>
  <c r="E287" i="1"/>
  <c r="D287" i="1"/>
  <c r="J286" i="1"/>
  <c r="I286" i="1"/>
  <c r="H286" i="1"/>
  <c r="G286" i="1"/>
  <c r="F286" i="1"/>
  <c r="E286" i="1"/>
  <c r="D286" i="1"/>
  <c r="J285" i="1"/>
  <c r="I285" i="1"/>
  <c r="H285" i="1"/>
  <c r="G285" i="1"/>
  <c r="F285" i="1"/>
  <c r="E285" i="1"/>
  <c r="D285" i="1"/>
  <c r="J284" i="1"/>
  <c r="I284" i="1"/>
  <c r="H284" i="1"/>
  <c r="G284" i="1"/>
  <c r="F284" i="1"/>
  <c r="E284" i="1"/>
  <c r="D284" i="1"/>
  <c r="J283" i="1"/>
  <c r="I283" i="1"/>
  <c r="H283" i="1"/>
  <c r="G283" i="1"/>
  <c r="F283" i="1"/>
  <c r="E283" i="1"/>
  <c r="D283" i="1"/>
  <c r="J282" i="1"/>
  <c r="I282" i="1"/>
  <c r="H282" i="1"/>
  <c r="G282" i="1"/>
  <c r="F282" i="1"/>
  <c r="E282" i="1"/>
  <c r="D282" i="1"/>
  <c r="J281" i="1"/>
  <c r="I281" i="1"/>
  <c r="H281" i="1"/>
  <c r="G281" i="1"/>
  <c r="F281" i="1"/>
  <c r="E281" i="1"/>
  <c r="D281" i="1"/>
  <c r="J280" i="1"/>
  <c r="I280" i="1"/>
  <c r="H280" i="1"/>
  <c r="G280" i="1"/>
  <c r="F280" i="1"/>
  <c r="E280" i="1"/>
  <c r="D280" i="1"/>
  <c r="J279" i="1"/>
  <c r="I279" i="1"/>
  <c r="H279" i="1"/>
  <c r="G279" i="1"/>
  <c r="F279" i="1"/>
  <c r="E279" i="1"/>
  <c r="D279" i="1"/>
  <c r="J278" i="1"/>
  <c r="I278" i="1"/>
  <c r="H278" i="1"/>
  <c r="G278" i="1"/>
  <c r="F278" i="1"/>
  <c r="E278" i="1"/>
  <c r="D278" i="1"/>
  <c r="J277" i="1"/>
  <c r="I277" i="1"/>
  <c r="H277" i="1"/>
  <c r="G277" i="1"/>
  <c r="F277" i="1"/>
  <c r="E277" i="1"/>
  <c r="D277" i="1"/>
  <c r="J276" i="1"/>
  <c r="I276" i="1"/>
  <c r="H276" i="1"/>
  <c r="G276" i="1"/>
  <c r="F276" i="1"/>
  <c r="E276" i="1"/>
  <c r="D276" i="1"/>
  <c r="J275" i="1"/>
  <c r="I275" i="1"/>
  <c r="H275" i="1"/>
  <c r="G275" i="1"/>
  <c r="F275" i="1"/>
  <c r="E275" i="1"/>
  <c r="D275" i="1"/>
  <c r="J274" i="1"/>
  <c r="I274" i="1"/>
  <c r="H274" i="1"/>
  <c r="G274" i="1"/>
  <c r="F274" i="1"/>
  <c r="E274" i="1"/>
  <c r="D274" i="1"/>
  <c r="J273" i="1"/>
  <c r="I273" i="1"/>
  <c r="H273" i="1"/>
  <c r="G273" i="1"/>
  <c r="F273" i="1"/>
  <c r="E273" i="1"/>
  <c r="D273" i="1"/>
  <c r="J272" i="1"/>
  <c r="I272" i="1"/>
  <c r="H272" i="1"/>
  <c r="G272" i="1"/>
  <c r="F272" i="1"/>
  <c r="E272" i="1"/>
  <c r="D272" i="1"/>
  <c r="J271" i="1"/>
  <c r="I271" i="1"/>
  <c r="H271" i="1"/>
  <c r="G271" i="1"/>
  <c r="F271" i="1"/>
  <c r="E271" i="1"/>
  <c r="D271" i="1"/>
  <c r="J270" i="1"/>
  <c r="I270" i="1"/>
  <c r="H270" i="1"/>
  <c r="G270" i="1"/>
  <c r="F270" i="1"/>
  <c r="E270" i="1"/>
  <c r="D270" i="1"/>
  <c r="J269" i="1"/>
  <c r="I269" i="1"/>
  <c r="H269" i="1"/>
  <c r="G269" i="1"/>
  <c r="F269" i="1"/>
  <c r="E269" i="1"/>
  <c r="D269" i="1"/>
  <c r="J268" i="1"/>
  <c r="I268" i="1"/>
  <c r="H268" i="1"/>
  <c r="G268" i="1"/>
  <c r="F268" i="1"/>
  <c r="E268" i="1"/>
  <c r="D268" i="1"/>
  <c r="J267" i="1"/>
  <c r="I267" i="1"/>
  <c r="H267" i="1"/>
  <c r="G267" i="1"/>
  <c r="F267" i="1"/>
  <c r="E267" i="1"/>
  <c r="D267" i="1"/>
  <c r="J266" i="1"/>
  <c r="I266" i="1"/>
  <c r="H266" i="1"/>
  <c r="G266" i="1"/>
  <c r="F266" i="1"/>
  <c r="E266" i="1"/>
  <c r="D266" i="1"/>
  <c r="J265" i="1"/>
  <c r="I265" i="1"/>
  <c r="H265" i="1"/>
  <c r="G265" i="1"/>
  <c r="F265" i="1"/>
  <c r="E265" i="1"/>
  <c r="D265" i="1"/>
  <c r="J264" i="1"/>
  <c r="I264" i="1"/>
  <c r="H264" i="1"/>
  <c r="G264" i="1"/>
  <c r="F264" i="1"/>
  <c r="E264" i="1"/>
  <c r="D264" i="1"/>
  <c r="J263" i="1"/>
  <c r="I263" i="1"/>
  <c r="H263" i="1"/>
  <c r="G263" i="1"/>
  <c r="F263" i="1"/>
  <c r="E263" i="1"/>
  <c r="D263" i="1"/>
  <c r="J262" i="1"/>
  <c r="H262" i="1"/>
  <c r="F262" i="1"/>
  <c r="D262" i="1"/>
  <c r="J261" i="1"/>
  <c r="I261" i="1"/>
  <c r="H261" i="1"/>
  <c r="G261" i="1"/>
  <c r="F261" i="1"/>
  <c r="E261" i="1"/>
  <c r="D261" i="1"/>
  <c r="J260" i="1"/>
  <c r="I260" i="1"/>
  <c r="H260" i="1"/>
  <c r="G260" i="1"/>
  <c r="F260" i="1"/>
  <c r="E260" i="1"/>
  <c r="D260" i="1"/>
  <c r="J259" i="1"/>
  <c r="H259" i="1"/>
  <c r="F259" i="1"/>
  <c r="D259" i="1"/>
  <c r="J258" i="1"/>
  <c r="I258" i="1"/>
  <c r="H258" i="1"/>
  <c r="G258" i="1"/>
  <c r="F258" i="1"/>
  <c r="E258" i="1"/>
  <c r="D258" i="1"/>
  <c r="J257" i="1"/>
  <c r="I257" i="1"/>
  <c r="H257" i="1"/>
  <c r="G257" i="1"/>
  <c r="F257" i="1"/>
  <c r="E257" i="1"/>
  <c r="D257" i="1"/>
  <c r="J256" i="1"/>
  <c r="I256" i="1"/>
  <c r="H256" i="1"/>
  <c r="G256" i="1"/>
  <c r="F256" i="1"/>
  <c r="E256" i="1"/>
  <c r="D256" i="1"/>
  <c r="J255" i="1"/>
  <c r="I255" i="1"/>
  <c r="H255" i="1"/>
  <c r="G255" i="1"/>
  <c r="F255" i="1"/>
  <c r="E255" i="1"/>
  <c r="D255" i="1"/>
  <c r="J254" i="1"/>
  <c r="I254" i="1"/>
  <c r="H254" i="1"/>
  <c r="G254" i="1"/>
  <c r="F254" i="1"/>
  <c r="E254" i="1"/>
  <c r="D254" i="1"/>
  <c r="J253" i="1"/>
  <c r="I253" i="1"/>
  <c r="H253" i="1"/>
  <c r="G253" i="1"/>
  <c r="F253" i="1"/>
  <c r="E253" i="1"/>
  <c r="D253" i="1"/>
  <c r="J252" i="1"/>
  <c r="I252" i="1"/>
  <c r="H252" i="1"/>
  <c r="G252" i="1"/>
  <c r="F252" i="1"/>
  <c r="E252" i="1"/>
  <c r="D252" i="1"/>
  <c r="J251" i="1"/>
  <c r="I251" i="1"/>
  <c r="H251" i="1"/>
  <c r="G251" i="1"/>
  <c r="F251" i="1"/>
  <c r="E251" i="1"/>
  <c r="D251" i="1"/>
  <c r="J250" i="1"/>
  <c r="H250" i="1"/>
  <c r="F250" i="1"/>
  <c r="D250" i="1"/>
  <c r="J249" i="1"/>
  <c r="I249" i="1"/>
  <c r="H249" i="1"/>
  <c r="G249" i="1"/>
  <c r="F249" i="1"/>
  <c r="E249" i="1"/>
  <c r="D249" i="1"/>
  <c r="J248" i="1"/>
  <c r="I248" i="1"/>
  <c r="H248" i="1"/>
  <c r="G248" i="1"/>
  <c r="F248" i="1"/>
  <c r="E248" i="1"/>
  <c r="D248" i="1"/>
  <c r="J247" i="1"/>
  <c r="I247" i="1"/>
  <c r="H247" i="1"/>
  <c r="G247" i="1"/>
  <c r="F247" i="1"/>
  <c r="E247" i="1"/>
  <c r="D247" i="1"/>
  <c r="J246" i="1"/>
  <c r="I246" i="1"/>
  <c r="H246" i="1"/>
  <c r="G246" i="1"/>
  <c r="F246" i="1"/>
  <c r="E246" i="1"/>
  <c r="D246" i="1"/>
  <c r="J245" i="1"/>
  <c r="I245" i="1"/>
  <c r="H245" i="1"/>
  <c r="G245" i="1"/>
  <c r="F245" i="1"/>
  <c r="E245" i="1"/>
  <c r="D245" i="1"/>
  <c r="J244" i="1"/>
  <c r="I244" i="1"/>
  <c r="H244" i="1"/>
  <c r="G244" i="1"/>
  <c r="F244" i="1"/>
  <c r="E244" i="1"/>
  <c r="D244" i="1"/>
  <c r="J243" i="1"/>
  <c r="I243" i="1"/>
  <c r="H243" i="1"/>
  <c r="G243" i="1"/>
  <c r="F243" i="1"/>
  <c r="E243" i="1"/>
  <c r="D243" i="1"/>
  <c r="J242" i="1"/>
  <c r="I242" i="1"/>
  <c r="H242" i="1"/>
  <c r="G242" i="1"/>
  <c r="F242" i="1"/>
  <c r="E242" i="1"/>
  <c r="D242" i="1"/>
  <c r="J241" i="1"/>
  <c r="H241" i="1"/>
  <c r="F241" i="1"/>
  <c r="D241" i="1"/>
  <c r="J240" i="1"/>
  <c r="I240" i="1"/>
  <c r="H240" i="1"/>
  <c r="G240" i="1"/>
  <c r="F240" i="1"/>
  <c r="E240" i="1"/>
  <c r="D240" i="1"/>
  <c r="J239" i="1"/>
  <c r="I239" i="1"/>
  <c r="H239" i="1"/>
  <c r="G239" i="1"/>
  <c r="F239" i="1"/>
  <c r="E239" i="1"/>
  <c r="D239" i="1"/>
  <c r="J238" i="1"/>
  <c r="I238" i="1"/>
  <c r="H238" i="1"/>
  <c r="G238" i="1"/>
  <c r="F238" i="1"/>
  <c r="E238" i="1"/>
  <c r="D238" i="1"/>
  <c r="J237" i="1"/>
  <c r="I237" i="1"/>
  <c r="H237" i="1"/>
  <c r="G237" i="1"/>
  <c r="F237" i="1"/>
  <c r="E237" i="1"/>
  <c r="D237" i="1"/>
  <c r="J236" i="1"/>
  <c r="I236" i="1"/>
  <c r="H236" i="1"/>
  <c r="G236" i="1"/>
  <c r="F236" i="1"/>
  <c r="E236" i="1"/>
  <c r="D236" i="1"/>
  <c r="J235" i="1"/>
  <c r="I235" i="1"/>
  <c r="H235" i="1"/>
  <c r="G235" i="1"/>
  <c r="F235" i="1"/>
  <c r="E235" i="1"/>
  <c r="D235" i="1"/>
  <c r="J234" i="1"/>
  <c r="I234" i="1"/>
  <c r="H234" i="1"/>
  <c r="G234" i="1"/>
  <c r="F234" i="1"/>
  <c r="E234" i="1"/>
  <c r="D234" i="1"/>
  <c r="J233" i="1"/>
  <c r="I233" i="1"/>
  <c r="H233" i="1"/>
  <c r="G233" i="1"/>
  <c r="F233" i="1"/>
  <c r="E233" i="1"/>
  <c r="D233" i="1"/>
  <c r="J232" i="1"/>
  <c r="I232" i="1"/>
  <c r="H232" i="1"/>
  <c r="G232" i="1"/>
  <c r="F232" i="1"/>
  <c r="E232" i="1"/>
  <c r="D232" i="1"/>
  <c r="J231" i="1"/>
  <c r="I231" i="1"/>
  <c r="H231" i="1"/>
  <c r="G231" i="1"/>
  <c r="F231" i="1"/>
  <c r="E231" i="1"/>
  <c r="D231" i="1"/>
  <c r="J230" i="1"/>
  <c r="I230" i="1"/>
  <c r="H230" i="1"/>
  <c r="G230" i="1"/>
  <c r="F230" i="1"/>
  <c r="E230" i="1"/>
  <c r="D230" i="1"/>
  <c r="J229" i="1"/>
  <c r="I229" i="1"/>
  <c r="H229" i="1"/>
  <c r="G229" i="1"/>
  <c r="F229" i="1"/>
  <c r="E229" i="1"/>
  <c r="D229" i="1"/>
  <c r="J228" i="1"/>
  <c r="I228" i="1"/>
  <c r="H228" i="1"/>
  <c r="G228" i="1"/>
  <c r="F228" i="1"/>
  <c r="E228" i="1"/>
  <c r="D228" i="1"/>
  <c r="J227" i="1"/>
  <c r="H227" i="1"/>
  <c r="F227" i="1"/>
  <c r="D227" i="1"/>
  <c r="J226" i="1"/>
  <c r="I226" i="1"/>
  <c r="H226" i="1"/>
  <c r="G226" i="1"/>
  <c r="F226" i="1"/>
  <c r="E226" i="1"/>
  <c r="D226" i="1"/>
  <c r="J225" i="1"/>
  <c r="I225" i="1"/>
  <c r="H225" i="1"/>
  <c r="G225" i="1"/>
  <c r="F225" i="1"/>
  <c r="E225" i="1"/>
  <c r="D225" i="1"/>
  <c r="J224" i="1"/>
  <c r="I224" i="1"/>
  <c r="H224" i="1"/>
  <c r="G224" i="1"/>
  <c r="F224" i="1"/>
  <c r="E224" i="1"/>
  <c r="D224" i="1"/>
  <c r="J223" i="1"/>
  <c r="I223" i="1"/>
  <c r="H223" i="1"/>
  <c r="G223" i="1"/>
  <c r="F223" i="1"/>
  <c r="E223" i="1"/>
  <c r="D223" i="1"/>
  <c r="J222" i="1"/>
  <c r="I222" i="1"/>
  <c r="H222" i="1"/>
  <c r="G222" i="1"/>
  <c r="F222" i="1"/>
  <c r="E222" i="1"/>
  <c r="D222" i="1"/>
  <c r="J221" i="1"/>
  <c r="I221" i="1"/>
  <c r="H221" i="1"/>
  <c r="G221" i="1"/>
  <c r="F221" i="1"/>
  <c r="E221" i="1"/>
  <c r="D221" i="1"/>
  <c r="J220" i="1"/>
  <c r="I220" i="1"/>
  <c r="H220" i="1"/>
  <c r="G220" i="1"/>
  <c r="F220" i="1"/>
  <c r="E220" i="1"/>
  <c r="D220" i="1"/>
  <c r="J219" i="1"/>
  <c r="I219" i="1"/>
  <c r="H219" i="1"/>
  <c r="G219" i="1"/>
  <c r="F219" i="1"/>
  <c r="E219" i="1"/>
  <c r="D219" i="1"/>
  <c r="J218" i="1"/>
  <c r="I218" i="1"/>
  <c r="H218" i="1"/>
  <c r="G218" i="1"/>
  <c r="F218" i="1"/>
  <c r="E218" i="1"/>
  <c r="D218" i="1"/>
  <c r="J217" i="1"/>
  <c r="I217" i="1"/>
  <c r="H217" i="1"/>
  <c r="G217" i="1"/>
  <c r="F217" i="1"/>
  <c r="E217" i="1"/>
  <c r="D217" i="1"/>
  <c r="J216" i="1"/>
  <c r="I216" i="1"/>
  <c r="H216" i="1"/>
  <c r="G216" i="1"/>
  <c r="F216" i="1"/>
  <c r="E216" i="1"/>
  <c r="D216" i="1"/>
  <c r="J215" i="1"/>
  <c r="I215" i="1"/>
  <c r="H215" i="1"/>
  <c r="G215" i="1"/>
  <c r="F215" i="1"/>
  <c r="E215" i="1"/>
  <c r="D215" i="1"/>
  <c r="J214" i="1"/>
  <c r="I214" i="1"/>
  <c r="H214" i="1"/>
  <c r="G214" i="1"/>
  <c r="F214" i="1"/>
  <c r="E214" i="1"/>
  <c r="D214" i="1"/>
  <c r="J213" i="1"/>
  <c r="I213" i="1"/>
  <c r="H213" i="1"/>
  <c r="G213" i="1"/>
  <c r="F213" i="1"/>
  <c r="E213" i="1"/>
  <c r="D213" i="1"/>
  <c r="J212" i="1"/>
  <c r="I212" i="1"/>
  <c r="H212" i="1"/>
  <c r="G212" i="1"/>
  <c r="F212" i="1"/>
  <c r="E212" i="1"/>
  <c r="D212" i="1"/>
  <c r="J211" i="1"/>
  <c r="I211" i="1"/>
  <c r="H211" i="1"/>
  <c r="G211" i="1"/>
  <c r="F211" i="1"/>
  <c r="E211" i="1"/>
  <c r="D211" i="1"/>
  <c r="J210" i="1"/>
  <c r="I210" i="1"/>
  <c r="H210" i="1"/>
  <c r="G210" i="1"/>
  <c r="F210" i="1"/>
  <c r="E210" i="1"/>
  <c r="D210" i="1"/>
  <c r="J209" i="1"/>
  <c r="I209" i="1"/>
  <c r="H209" i="1"/>
  <c r="G209" i="1"/>
  <c r="F209" i="1"/>
  <c r="E209" i="1"/>
  <c r="D209" i="1"/>
  <c r="J208" i="1"/>
  <c r="H208" i="1"/>
  <c r="F208" i="1"/>
  <c r="D208" i="1"/>
  <c r="J207" i="1"/>
  <c r="I207" i="1"/>
  <c r="H207" i="1"/>
  <c r="G207" i="1"/>
  <c r="F207" i="1"/>
  <c r="E207" i="1"/>
  <c r="D207" i="1"/>
  <c r="J206" i="1"/>
  <c r="I206" i="1"/>
  <c r="H206" i="1"/>
  <c r="G206" i="1"/>
  <c r="F206" i="1"/>
  <c r="E206" i="1"/>
  <c r="D206" i="1"/>
  <c r="J205" i="1"/>
  <c r="I205" i="1"/>
  <c r="H205" i="1"/>
  <c r="G205" i="1"/>
  <c r="F205" i="1"/>
  <c r="E205" i="1"/>
  <c r="D205" i="1"/>
  <c r="J204" i="1"/>
  <c r="I204" i="1"/>
  <c r="H204" i="1"/>
  <c r="G204" i="1"/>
  <c r="F204" i="1"/>
  <c r="E204" i="1"/>
  <c r="D204" i="1"/>
  <c r="J203" i="1"/>
  <c r="I203" i="1"/>
  <c r="H203" i="1"/>
  <c r="G203" i="1"/>
  <c r="F203" i="1"/>
  <c r="E203" i="1"/>
  <c r="D203" i="1"/>
  <c r="J202" i="1"/>
  <c r="I202" i="1"/>
  <c r="H202" i="1"/>
  <c r="G202" i="1"/>
  <c r="F202" i="1"/>
  <c r="E202" i="1"/>
  <c r="D202" i="1"/>
  <c r="J201" i="1"/>
  <c r="I201" i="1"/>
  <c r="H201" i="1"/>
  <c r="G201" i="1"/>
  <c r="F201" i="1"/>
  <c r="E201" i="1"/>
  <c r="D201" i="1"/>
  <c r="J200" i="1"/>
  <c r="I200" i="1"/>
  <c r="H200" i="1"/>
  <c r="G200" i="1"/>
  <c r="F200" i="1"/>
  <c r="E200" i="1"/>
  <c r="D200" i="1"/>
  <c r="J199" i="1"/>
  <c r="I199" i="1"/>
  <c r="H199" i="1"/>
  <c r="G199" i="1"/>
  <c r="F199" i="1"/>
  <c r="E199" i="1"/>
  <c r="D199" i="1"/>
  <c r="J198" i="1"/>
  <c r="I198" i="1"/>
  <c r="H198" i="1"/>
  <c r="G198" i="1"/>
  <c r="F198" i="1"/>
  <c r="E198" i="1"/>
  <c r="D198" i="1"/>
  <c r="J197" i="1"/>
  <c r="I197" i="1"/>
  <c r="H197" i="1"/>
  <c r="G197" i="1"/>
  <c r="F197" i="1"/>
  <c r="E197" i="1"/>
  <c r="D197" i="1"/>
  <c r="J196" i="1"/>
  <c r="I196" i="1"/>
  <c r="H196" i="1"/>
  <c r="G196" i="1"/>
  <c r="F196" i="1"/>
  <c r="E196" i="1"/>
  <c r="D196" i="1"/>
  <c r="J195" i="1"/>
  <c r="I195" i="1"/>
  <c r="H195" i="1"/>
  <c r="G195" i="1"/>
  <c r="F195" i="1"/>
  <c r="E195" i="1"/>
  <c r="D195" i="1"/>
  <c r="J194" i="1"/>
  <c r="H194" i="1"/>
  <c r="F194" i="1"/>
  <c r="D194" i="1"/>
  <c r="J193" i="1"/>
  <c r="I193" i="1"/>
  <c r="H193" i="1"/>
  <c r="G193" i="1"/>
  <c r="F193" i="1"/>
  <c r="E193" i="1"/>
  <c r="D193" i="1"/>
  <c r="J192" i="1"/>
  <c r="I192" i="1"/>
  <c r="H192" i="1"/>
  <c r="G192" i="1"/>
  <c r="F192" i="1"/>
  <c r="E192" i="1"/>
  <c r="D192" i="1"/>
  <c r="J191" i="1"/>
  <c r="I191" i="1"/>
  <c r="H191" i="1"/>
  <c r="G191" i="1"/>
  <c r="F191" i="1"/>
  <c r="E191" i="1"/>
  <c r="D191" i="1"/>
  <c r="J190" i="1"/>
  <c r="I190" i="1"/>
  <c r="H190" i="1"/>
  <c r="G190" i="1"/>
  <c r="F190" i="1"/>
  <c r="E190" i="1"/>
  <c r="D190" i="1"/>
  <c r="J189" i="1"/>
  <c r="I189" i="1"/>
  <c r="H189" i="1"/>
  <c r="G189" i="1"/>
  <c r="F189" i="1"/>
  <c r="E189" i="1"/>
  <c r="D189" i="1"/>
  <c r="J188" i="1"/>
  <c r="I188" i="1"/>
  <c r="H188" i="1"/>
  <c r="G188" i="1"/>
  <c r="F188" i="1"/>
  <c r="E188" i="1"/>
  <c r="D188" i="1"/>
  <c r="J187" i="1"/>
  <c r="I187" i="1"/>
  <c r="H187" i="1"/>
  <c r="G187" i="1"/>
  <c r="F187" i="1"/>
  <c r="E187" i="1"/>
  <c r="D187" i="1"/>
  <c r="J186" i="1"/>
  <c r="I186" i="1"/>
  <c r="H186" i="1"/>
  <c r="G186" i="1"/>
  <c r="F186" i="1"/>
  <c r="E186" i="1"/>
  <c r="D186" i="1"/>
  <c r="J185" i="1"/>
  <c r="I185" i="1"/>
  <c r="H185" i="1"/>
  <c r="G185" i="1"/>
  <c r="F185" i="1"/>
  <c r="E185" i="1"/>
  <c r="D185" i="1"/>
  <c r="J184" i="1"/>
  <c r="I184" i="1"/>
  <c r="H184" i="1"/>
  <c r="G184" i="1"/>
  <c r="F184" i="1"/>
  <c r="E184" i="1"/>
  <c r="D184" i="1"/>
  <c r="J183" i="1"/>
  <c r="I183" i="1"/>
  <c r="H183" i="1"/>
  <c r="G183" i="1"/>
  <c r="F183" i="1"/>
  <c r="E183" i="1"/>
  <c r="D183" i="1"/>
  <c r="J182" i="1"/>
  <c r="I182" i="1"/>
  <c r="H182" i="1"/>
  <c r="G182" i="1"/>
  <c r="F182" i="1"/>
  <c r="E182" i="1"/>
  <c r="D182" i="1"/>
  <c r="J181" i="1"/>
  <c r="I181" i="1"/>
  <c r="H181" i="1"/>
  <c r="G181" i="1"/>
  <c r="F181" i="1"/>
  <c r="E181" i="1"/>
  <c r="D181" i="1"/>
  <c r="J180" i="1"/>
  <c r="I180" i="1"/>
  <c r="H180" i="1"/>
  <c r="G180" i="1"/>
  <c r="F180" i="1"/>
  <c r="E180" i="1"/>
  <c r="D180" i="1"/>
  <c r="J179" i="1"/>
  <c r="I179" i="1"/>
  <c r="H179" i="1"/>
  <c r="G179" i="1"/>
  <c r="F179" i="1"/>
  <c r="E179" i="1"/>
  <c r="D179" i="1"/>
  <c r="J178" i="1"/>
  <c r="I178" i="1"/>
  <c r="H178" i="1"/>
  <c r="G178" i="1"/>
  <c r="F178" i="1"/>
  <c r="E178" i="1"/>
  <c r="D178" i="1"/>
  <c r="J177" i="1"/>
  <c r="I177" i="1"/>
  <c r="H177" i="1"/>
  <c r="G177" i="1"/>
  <c r="F177" i="1"/>
  <c r="E177" i="1"/>
  <c r="D177" i="1"/>
  <c r="J176" i="1"/>
  <c r="I176" i="1"/>
  <c r="H176" i="1"/>
  <c r="G176" i="1"/>
  <c r="F176" i="1"/>
  <c r="E176" i="1"/>
  <c r="D176" i="1"/>
  <c r="J175" i="1"/>
  <c r="I175" i="1"/>
  <c r="H175" i="1"/>
  <c r="G175" i="1"/>
  <c r="F175" i="1"/>
  <c r="E175" i="1"/>
  <c r="D175" i="1"/>
  <c r="J174" i="1"/>
  <c r="I174" i="1"/>
  <c r="H174" i="1"/>
  <c r="G174" i="1"/>
  <c r="F174" i="1"/>
  <c r="E174" i="1"/>
  <c r="D174" i="1"/>
  <c r="J173" i="1"/>
  <c r="I173" i="1"/>
  <c r="H173" i="1"/>
  <c r="G173" i="1"/>
  <c r="F173" i="1"/>
  <c r="E173" i="1"/>
  <c r="D173" i="1"/>
  <c r="J172" i="1"/>
  <c r="I172" i="1"/>
  <c r="H172" i="1"/>
  <c r="G172" i="1"/>
  <c r="F172" i="1"/>
  <c r="E172" i="1"/>
  <c r="D172" i="1"/>
  <c r="J171" i="1"/>
  <c r="H171" i="1"/>
  <c r="F171" i="1"/>
  <c r="D171" i="1"/>
  <c r="J170" i="1"/>
  <c r="I170" i="1"/>
  <c r="H170" i="1"/>
  <c r="G170" i="1"/>
  <c r="F170" i="1"/>
  <c r="E170" i="1"/>
  <c r="D170" i="1"/>
  <c r="J169" i="1"/>
  <c r="I169" i="1"/>
  <c r="H169" i="1"/>
  <c r="G169" i="1"/>
  <c r="F169" i="1"/>
  <c r="E169" i="1"/>
  <c r="D169" i="1"/>
  <c r="J168" i="1"/>
  <c r="I168" i="1"/>
  <c r="H168" i="1"/>
  <c r="G168" i="1"/>
  <c r="F168" i="1"/>
  <c r="E168" i="1"/>
  <c r="D168" i="1"/>
  <c r="J167" i="1"/>
  <c r="I167" i="1"/>
  <c r="H167" i="1"/>
  <c r="G167" i="1"/>
  <c r="F167" i="1"/>
  <c r="E167" i="1"/>
  <c r="D167" i="1"/>
  <c r="J166" i="1"/>
  <c r="I166" i="1"/>
  <c r="H166" i="1"/>
  <c r="G166" i="1"/>
  <c r="F166" i="1"/>
  <c r="E166" i="1"/>
  <c r="D166" i="1"/>
  <c r="J165" i="1"/>
  <c r="I165" i="1"/>
  <c r="H165" i="1"/>
  <c r="G165" i="1"/>
  <c r="F165" i="1"/>
  <c r="E165" i="1"/>
  <c r="D165" i="1"/>
  <c r="J164" i="1"/>
  <c r="I164" i="1"/>
  <c r="H164" i="1"/>
  <c r="G164" i="1"/>
  <c r="F164" i="1"/>
  <c r="E164" i="1"/>
  <c r="D164" i="1"/>
  <c r="J163" i="1"/>
  <c r="I163" i="1"/>
  <c r="H163" i="1"/>
  <c r="G163" i="1"/>
  <c r="F163" i="1"/>
  <c r="E163" i="1"/>
  <c r="D163" i="1"/>
  <c r="J162" i="1"/>
  <c r="I162" i="1"/>
  <c r="H162" i="1"/>
  <c r="G162" i="1"/>
  <c r="F162" i="1"/>
  <c r="E162" i="1"/>
  <c r="D162" i="1"/>
  <c r="J161" i="1"/>
  <c r="I161" i="1"/>
  <c r="H161" i="1"/>
  <c r="G161" i="1"/>
  <c r="F161" i="1"/>
  <c r="E161" i="1"/>
  <c r="D161" i="1"/>
  <c r="J160" i="1"/>
  <c r="I160" i="1"/>
  <c r="H160" i="1"/>
  <c r="G160" i="1"/>
  <c r="F160" i="1"/>
  <c r="E160" i="1"/>
  <c r="D160" i="1"/>
  <c r="J159" i="1"/>
  <c r="I159" i="1"/>
  <c r="H159" i="1"/>
  <c r="G159" i="1"/>
  <c r="F159" i="1"/>
  <c r="E159" i="1"/>
  <c r="D159" i="1"/>
  <c r="J158" i="1"/>
  <c r="I158" i="1"/>
  <c r="H158" i="1"/>
  <c r="G158" i="1"/>
  <c r="F158" i="1"/>
  <c r="E158" i="1"/>
  <c r="D158" i="1"/>
  <c r="J157" i="1"/>
  <c r="I157" i="1"/>
  <c r="H157" i="1"/>
  <c r="G157" i="1"/>
  <c r="F157" i="1"/>
  <c r="E157" i="1"/>
  <c r="D157" i="1"/>
  <c r="J156" i="1"/>
  <c r="I156" i="1"/>
  <c r="H156" i="1"/>
  <c r="G156" i="1"/>
  <c r="F156" i="1"/>
  <c r="E156" i="1"/>
  <c r="D156" i="1"/>
  <c r="J155" i="1"/>
  <c r="I155" i="1"/>
  <c r="H155" i="1"/>
  <c r="G155" i="1"/>
  <c r="F155" i="1"/>
  <c r="E155" i="1"/>
  <c r="D155" i="1"/>
  <c r="J154" i="1"/>
  <c r="I154" i="1"/>
  <c r="H154" i="1"/>
  <c r="G154" i="1"/>
  <c r="F154" i="1"/>
  <c r="E154" i="1"/>
  <c r="D154" i="1"/>
  <c r="J153" i="1"/>
  <c r="I153" i="1"/>
  <c r="H153" i="1"/>
  <c r="G153" i="1"/>
  <c r="F153" i="1"/>
  <c r="E153" i="1"/>
  <c r="D153" i="1"/>
  <c r="J152" i="1"/>
  <c r="I152" i="1"/>
  <c r="H152" i="1"/>
  <c r="G152" i="1"/>
  <c r="F152" i="1"/>
  <c r="E152" i="1"/>
  <c r="D152" i="1"/>
  <c r="J151" i="1"/>
  <c r="I151" i="1"/>
  <c r="H151" i="1"/>
  <c r="G151" i="1"/>
  <c r="F151" i="1"/>
  <c r="E151" i="1"/>
  <c r="D151" i="1"/>
  <c r="J150" i="1"/>
  <c r="I150" i="1"/>
  <c r="H150" i="1"/>
  <c r="G150" i="1"/>
  <c r="F150" i="1"/>
  <c r="E150" i="1"/>
  <c r="D150" i="1"/>
  <c r="J149" i="1"/>
  <c r="I149" i="1"/>
  <c r="H149" i="1"/>
  <c r="G149" i="1"/>
  <c r="F149" i="1"/>
  <c r="E149" i="1"/>
  <c r="D149" i="1"/>
  <c r="J148" i="1"/>
  <c r="I148" i="1"/>
  <c r="H148" i="1"/>
  <c r="G148" i="1"/>
  <c r="F148" i="1"/>
  <c r="E148" i="1"/>
  <c r="D148" i="1"/>
  <c r="J147" i="1"/>
  <c r="I147" i="1"/>
  <c r="H147" i="1"/>
  <c r="G147" i="1"/>
  <c r="F147" i="1"/>
  <c r="E147" i="1"/>
  <c r="D147" i="1"/>
  <c r="J146" i="1"/>
  <c r="I146" i="1"/>
  <c r="H146" i="1"/>
  <c r="G146" i="1"/>
  <c r="F146" i="1"/>
  <c r="E146" i="1"/>
  <c r="D146" i="1"/>
  <c r="J145" i="1"/>
  <c r="I145" i="1"/>
  <c r="H145" i="1"/>
  <c r="G145" i="1"/>
  <c r="F145" i="1"/>
  <c r="E145" i="1"/>
  <c r="D145" i="1"/>
  <c r="J144" i="1"/>
  <c r="I144" i="1"/>
  <c r="H144" i="1"/>
  <c r="G144" i="1"/>
  <c r="F144" i="1"/>
  <c r="E144" i="1"/>
  <c r="D144" i="1"/>
  <c r="J143" i="1"/>
  <c r="I143" i="1"/>
  <c r="H143" i="1"/>
  <c r="G143" i="1"/>
  <c r="F143" i="1"/>
  <c r="E143" i="1"/>
  <c r="D143" i="1"/>
  <c r="J142" i="1"/>
  <c r="I142" i="1"/>
  <c r="H142" i="1"/>
  <c r="G142" i="1"/>
  <c r="F142" i="1"/>
  <c r="E142" i="1"/>
  <c r="D142" i="1"/>
  <c r="J141" i="1"/>
  <c r="I141" i="1"/>
  <c r="H141" i="1"/>
  <c r="G141" i="1"/>
  <c r="F141" i="1"/>
  <c r="E141" i="1"/>
  <c r="D141" i="1"/>
  <c r="J140" i="1"/>
  <c r="I140" i="1"/>
  <c r="H140" i="1"/>
  <c r="G140" i="1"/>
  <c r="F140" i="1"/>
  <c r="E140" i="1"/>
  <c r="D140" i="1"/>
  <c r="J139" i="1"/>
  <c r="I139" i="1"/>
  <c r="H139" i="1"/>
  <c r="G139" i="1"/>
  <c r="F139" i="1"/>
  <c r="E139" i="1"/>
  <c r="D139" i="1"/>
  <c r="J138" i="1"/>
  <c r="I138" i="1"/>
  <c r="H138" i="1"/>
  <c r="G138" i="1"/>
  <c r="F138" i="1"/>
  <c r="E138" i="1"/>
  <c r="D138" i="1"/>
  <c r="J137" i="1"/>
  <c r="I137" i="1"/>
  <c r="H137" i="1"/>
  <c r="G137" i="1"/>
  <c r="F137" i="1"/>
  <c r="E137" i="1"/>
  <c r="D137" i="1"/>
  <c r="J136" i="1"/>
  <c r="I136" i="1"/>
  <c r="H136" i="1"/>
  <c r="G136" i="1"/>
  <c r="F136" i="1"/>
  <c r="E136" i="1"/>
  <c r="D136" i="1"/>
  <c r="J135" i="1"/>
  <c r="I135" i="1"/>
  <c r="H135" i="1"/>
  <c r="G135" i="1"/>
  <c r="F135" i="1"/>
  <c r="E135" i="1"/>
  <c r="D135" i="1"/>
  <c r="J134" i="1"/>
  <c r="I134" i="1"/>
  <c r="H134" i="1"/>
  <c r="G134" i="1"/>
  <c r="F134" i="1"/>
  <c r="E134" i="1"/>
  <c r="D134" i="1"/>
  <c r="J133" i="1"/>
  <c r="I133" i="1"/>
  <c r="H133" i="1"/>
  <c r="G133" i="1"/>
  <c r="F133" i="1"/>
  <c r="E133" i="1"/>
  <c r="D133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J104" i="1"/>
  <c r="I104" i="1"/>
  <c r="H104" i="1"/>
  <c r="G104" i="1"/>
  <c r="F104" i="1"/>
  <c r="E104" i="1"/>
  <c r="D104" i="1"/>
  <c r="J103" i="1"/>
  <c r="I103" i="1"/>
  <c r="H103" i="1"/>
  <c r="G103" i="1"/>
  <c r="F103" i="1"/>
  <c r="E103" i="1"/>
  <c r="D103" i="1"/>
  <c r="J102" i="1"/>
  <c r="I102" i="1"/>
  <c r="H102" i="1"/>
  <c r="G102" i="1"/>
  <c r="F102" i="1"/>
  <c r="E102" i="1"/>
  <c r="D102" i="1"/>
  <c r="J101" i="1"/>
  <c r="I101" i="1"/>
  <c r="H101" i="1"/>
  <c r="G101" i="1"/>
  <c r="F101" i="1"/>
  <c r="E101" i="1"/>
  <c r="D101" i="1"/>
  <c r="J100" i="1"/>
  <c r="I100" i="1"/>
  <c r="H100" i="1"/>
  <c r="G100" i="1"/>
  <c r="F100" i="1"/>
  <c r="E100" i="1"/>
  <c r="D100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H88" i="1"/>
  <c r="F88" i="1"/>
  <c r="D88" i="1"/>
  <c r="J87" i="1"/>
  <c r="H87" i="1"/>
  <c r="F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J71" i="1"/>
  <c r="I71" i="1"/>
  <c r="H71" i="1"/>
  <c r="G71" i="1"/>
  <c r="F71" i="1"/>
  <c r="E71" i="1"/>
  <c r="D71" i="1"/>
  <c r="J70" i="1"/>
  <c r="I70" i="1"/>
  <c r="H70" i="1"/>
  <c r="G70" i="1"/>
  <c r="F70" i="1"/>
  <c r="E70" i="1"/>
  <c r="D70" i="1"/>
  <c r="J69" i="1"/>
  <c r="I69" i="1"/>
  <c r="H69" i="1"/>
  <c r="G69" i="1"/>
  <c r="F69" i="1"/>
  <c r="E69" i="1"/>
  <c r="D69" i="1"/>
  <c r="J68" i="1"/>
  <c r="I68" i="1"/>
  <c r="H68" i="1"/>
  <c r="G68" i="1"/>
  <c r="F68" i="1"/>
  <c r="E68" i="1"/>
  <c r="D68" i="1"/>
  <c r="J67" i="1"/>
  <c r="I67" i="1"/>
  <c r="H67" i="1"/>
  <c r="G67" i="1"/>
  <c r="F67" i="1"/>
  <c r="E67" i="1"/>
  <c r="D67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H58" i="1"/>
  <c r="F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H48" i="1"/>
  <c r="F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8" i="1"/>
  <c r="I38" i="1"/>
  <c r="H38" i="1"/>
  <c r="G38" i="1"/>
  <c r="F38" i="1"/>
  <c r="E38" i="1"/>
  <c r="D38" i="1"/>
  <c r="J37" i="1"/>
  <c r="H37" i="1"/>
  <c r="F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H34" i="1"/>
  <c r="F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H27" i="1"/>
  <c r="F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J5" i="1"/>
  <c r="I5" i="1"/>
  <c r="H5" i="1"/>
  <c r="G5" i="1"/>
  <c r="F5" i="1"/>
  <c r="E5" i="1"/>
  <c r="D5" i="1"/>
  <c r="J4" i="1"/>
  <c r="I4" i="1"/>
  <c r="H4" i="1"/>
  <c r="G4" i="1"/>
  <c r="F4" i="1"/>
  <c r="E4" i="1"/>
  <c r="D4" i="1"/>
  <c r="J3" i="1"/>
  <c r="I3" i="1"/>
  <c r="H3" i="1"/>
  <c r="G3" i="1"/>
  <c r="F3" i="1"/>
  <c r="E3" i="1"/>
  <c r="D3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<sst xmlns="http://schemas.openxmlformats.org/spreadsheetml/2006/main" count="6010" uniqueCount="3011">
  <si>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</si>
  <si>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</si>
  <si>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</si>
  <si>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</si>
  <si>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</si>
  <si>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</si>
  <si>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</si>
  <si>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</si>
  <si>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</si>
  <si>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</si>
  <si>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</si>
  <si>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ACME__IP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</si>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</sst>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1"/>
  <sheetViews>
    <sheetView tabSelected="1" workbookViewId="0">
      <selection activeCell="S12" sqref="S12"/>
    </sheetView>
  </sheetViews>
  <sheetFormatPr defaultRowHeight="15" x14ac:dyDescent="0.25"/>
  <cols>
    <col min="1" max="2" width="24.85546875" customWidth="1"/>
    <col min="3" max="3" width="14" customWidth="1"/>
    <col min="4" max="4" width="12" customWidth="1"/>
    <col min="5" max="5" width="13" customWidth="1"/>
    <col min="6" max="6" width="5" customWidth="1"/>
    <col min="7" max="7" width="15" customWidth="1"/>
    <col min="8" max="8" width="2" customWidth="1"/>
    <col min="9" max="9" width="12" customWidth="1"/>
    <col min="10" max="10" width="3" customWidth="1"/>
    <col min="11" max="11" width="13" customWidth="1"/>
    <col min="12" max="12" width="3" customWidth="1"/>
    <col min="13" max="13" width="13" customWidth="1"/>
    <col min="14" max="14" width="3" customWidth="1"/>
    <col min="15" max="15" width="13" customWidth="1"/>
    <col min="16" max="16" width="3" customWidth="1"/>
    <col min="17" max="17" width="13" customWidth="1"/>
    <col min="18" max="18" width="3" customWidth="1"/>
    <col min="19" max="19" width="13" customWidth="1"/>
    <col min="20" max="20" width="3" customWidth="1"/>
    <col min="21" max="21" width="13" customWidth="1"/>
    <col min="22" max="22" width="3" customWidth="1"/>
    <col min="23" max="23" width="13" customWidth="1"/>
    <col min="24" max="24" width="3" customWidth="1"/>
    <col min="25" max="25" width="13" customWidth="1"/>
    <col min="26" max="26" width="3" customWidth="1"/>
    <col min="27" max="27" width="13" customWidth="1"/>
    <col min="28" max="28" width="3" customWidth="1"/>
    <col min="29" max="29" width="13" customWidth="1"/>
    <col min="30" max="30" width="3" customWidth="1"/>
    <col min="31" max="31" width="13" customWidth="1"/>
    <col min="32" max="32" width="3" customWidth="1"/>
    <col min="33" max="33" width="13" customWidth="1"/>
    <col min="34" max="34" width="3" customWidth="1"/>
    <col min="35" max="35" width="13" customWidth="1"/>
    <col min="36" max="36" width="3" customWidth="1"/>
    <col min="37" max="37" width="13" customWidth="1"/>
    <col min="38" max="38" width="3" customWidth="1"/>
    <col min="39" max="39" width="13" customWidth="1"/>
    <col min="40" max="40" width="3" customWidth="1"/>
    <col min="41" max="41" width="13" customWidth="1"/>
    <col min="42" max="42" width="2" customWidth="1"/>
    <col min="43" max="43" width="12" customWidth="1"/>
    <col min="44" max="44" width="4" customWidth="1"/>
    <col min="45" max="45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117.104382813</v>
      </c>
      <c r="D2">
        <f>0</f>
        <v>0</v>
      </c>
      <c r="E2">
        <f>671108459/10^6</f>
        <v>671.10845900000004</v>
      </c>
      <c r="F2">
        <f>0</f>
        <v>0</v>
      </c>
      <c r="G2">
        <f>23075441/10^5</f>
        <v>230.75441000000001</v>
      </c>
      <c r="H2">
        <f>0</f>
        <v>0</v>
      </c>
      <c r="I2">
        <f>-41545883/10^6</f>
        <v>-41.545883000000003</v>
      </c>
      <c r="J2">
        <f>0</f>
        <v>0</v>
      </c>
    </row>
    <row r="3" spans="1:10" x14ac:dyDescent="0.25">
      <c r="A3" t="s">
        <v>12</v>
      </c>
      <c r="B3" t="s">
        <v>11</v>
      </c>
      <c r="C3">
        <v>117.53046875</v>
      </c>
      <c r="D3">
        <f>0</f>
        <v>0</v>
      </c>
      <c r="E3">
        <f>668624878/10^6</f>
        <v>668.62487799999997</v>
      </c>
      <c r="F3">
        <f>0</f>
        <v>0</v>
      </c>
      <c r="G3">
        <f>230814453/10^6</f>
        <v>230.81445299999999</v>
      </c>
      <c r="H3">
        <f>0</f>
        <v>0</v>
      </c>
      <c r="I3">
        <f>-41160175/10^6</f>
        <v>-41.160175000000002</v>
      </c>
      <c r="J3">
        <f>0</f>
        <v>0</v>
      </c>
    </row>
    <row r="4" spans="1:10" x14ac:dyDescent="0.25">
      <c r="A4" t="s">
        <v>13</v>
      </c>
      <c r="B4" t="s">
        <v>11</v>
      </c>
      <c r="C4">
        <v>117.99840625</v>
      </c>
      <c r="D4">
        <f>0</f>
        <v>0</v>
      </c>
      <c r="E4">
        <f>666093079/10^6</f>
        <v>666.09307899999999</v>
      </c>
      <c r="F4">
        <f>0</f>
        <v>0</v>
      </c>
      <c r="G4">
        <f>230878891/10^6</f>
        <v>230.87889100000001</v>
      </c>
      <c r="H4">
        <f>0</f>
        <v>0</v>
      </c>
      <c r="I4">
        <f>-4103212/10^5</f>
        <v>-41.032119999999999</v>
      </c>
      <c r="J4">
        <f>0</f>
        <v>0</v>
      </c>
    </row>
    <row r="5" spans="1:10" x14ac:dyDescent="0.25">
      <c r="A5" t="s">
        <v>14</v>
      </c>
      <c r="B5" t="s">
        <v>11</v>
      </c>
      <c r="C5">
        <v>118.498007813</v>
      </c>
      <c r="D5">
        <f>0</f>
        <v>0</v>
      </c>
      <c r="E5">
        <f>663240356/10^6</f>
        <v>663.24035600000002</v>
      </c>
      <c r="F5">
        <f>0</f>
        <v>0</v>
      </c>
      <c r="G5">
        <f>230934814/10^6</f>
        <v>230.93481399999999</v>
      </c>
      <c r="H5">
        <f>0</f>
        <v>0</v>
      </c>
      <c r="I5">
        <f>-40757015/10^6</f>
        <v>-40.757015000000003</v>
      </c>
      <c r="J5">
        <f>0</f>
        <v>0</v>
      </c>
    </row>
    <row r="6" spans="1:10" x14ac:dyDescent="0.25">
      <c r="A6" t="s">
        <v>15</v>
      </c>
      <c r="B6" t="s">
        <v>11</v>
      </c>
      <c r="C6">
        <v>119.00387499999999</v>
      </c>
      <c r="D6">
        <f>0</f>
        <v>0</v>
      </c>
      <c r="E6">
        <f>660221313/10^6</f>
        <v>660.22131300000001</v>
      </c>
      <c r="F6">
        <f>0</f>
        <v>0</v>
      </c>
      <c r="G6">
        <f>230979523/10^6</f>
        <v>230.979523</v>
      </c>
      <c r="H6">
        <f>0</f>
        <v>0</v>
      </c>
      <c r="I6">
        <f>-40314308/10^6</f>
        <v>-40.314307999999997</v>
      </c>
      <c r="J6">
        <f>0</f>
        <v>0</v>
      </c>
    </row>
    <row r="7" spans="1:10" x14ac:dyDescent="0.25">
      <c r="A7" t="s">
        <v>16</v>
      </c>
      <c r="B7" t="s">
        <v>11</v>
      </c>
      <c r="C7">
        <v>119.49866406300001</v>
      </c>
      <c r="D7">
        <f>0</f>
        <v>0</v>
      </c>
      <c r="E7">
        <f>657453857/10^6</f>
        <v>657.45385699999997</v>
      </c>
      <c r="F7">
        <f>0</f>
        <v>0</v>
      </c>
      <c r="G7">
        <f>231025269/10^6</f>
        <v>231.02526900000001</v>
      </c>
      <c r="H7">
        <f>0</f>
        <v>0</v>
      </c>
      <c r="I7">
        <f>-40097935/10^6</f>
        <v>-40.097935</v>
      </c>
      <c r="J7">
        <f>0</f>
        <v>0</v>
      </c>
    </row>
    <row r="8" spans="1:10" x14ac:dyDescent="0.25">
      <c r="A8" t="s">
        <v>17</v>
      </c>
      <c r="B8" t="s">
        <v>11</v>
      </c>
      <c r="C8">
        <v>119.976421875</v>
      </c>
      <c r="D8">
        <f>0</f>
        <v>0</v>
      </c>
      <c r="E8">
        <f>654916626/10^6</f>
        <v>654.91662599999995</v>
      </c>
      <c r="F8">
        <f>0</f>
        <v>0</v>
      </c>
      <c r="G8">
        <f>231088852/10^6</f>
        <v>231.088852</v>
      </c>
      <c r="H8">
        <f>0</f>
        <v>0</v>
      </c>
      <c r="I8">
        <f>-399856/10^4</f>
        <v>-39.985599999999998</v>
      </c>
      <c r="J8">
        <f>0</f>
        <v>0</v>
      </c>
    </row>
    <row r="9" spans="1:10" x14ac:dyDescent="0.25">
      <c r="A9" t="s">
        <v>18</v>
      </c>
      <c r="B9" t="s">
        <v>11</v>
      </c>
      <c r="C9">
        <v>120.42730468800001</v>
      </c>
      <c r="D9">
        <f>0</f>
        <v>0</v>
      </c>
      <c r="E9">
        <f>652412781/10^6</f>
        <v>652.412781</v>
      </c>
      <c r="F9">
        <f>0</f>
        <v>0</v>
      </c>
      <c r="G9">
        <f>231134674/10^6</f>
        <v>231.13467399999999</v>
      </c>
      <c r="H9">
        <f>0</f>
        <v>0</v>
      </c>
      <c r="I9">
        <f>-39675655/10^6</f>
        <v>-39.675654999999999</v>
      </c>
      <c r="J9">
        <f>0</f>
        <v>0</v>
      </c>
    </row>
    <row r="10" spans="1:10" x14ac:dyDescent="0.25">
      <c r="A10" t="s">
        <v>19</v>
      </c>
      <c r="B10" t="s">
        <v>11</v>
      </c>
      <c r="C10">
        <v>120.82596875</v>
      </c>
      <c r="D10">
        <f>0</f>
        <v>0</v>
      </c>
      <c r="E10">
        <f>650070007/10^6</f>
        <v>650.07000700000003</v>
      </c>
      <c r="F10">
        <f>0</f>
        <v>0</v>
      </c>
      <c r="G10">
        <f>231146927/10^6</f>
        <v>231.14692700000001</v>
      </c>
      <c r="H10">
        <f>0</f>
        <v>0</v>
      </c>
      <c r="I10">
        <f>-39321369/10^6</f>
        <v>-39.321368999999997</v>
      </c>
      <c r="J10">
        <f>0</f>
        <v>0</v>
      </c>
    </row>
    <row r="11" spans="1:10" x14ac:dyDescent="0.25">
      <c r="A11" t="s">
        <v>20</v>
      </c>
      <c r="B11" t="s">
        <v>11</v>
      </c>
      <c r="C11">
        <v>121.13107031300001</v>
      </c>
      <c r="D11">
        <f>0</f>
        <v>0</v>
      </c>
      <c r="E11">
        <f>648251648/10^6</f>
        <v>648.25164800000005</v>
      </c>
      <c r="F11">
        <f>0</f>
        <v>0</v>
      </c>
      <c r="G11">
        <f>231173141/10^6</f>
        <v>231.17314099999999</v>
      </c>
      <c r="H11">
        <f>0</f>
        <v>0</v>
      </c>
      <c r="I11">
        <f>-39060726/10^6</f>
        <v>-39.060726000000003</v>
      </c>
      <c r="J11">
        <f>0</f>
        <v>0</v>
      </c>
    </row>
    <row r="12" spans="1:10" x14ac:dyDescent="0.25">
      <c r="A12" t="s">
        <v>21</v>
      </c>
      <c r="B12" t="s">
        <v>11</v>
      </c>
      <c r="C12">
        <v>121.34228125</v>
      </c>
      <c r="D12">
        <f>0</f>
        <v>0</v>
      </c>
      <c r="E12">
        <f>64714801/10^5</f>
        <v>647.14801</v>
      </c>
      <c r="F12">
        <f>0</f>
        <v>0</v>
      </c>
      <c r="G12">
        <f>23121463/10^5</f>
        <v>231.21463</v>
      </c>
      <c r="H12">
        <f>0</f>
        <v>0</v>
      </c>
      <c r="I12">
        <f>-38960655/10^6</f>
        <v>-38.960655000000003</v>
      </c>
      <c r="J12">
        <f>0</f>
        <v>0</v>
      </c>
    </row>
    <row r="13" spans="1:10" x14ac:dyDescent="0.25">
      <c r="A13" t="s">
        <v>22</v>
      </c>
      <c r="B13" t="s">
        <v>11</v>
      </c>
      <c r="C13">
        <v>121.48478125</v>
      </c>
      <c r="D13">
        <f>0</f>
        <v>0</v>
      </c>
      <c r="E13">
        <f>646431091/10^6</f>
        <v>646.43109100000004</v>
      </c>
      <c r="F13">
        <f>0</f>
        <v>0</v>
      </c>
      <c r="G13">
        <f>231248291/10^6</f>
        <v>231.24829099999999</v>
      </c>
      <c r="H13">
        <f>0</f>
        <v>0</v>
      </c>
      <c r="I13">
        <f>-38835361/10^6</f>
        <v>-38.835360999999999</v>
      </c>
      <c r="J13">
        <f>0</f>
        <v>0</v>
      </c>
    </row>
    <row r="14" spans="1:10" x14ac:dyDescent="0.25">
      <c r="A14" t="s">
        <v>23</v>
      </c>
      <c r="B14" t="s">
        <v>11</v>
      </c>
      <c r="C14">
        <v>121.558492188</v>
      </c>
      <c r="D14">
        <f>0</f>
        <v>0</v>
      </c>
      <c r="E14">
        <f>646048157/10^6</f>
        <v>646.04815699999995</v>
      </c>
      <c r="F14">
        <f>0</f>
        <v>0</v>
      </c>
      <c r="G14">
        <f>231278915/10^6</f>
        <v>231.27891500000001</v>
      </c>
      <c r="H14">
        <f>0</f>
        <v>0</v>
      </c>
      <c r="I14">
        <f>-38721821/10^6</f>
        <v>-38.721820999999998</v>
      </c>
      <c r="J14">
        <f>0</f>
        <v>0</v>
      </c>
    </row>
    <row r="15" spans="1:10" x14ac:dyDescent="0.25">
      <c r="A15" t="s">
        <v>24</v>
      </c>
      <c r="B15" t="s">
        <v>11</v>
      </c>
      <c r="C15">
        <v>121.570289063</v>
      </c>
      <c r="D15">
        <f>0</f>
        <v>0</v>
      </c>
      <c r="E15">
        <f>646072144/10^6</f>
        <v>646.07214399999998</v>
      </c>
      <c r="F15">
        <f>0</f>
        <v>0</v>
      </c>
      <c r="G15">
        <f>231302643/10^6</f>
        <v>231.30264299999999</v>
      </c>
      <c r="H15">
        <f>0</f>
        <v>0</v>
      </c>
      <c r="I15">
        <f>-38740646/10^6</f>
        <v>-38.740645999999998</v>
      </c>
      <c r="J15">
        <f>0</f>
        <v>0</v>
      </c>
    </row>
    <row r="16" spans="1:10" x14ac:dyDescent="0.25">
      <c r="A16" t="s">
        <v>25</v>
      </c>
      <c r="B16" t="s">
        <v>11</v>
      </c>
      <c r="C16">
        <v>121.55469531300001</v>
      </c>
      <c r="D16">
        <f>0</f>
        <v>0</v>
      </c>
      <c r="E16">
        <f>646208923/10^6</f>
        <v>646.20892300000003</v>
      </c>
      <c r="F16">
        <f>0</f>
        <v>0</v>
      </c>
      <c r="G16">
        <f>231317902/10^6</f>
        <v>231.317902</v>
      </c>
      <c r="H16">
        <f>0</f>
        <v>0</v>
      </c>
      <c r="I16">
        <f>-38784924/10^6</f>
        <v>-38.784923999999997</v>
      </c>
      <c r="J16">
        <f>0</f>
        <v>0</v>
      </c>
    </row>
    <row r="17" spans="1:10" x14ac:dyDescent="0.25">
      <c r="A17" t="s">
        <v>26</v>
      </c>
      <c r="B17" t="s">
        <v>11</v>
      </c>
      <c r="C17">
        <v>121.52196093800001</v>
      </c>
      <c r="D17">
        <f>0</f>
        <v>0</v>
      </c>
      <c r="E17">
        <f>646362976/10^6</f>
        <v>646.362976</v>
      </c>
      <c r="F17">
        <f>0</f>
        <v>0</v>
      </c>
      <c r="G17">
        <f>231328537/10^6</f>
        <v>231.32853700000001</v>
      </c>
      <c r="H17">
        <f>0</f>
        <v>0</v>
      </c>
      <c r="I17">
        <f>-3883197/10^5</f>
        <v>-38.831969999999998</v>
      </c>
      <c r="J17">
        <f>0</f>
        <v>0</v>
      </c>
    </row>
    <row r="18" spans="1:10" x14ac:dyDescent="0.25">
      <c r="A18" t="s">
        <v>27</v>
      </c>
      <c r="B18" t="s">
        <v>11</v>
      </c>
      <c r="C18">
        <v>121.48374218800001</v>
      </c>
      <c r="D18">
        <f>0</f>
        <v>0</v>
      </c>
      <c r="E18">
        <f>646573059/10^6</f>
        <v>646.57305899999994</v>
      </c>
      <c r="F18">
        <f>0</f>
        <v>0</v>
      </c>
      <c r="G18">
        <f>231331589/10^6</f>
        <v>231.33158900000001</v>
      </c>
      <c r="H18">
        <f>0</f>
        <v>0</v>
      </c>
      <c r="I18">
        <f>-38713257/10^6</f>
        <v>-38.713256999999999</v>
      </c>
      <c r="J18">
        <f>0</f>
        <v>0</v>
      </c>
    </row>
    <row r="19" spans="1:10" x14ac:dyDescent="0.25">
      <c r="A19" t="s">
        <v>28</v>
      </c>
      <c r="B19" t="s">
        <v>11</v>
      </c>
      <c r="C19">
        <v>121.4320625</v>
      </c>
      <c r="D19">
        <f>0</f>
        <v>0</v>
      </c>
      <c r="E19">
        <f>64692041/10^5</f>
        <v>646.92040999999995</v>
      </c>
      <c r="F19">
        <f>0</f>
        <v>0</v>
      </c>
      <c r="G19">
        <f>231323761/10^6</f>
        <v>231.32376099999999</v>
      </c>
      <c r="H19">
        <f>0</f>
        <v>0</v>
      </c>
      <c r="I19">
        <f>-38640705/10^6</f>
        <v>-38.640704999999997</v>
      </c>
      <c r="J19">
        <f>0</f>
        <v>0</v>
      </c>
    </row>
    <row r="20" spans="1:10" x14ac:dyDescent="0.25">
      <c r="A20" t="s">
        <v>29</v>
      </c>
      <c r="B20" t="s">
        <v>11</v>
      </c>
      <c r="C20">
        <v>121.33389843800001</v>
      </c>
      <c r="D20">
        <f>0</f>
        <v>0</v>
      </c>
      <c r="E20">
        <f>647380005/10^6</f>
        <v>647.38000499999998</v>
      </c>
      <c r="F20">
        <f>0</f>
        <v>0</v>
      </c>
      <c r="G20">
        <f>231314896/10^6</f>
        <v>231.314896</v>
      </c>
      <c r="H20">
        <f>0</f>
        <v>0</v>
      </c>
      <c r="I20">
        <f>-38666733/10^6</f>
        <v>-38.666733000000001</v>
      </c>
      <c r="J20">
        <f>0</f>
        <v>0</v>
      </c>
    </row>
    <row r="21" spans="1:10" x14ac:dyDescent="0.25">
      <c r="A21" t="s">
        <v>30</v>
      </c>
      <c r="B21" t="s">
        <v>11</v>
      </c>
      <c r="C21">
        <v>121.21042187499999</v>
      </c>
      <c r="D21">
        <f>0</f>
        <v>0</v>
      </c>
      <c r="E21">
        <f>648037903/10^6</f>
        <v>648.03790300000003</v>
      </c>
      <c r="F21">
        <f>0</f>
        <v>0</v>
      </c>
      <c r="G21">
        <f>231301407/10^6</f>
        <v>231.30140700000001</v>
      </c>
      <c r="H21">
        <f>0</f>
        <v>0</v>
      </c>
      <c r="I21">
        <f>-38691532/10^6</f>
        <v>-38.691532000000002</v>
      </c>
      <c r="J21">
        <f>0</f>
        <v>0</v>
      </c>
    </row>
    <row r="22" spans="1:10" x14ac:dyDescent="0.25">
      <c r="A22" t="s">
        <v>31</v>
      </c>
      <c r="B22" t="s">
        <v>11</v>
      </c>
      <c r="C22">
        <v>121.085640625</v>
      </c>
      <c r="D22">
        <f>0</f>
        <v>0</v>
      </c>
      <c r="E22">
        <f>648751953/10^6</f>
        <v>648.75195299999996</v>
      </c>
      <c r="F22">
        <f>0</f>
        <v>0</v>
      </c>
      <c r="G22">
        <f>231282578/10^6</f>
        <v>231.282578</v>
      </c>
      <c r="H22">
        <f>0</f>
        <v>0</v>
      </c>
      <c r="I22">
        <f>-38794464/10^6</f>
        <v>-38.794463999999998</v>
      </c>
      <c r="J22">
        <f>0</f>
        <v>0</v>
      </c>
    </row>
    <row r="23" spans="1:10" x14ac:dyDescent="0.25">
      <c r="A23" t="s">
        <v>32</v>
      </c>
      <c r="B23" t="s">
        <v>11</v>
      </c>
      <c r="C23">
        <v>120.9525</v>
      </c>
      <c r="D23">
        <f>0</f>
        <v>0</v>
      </c>
      <c r="E23">
        <f>649391479/10^6</f>
        <v>649.391479</v>
      </c>
      <c r="F23">
        <f>0</f>
        <v>0</v>
      </c>
      <c r="G23">
        <f>231262253/10^6</f>
        <v>231.26225299999999</v>
      </c>
      <c r="H23">
        <f>0</f>
        <v>0</v>
      </c>
      <c r="I23">
        <f>-38804695/10^6</f>
        <v>-38.804695000000002</v>
      </c>
      <c r="J23">
        <f>0</f>
        <v>0</v>
      </c>
    </row>
    <row r="24" spans="1:10" x14ac:dyDescent="0.25">
      <c r="A24" t="s">
        <v>33</v>
      </c>
      <c r="B24" t="s">
        <v>11</v>
      </c>
      <c r="C24">
        <v>120.800179688</v>
      </c>
      <c r="D24">
        <f>0</f>
        <v>0</v>
      </c>
      <c r="E24">
        <f>650288696/10^6</f>
        <v>650.28869599999996</v>
      </c>
      <c r="F24">
        <f>0</f>
        <v>0</v>
      </c>
      <c r="G24">
        <f>231237717/10^6</f>
        <v>231.237717</v>
      </c>
      <c r="H24">
        <f>0</f>
        <v>0</v>
      </c>
      <c r="I24">
        <f>-39016987/10^6</f>
        <v>-39.016987</v>
      </c>
      <c r="J24">
        <f>0</f>
        <v>0</v>
      </c>
    </row>
    <row r="25" spans="1:10" x14ac:dyDescent="0.25">
      <c r="A25" t="s">
        <v>34</v>
      </c>
      <c r="B25" t="s">
        <v>11</v>
      </c>
      <c r="C25">
        <v>120.652125</v>
      </c>
      <c r="D25">
        <f>0</f>
        <v>0</v>
      </c>
      <c r="E25">
        <f>651141907/10^6</f>
        <v>651.14190699999995</v>
      </c>
      <c r="F25">
        <f>0</f>
        <v>0</v>
      </c>
      <c r="G25">
        <f>231213928/10^6</f>
        <v>231.21392800000001</v>
      </c>
      <c r="H25">
        <f>0</f>
        <v>0</v>
      </c>
      <c r="I25">
        <f>-39183151/10^6</f>
        <v>-39.183151000000002</v>
      </c>
      <c r="J25">
        <f>0</f>
        <v>0</v>
      </c>
    </row>
    <row r="26" spans="1:10" x14ac:dyDescent="0.25">
      <c r="A26" t="s">
        <v>35</v>
      </c>
      <c r="B26" t="s">
        <v>11</v>
      </c>
      <c r="C26">
        <v>120.52446875</v>
      </c>
      <c r="D26">
        <f>0</f>
        <v>0</v>
      </c>
      <c r="E26">
        <f>651790894/10^6</f>
        <v>651.79089399999998</v>
      </c>
      <c r="F26">
        <f>0</f>
        <v>0</v>
      </c>
      <c r="G26">
        <f>231194275/10^6</f>
        <v>231.194275</v>
      </c>
      <c r="H26">
        <f>0</f>
        <v>0</v>
      </c>
      <c r="I26">
        <f>-39039925/10^6</f>
        <v>-39.039924999999997</v>
      </c>
      <c r="J26">
        <f>0</f>
        <v>0</v>
      </c>
    </row>
    <row r="27" spans="1:10" x14ac:dyDescent="0.25">
      <c r="A27" t="s">
        <v>36</v>
      </c>
      <c r="B27" t="s">
        <v>11</v>
      </c>
      <c r="C27">
        <v>0</v>
      </c>
      <c r="D27">
        <f>2</f>
        <v>2</v>
      </c>
      <c r="F27">
        <f>2</f>
        <v>2</v>
      </c>
      <c r="H27">
        <f>2</f>
        <v>2</v>
      </c>
      <c r="J27">
        <f>2</f>
        <v>2</v>
      </c>
    </row>
    <row r="28" spans="1:10" x14ac:dyDescent="0.25">
      <c r="A28" t="s">
        <v>37</v>
      </c>
      <c r="B28" t="s">
        <v>11</v>
      </c>
      <c r="C28">
        <v>120.252539063</v>
      </c>
      <c r="D28">
        <f>0</f>
        <v>0</v>
      </c>
      <c r="E28">
        <f>653240845/10^6</f>
        <v>653.24084500000004</v>
      </c>
      <c r="F28">
        <f>0</f>
        <v>0</v>
      </c>
      <c r="G28">
        <f>23114476/10^5</f>
        <v>231.14475999999999</v>
      </c>
      <c r="H28">
        <f>0</f>
        <v>0</v>
      </c>
      <c r="I28">
        <f>-39260529/10^6</f>
        <v>-39.260528999999998</v>
      </c>
      <c r="J28">
        <f>0</f>
        <v>0</v>
      </c>
    </row>
    <row r="29" spans="1:10" x14ac:dyDescent="0.25">
      <c r="A29" t="s">
        <v>38</v>
      </c>
      <c r="B29" t="s">
        <v>11</v>
      </c>
      <c r="C29">
        <v>120.09624218800001</v>
      </c>
      <c r="D29">
        <f>0</f>
        <v>0</v>
      </c>
      <c r="E29">
        <f>65412262/10^5</f>
        <v>654.12261999999998</v>
      </c>
      <c r="F29">
        <f>0</f>
        <v>0</v>
      </c>
      <c r="G29">
        <f>2311315/10^4</f>
        <v>231.13149999999999</v>
      </c>
      <c r="H29">
        <f>0</f>
        <v>0</v>
      </c>
      <c r="I29">
        <f>-3935857/10^5</f>
        <v>-39.35857</v>
      </c>
      <c r="J29">
        <f>0</f>
        <v>0</v>
      </c>
    </row>
    <row r="30" spans="1:10" x14ac:dyDescent="0.25">
      <c r="A30" t="s">
        <v>39</v>
      </c>
      <c r="B30" t="s">
        <v>11</v>
      </c>
      <c r="C30">
        <v>119.94321875</v>
      </c>
      <c r="D30">
        <f>0</f>
        <v>0</v>
      </c>
      <c r="E30">
        <f>655012878/10^6</f>
        <v>655.012878</v>
      </c>
      <c r="F30">
        <f>0</f>
        <v>0</v>
      </c>
      <c r="G30">
        <f>231107498/10^6</f>
        <v>231.10749799999999</v>
      </c>
      <c r="H30">
        <f>0</f>
        <v>0</v>
      </c>
      <c r="I30">
        <f>-39475403/10^6</f>
        <v>-39.475403</v>
      </c>
      <c r="J30">
        <f>0</f>
        <v>0</v>
      </c>
    </row>
    <row r="31" spans="1:10" x14ac:dyDescent="0.25">
      <c r="A31" t="s">
        <v>40</v>
      </c>
      <c r="B31" t="s">
        <v>11</v>
      </c>
      <c r="C31">
        <v>119.775648438</v>
      </c>
      <c r="D31">
        <f>0</f>
        <v>0</v>
      </c>
      <c r="E31">
        <f>655932556/10^6</f>
        <v>655.93255599999998</v>
      </c>
      <c r="F31">
        <f>0</f>
        <v>0</v>
      </c>
      <c r="G31">
        <f>231094086/10^6</f>
        <v>231.094086</v>
      </c>
      <c r="H31">
        <f>0</f>
        <v>0</v>
      </c>
      <c r="I31">
        <f>-39464611/10^6</f>
        <v>-39.464610999999998</v>
      </c>
      <c r="J31">
        <f>0</f>
        <v>0</v>
      </c>
    </row>
    <row r="32" spans="1:10" x14ac:dyDescent="0.25">
      <c r="A32" t="s">
        <v>41</v>
      </c>
      <c r="B32" t="s">
        <v>11</v>
      </c>
      <c r="C32">
        <v>119.607742188</v>
      </c>
      <c r="D32">
        <f>0</f>
        <v>0</v>
      </c>
      <c r="E32">
        <f>656901428/10^6</f>
        <v>656.90142800000001</v>
      </c>
      <c r="F32">
        <f>0</f>
        <v>0</v>
      </c>
      <c r="G32">
        <f>231087845/10^6</f>
        <v>231.08784499999999</v>
      </c>
      <c r="H32">
        <f>0</f>
        <v>0</v>
      </c>
      <c r="I32">
        <f>-39633553/10^6</f>
        <v>-39.633552999999999</v>
      </c>
      <c r="J32">
        <f>0</f>
        <v>0</v>
      </c>
    </row>
    <row r="33" spans="1:10" x14ac:dyDescent="0.25">
      <c r="A33" t="s">
        <v>42</v>
      </c>
      <c r="B33" t="s">
        <v>11</v>
      </c>
      <c r="C33">
        <v>119.49000781300001</v>
      </c>
      <c r="D33">
        <f>0</f>
        <v>0</v>
      </c>
      <c r="E33">
        <f>657531982/10^6</f>
        <v>657.53198199999997</v>
      </c>
      <c r="F33">
        <f>0</f>
        <v>0</v>
      </c>
      <c r="G33">
        <f>231068985/10^6</f>
        <v>231.068985</v>
      </c>
      <c r="H33">
        <f>0</f>
        <v>0</v>
      </c>
      <c r="I33">
        <f>-39799164/10^6</f>
        <v>-39.799163999999998</v>
      </c>
      <c r="J33">
        <f>0</f>
        <v>0</v>
      </c>
    </row>
    <row r="34" spans="1:10" x14ac:dyDescent="0.25">
      <c r="A34" t="s">
        <v>43</v>
      </c>
      <c r="B34" t="s">
        <v>11</v>
      </c>
      <c r="C34">
        <v>0</v>
      </c>
      <c r="D34">
        <f>2</f>
        <v>2</v>
      </c>
      <c r="F34">
        <f>2</f>
        <v>2</v>
      </c>
      <c r="H34">
        <f>2</f>
        <v>2</v>
      </c>
      <c r="J34">
        <f>2</f>
        <v>2</v>
      </c>
    </row>
    <row r="35" spans="1:10" x14ac:dyDescent="0.25">
      <c r="A35" t="s">
        <v>44</v>
      </c>
      <c r="B35" t="s">
        <v>11</v>
      </c>
      <c r="C35">
        <v>119.27657031300001</v>
      </c>
      <c r="D35">
        <f>0</f>
        <v>0</v>
      </c>
      <c r="E35">
        <f>658682129/10^6</f>
        <v>658.68212900000003</v>
      </c>
      <c r="F35">
        <f>0</f>
        <v>0</v>
      </c>
      <c r="G35">
        <f>231046082/10^6</f>
        <v>231.04608200000001</v>
      </c>
      <c r="H35">
        <f>0</f>
        <v>0</v>
      </c>
      <c r="I35">
        <f>-39634407/10^6</f>
        <v>-39.634407000000003</v>
      </c>
      <c r="J35">
        <f>0</f>
        <v>0</v>
      </c>
    </row>
    <row r="36" spans="1:10" x14ac:dyDescent="0.25">
      <c r="A36" t="s">
        <v>45</v>
      </c>
      <c r="B36" t="s">
        <v>11</v>
      </c>
      <c r="C36">
        <v>119.17110156300001</v>
      </c>
      <c r="D36">
        <f>0</f>
        <v>0</v>
      </c>
      <c r="E36">
        <f>659274292/10^6</f>
        <v>659.27429199999995</v>
      </c>
      <c r="F36">
        <f>0</f>
        <v>0</v>
      </c>
      <c r="G36">
        <f>231035507/10^6</f>
        <v>231.035507</v>
      </c>
      <c r="H36">
        <f>0</f>
        <v>0</v>
      </c>
      <c r="I36">
        <f>-39769623/10^6</f>
        <v>-39.769623000000003</v>
      </c>
      <c r="J36">
        <f>0</f>
        <v>0</v>
      </c>
    </row>
    <row r="37" spans="1:10" x14ac:dyDescent="0.25">
      <c r="A37" t="s">
        <v>46</v>
      </c>
      <c r="B37" t="s">
        <v>11</v>
      </c>
      <c r="C37">
        <v>0</v>
      </c>
      <c r="D37">
        <f>2</f>
        <v>2</v>
      </c>
      <c r="F37">
        <f>2</f>
        <v>2</v>
      </c>
      <c r="H37">
        <f>2</f>
        <v>2</v>
      </c>
      <c r="J37">
        <f>2</f>
        <v>2</v>
      </c>
    </row>
    <row r="38" spans="1:10" x14ac:dyDescent="0.25">
      <c r="A38" t="s">
        <v>47</v>
      </c>
      <c r="B38" t="s">
        <v>11</v>
      </c>
      <c r="C38">
        <v>118.957695313</v>
      </c>
      <c r="D38">
        <f>0</f>
        <v>0</v>
      </c>
      <c r="E38">
        <f>660593811/10^6</f>
        <v>660.59381099999996</v>
      </c>
      <c r="F38">
        <f>0</f>
        <v>0</v>
      </c>
      <c r="G38">
        <f>231013489/10^6</f>
        <v>231.01348899999999</v>
      </c>
      <c r="H38">
        <f>0</f>
        <v>0</v>
      </c>
      <c r="I38">
        <f>-40169632/10^6</f>
        <v>-40.169632</v>
      </c>
      <c r="J38">
        <f>0</f>
        <v>0</v>
      </c>
    </row>
    <row r="39" spans="1:10" x14ac:dyDescent="0.25">
      <c r="A39" t="s">
        <v>48</v>
      </c>
      <c r="B39" t="s">
        <v>11</v>
      </c>
      <c r="C39">
        <v>118.84849218800001</v>
      </c>
      <c r="D39">
        <f>0</f>
        <v>0</v>
      </c>
      <c r="E39">
        <f>661118774/10^6</f>
        <v>661.11877400000003</v>
      </c>
      <c r="F39">
        <f>0</f>
        <v>0</v>
      </c>
      <c r="G39">
        <f>231009995/10^6</f>
        <v>231.009995</v>
      </c>
      <c r="H39">
        <f>0</f>
        <v>0</v>
      </c>
      <c r="I39">
        <f>-40079391/10^6</f>
        <v>-40.079391000000001</v>
      </c>
      <c r="J39">
        <f>0</f>
        <v>0</v>
      </c>
    </row>
    <row r="40" spans="1:10" x14ac:dyDescent="0.25">
      <c r="A40" t="s">
        <v>49</v>
      </c>
      <c r="B40" t="s">
        <v>11</v>
      </c>
      <c r="C40">
        <v>118.730140625</v>
      </c>
      <c r="D40">
        <f>0</f>
        <v>0</v>
      </c>
      <c r="E40">
        <f>66175293/10^5</f>
        <v>661.75292999999999</v>
      </c>
      <c r="F40">
        <f>0</f>
        <v>0</v>
      </c>
      <c r="G40">
        <f>231005737/10^6</f>
        <v>231.00573700000001</v>
      </c>
      <c r="H40">
        <f>0</f>
        <v>0</v>
      </c>
      <c r="I40">
        <f>-40111794/10^6</f>
        <v>-40.111794000000003</v>
      </c>
      <c r="J40">
        <f>0</f>
        <v>0</v>
      </c>
    </row>
    <row r="41" spans="1:10" x14ac:dyDescent="0.25">
      <c r="A41" t="s">
        <v>50</v>
      </c>
      <c r="B41" t="s">
        <v>11</v>
      </c>
      <c r="C41">
        <v>118.60257812499999</v>
      </c>
      <c r="D41">
        <f>0</f>
        <v>0</v>
      </c>
      <c r="E41">
        <f>662553833/10^6</f>
        <v>662.55383300000005</v>
      </c>
      <c r="F41">
        <f>0</f>
        <v>0</v>
      </c>
      <c r="G41">
        <f>230991165/10^6</f>
        <v>230.991165</v>
      </c>
      <c r="H41">
        <f>0</f>
        <v>0</v>
      </c>
      <c r="I41">
        <f>-40284679/10^6</f>
        <v>-40.284678999999997</v>
      </c>
      <c r="J41">
        <f>0</f>
        <v>0</v>
      </c>
    </row>
    <row r="42" spans="1:10" x14ac:dyDescent="0.25">
      <c r="A42" t="s">
        <v>51</v>
      </c>
      <c r="B42" t="s">
        <v>11</v>
      </c>
      <c r="C42">
        <v>118.468648438</v>
      </c>
      <c r="D42">
        <f>0</f>
        <v>0</v>
      </c>
      <c r="E42">
        <f>663338745/10^6</f>
        <v>663.33874500000002</v>
      </c>
      <c r="F42">
        <f>0</f>
        <v>0</v>
      </c>
      <c r="G42">
        <f>230967621/10^6</f>
        <v>230.96762100000001</v>
      </c>
      <c r="H42">
        <f>0</f>
        <v>0</v>
      </c>
      <c r="I42">
        <f>-40389313/10^6</f>
        <v>-40.389313000000001</v>
      </c>
      <c r="J42">
        <f>0</f>
        <v>0</v>
      </c>
    </row>
    <row r="43" spans="1:10" x14ac:dyDescent="0.25">
      <c r="A43" t="s">
        <v>52</v>
      </c>
      <c r="B43" t="s">
        <v>11</v>
      </c>
      <c r="C43">
        <v>118.328609375</v>
      </c>
      <c r="D43">
        <f>0</f>
        <v>0</v>
      </c>
      <c r="E43">
        <f>664116882/10^6</f>
        <v>664.11688200000003</v>
      </c>
      <c r="F43">
        <f>0</f>
        <v>0</v>
      </c>
      <c r="G43">
        <f>230950638/10^6</f>
        <v>230.950638</v>
      </c>
      <c r="H43">
        <f>0</f>
        <v>0</v>
      </c>
      <c r="I43">
        <f>-40463985/10^6</f>
        <v>-40.463985000000001</v>
      </c>
      <c r="J43">
        <f>0</f>
        <v>0</v>
      </c>
    </row>
    <row r="44" spans="1:10" x14ac:dyDescent="0.25">
      <c r="A44" t="s">
        <v>53</v>
      </c>
      <c r="B44" t="s">
        <v>11</v>
      </c>
      <c r="C44">
        <v>118.18839843800001</v>
      </c>
      <c r="D44">
        <f>0</f>
        <v>0</v>
      </c>
      <c r="E44">
        <f>66491864/10^5</f>
        <v>664.91863999999998</v>
      </c>
      <c r="F44">
        <f>0</f>
        <v>0</v>
      </c>
      <c r="G44">
        <f>230936203/10^6</f>
        <v>230.93620300000001</v>
      </c>
      <c r="H44">
        <f>0</f>
        <v>0</v>
      </c>
      <c r="I44">
        <f>-40514095/10^6</f>
        <v>-40.514094999999998</v>
      </c>
      <c r="J44">
        <f>0</f>
        <v>0</v>
      </c>
    </row>
    <row r="45" spans="1:10" x14ac:dyDescent="0.25">
      <c r="A45" t="s">
        <v>54</v>
      </c>
      <c r="B45" t="s">
        <v>11</v>
      </c>
      <c r="C45">
        <v>118.05210156300001</v>
      </c>
      <c r="D45">
        <f>0</f>
        <v>0</v>
      </c>
      <c r="E45">
        <f>66564978/10^5</f>
        <v>665.64977999999996</v>
      </c>
      <c r="F45">
        <f>0</f>
        <v>0</v>
      </c>
      <c r="G45">
        <f>23092453/10^5</f>
        <v>230.92453</v>
      </c>
      <c r="H45">
        <f>0</f>
        <v>0</v>
      </c>
      <c r="I45">
        <f>-40511856/10^6</f>
        <v>-40.511856000000002</v>
      </c>
      <c r="J45">
        <f>0</f>
        <v>0</v>
      </c>
    </row>
    <row r="46" spans="1:10" x14ac:dyDescent="0.25">
      <c r="A46" t="s">
        <v>55</v>
      </c>
      <c r="B46" t="s">
        <v>11</v>
      </c>
      <c r="C46">
        <v>117.922921875</v>
      </c>
      <c r="D46">
        <f>0</f>
        <v>0</v>
      </c>
      <c r="E46">
        <f>666393127/10^6</f>
        <v>666.39312700000005</v>
      </c>
      <c r="F46">
        <f>0</f>
        <v>0</v>
      </c>
      <c r="G46">
        <f>230906448/10^6</f>
        <v>230.90644800000001</v>
      </c>
      <c r="H46">
        <f>0</f>
        <v>0</v>
      </c>
      <c r="I46">
        <f>-40695351/10^6</f>
        <v>-40.695351000000002</v>
      </c>
      <c r="J46">
        <f>0</f>
        <v>0</v>
      </c>
    </row>
    <row r="47" spans="1:10" x14ac:dyDescent="0.25">
      <c r="A47" t="s">
        <v>56</v>
      </c>
      <c r="B47" t="s">
        <v>11</v>
      </c>
      <c r="C47">
        <v>117.81153125</v>
      </c>
      <c r="D47">
        <f>0</f>
        <v>0</v>
      </c>
      <c r="E47">
        <f>66710083/10^5</f>
        <v>667.10082999999997</v>
      </c>
      <c r="F47">
        <f>0</f>
        <v>0</v>
      </c>
      <c r="G47">
        <f>230901016/10^6</f>
        <v>230.901016</v>
      </c>
      <c r="H47">
        <f>0</f>
        <v>0</v>
      </c>
      <c r="I47">
        <f>-4088039/10^5</f>
        <v>-40.880389999999998</v>
      </c>
      <c r="J47">
        <f>0</f>
        <v>0</v>
      </c>
    </row>
    <row r="48" spans="1:10" x14ac:dyDescent="0.25">
      <c r="A48" t="s">
        <v>57</v>
      </c>
      <c r="B48" t="s">
        <v>11</v>
      </c>
      <c r="C48">
        <v>0</v>
      </c>
      <c r="D48">
        <f>2</f>
        <v>2</v>
      </c>
      <c r="F48">
        <f>2</f>
        <v>2</v>
      </c>
      <c r="H48">
        <f>2</f>
        <v>2</v>
      </c>
      <c r="J48">
        <f>2</f>
        <v>2</v>
      </c>
    </row>
    <row r="49" spans="1:10" x14ac:dyDescent="0.25">
      <c r="A49" t="s">
        <v>58</v>
      </c>
      <c r="B49" t="s">
        <v>11</v>
      </c>
      <c r="C49">
        <v>117.612296875</v>
      </c>
      <c r="D49">
        <f>0</f>
        <v>0</v>
      </c>
      <c r="E49">
        <f>668250671/10^6</f>
        <v>668.25067100000001</v>
      </c>
      <c r="F49">
        <f>0</f>
        <v>0</v>
      </c>
      <c r="G49">
        <f>230870148/10^6</f>
        <v>230.870148</v>
      </c>
      <c r="H49">
        <f>0</f>
        <v>0</v>
      </c>
      <c r="I49">
        <f>-40949726/10^6</f>
        <v>-40.949725999999998</v>
      </c>
      <c r="J49">
        <f>0</f>
        <v>0</v>
      </c>
    </row>
    <row r="50" spans="1:10" x14ac:dyDescent="0.25">
      <c r="A50" t="s">
        <v>59</v>
      </c>
      <c r="B50" t="s">
        <v>11</v>
      </c>
      <c r="C50">
        <v>117.479421875</v>
      </c>
      <c r="D50">
        <f>0</f>
        <v>0</v>
      </c>
      <c r="E50">
        <f>669069641/10^6</f>
        <v>669.06964100000005</v>
      </c>
      <c r="F50">
        <f>0</f>
        <v>0</v>
      </c>
      <c r="G50">
        <f>23086969/10^5</f>
        <v>230.86968999999999</v>
      </c>
      <c r="H50">
        <f>0</f>
        <v>0</v>
      </c>
      <c r="I50">
        <f>-41133766/10^6</f>
        <v>-41.133766000000001</v>
      </c>
      <c r="J50">
        <f>0</f>
        <v>0</v>
      </c>
    </row>
    <row r="51" spans="1:10" x14ac:dyDescent="0.25">
      <c r="A51" t="s">
        <v>60</v>
      </c>
      <c r="B51" t="s">
        <v>11</v>
      </c>
      <c r="C51">
        <v>117.33557031300001</v>
      </c>
      <c r="D51">
        <f>0</f>
        <v>0</v>
      </c>
      <c r="E51">
        <f>669816895/10^6</f>
        <v>669.81689500000005</v>
      </c>
      <c r="F51">
        <f>0</f>
        <v>0</v>
      </c>
      <c r="G51">
        <f>230838348/10^6</f>
        <v>230.838348</v>
      </c>
      <c r="H51">
        <f>0</f>
        <v>0</v>
      </c>
      <c r="I51">
        <f>-41009747/10^6</f>
        <v>-41.009746999999997</v>
      </c>
      <c r="J51">
        <f>0</f>
        <v>0</v>
      </c>
    </row>
    <row r="52" spans="1:10" x14ac:dyDescent="0.25">
      <c r="A52" t="s">
        <v>61</v>
      </c>
      <c r="B52" t="s">
        <v>11</v>
      </c>
      <c r="C52">
        <v>117.167929688</v>
      </c>
      <c r="D52">
        <f>0</f>
        <v>0</v>
      </c>
      <c r="E52">
        <f>67062323/10^5</f>
        <v>670.62323000000004</v>
      </c>
      <c r="F52">
        <f>0</f>
        <v>0</v>
      </c>
      <c r="G52">
        <f>230823364/10^6</f>
        <v>230.823364</v>
      </c>
      <c r="H52">
        <f>0</f>
        <v>0</v>
      </c>
      <c r="I52">
        <f>-40782089/10^6</f>
        <v>-40.782088999999999</v>
      </c>
      <c r="J52">
        <f>0</f>
        <v>0</v>
      </c>
    </row>
    <row r="53" spans="1:10" x14ac:dyDescent="0.25">
      <c r="A53" t="s">
        <v>62</v>
      </c>
      <c r="B53" t="s">
        <v>11</v>
      </c>
      <c r="C53">
        <v>116.935203125</v>
      </c>
      <c r="D53">
        <f>0</f>
        <v>0</v>
      </c>
      <c r="E53">
        <f>67200946/10^5</f>
        <v>672.00945999999999</v>
      </c>
      <c r="F53">
        <f>0</f>
        <v>0</v>
      </c>
      <c r="G53">
        <f>230807678/10^6</f>
        <v>230.80767800000001</v>
      </c>
      <c r="H53">
        <f>0</f>
        <v>0</v>
      </c>
      <c r="I53">
        <f>-41132385/10^6</f>
        <v>-41.132384999999999</v>
      </c>
      <c r="J53">
        <f>0</f>
        <v>0</v>
      </c>
    </row>
    <row r="54" spans="1:10" x14ac:dyDescent="0.25">
      <c r="A54" t="s">
        <v>63</v>
      </c>
      <c r="B54" t="s">
        <v>11</v>
      </c>
      <c r="C54">
        <v>116.66904687500001</v>
      </c>
      <c r="D54">
        <f>0</f>
        <v>0</v>
      </c>
      <c r="E54">
        <f>673721741/10^6</f>
        <v>673.72174099999995</v>
      </c>
      <c r="F54">
        <f>0</f>
        <v>0</v>
      </c>
      <c r="G54">
        <f>230765808/10^6</f>
        <v>230.76580799999999</v>
      </c>
      <c r="H54">
        <f>0</f>
        <v>0</v>
      </c>
      <c r="I54">
        <f>-4159985/10^5</f>
        <v>-41.599850000000004</v>
      </c>
      <c r="J54">
        <f>0</f>
        <v>0</v>
      </c>
    </row>
    <row r="55" spans="1:10" x14ac:dyDescent="0.25">
      <c r="A55" t="s">
        <v>64</v>
      </c>
      <c r="B55" t="s">
        <v>11</v>
      </c>
      <c r="C55">
        <v>116.39053906300001</v>
      </c>
      <c r="D55">
        <f>0</f>
        <v>0</v>
      </c>
      <c r="E55">
        <f>675326111/10^6</f>
        <v>675.32611099999997</v>
      </c>
      <c r="F55">
        <f>0</f>
        <v>0</v>
      </c>
      <c r="G55">
        <f>230717865/10^6</f>
        <v>230.71786499999999</v>
      </c>
      <c r="H55">
        <f>0</f>
        <v>0</v>
      </c>
      <c r="I55">
        <f>-41699383/10^6</f>
        <v>-41.699382999999997</v>
      </c>
      <c r="J55">
        <f>0</f>
        <v>0</v>
      </c>
    </row>
    <row r="56" spans="1:10" x14ac:dyDescent="0.25">
      <c r="A56" t="s">
        <v>65</v>
      </c>
      <c r="B56" t="s">
        <v>11</v>
      </c>
      <c r="C56">
        <v>116.11836718800001</v>
      </c>
      <c r="D56">
        <f>0</f>
        <v>0</v>
      </c>
      <c r="E56">
        <f>676779358/10^6</f>
        <v>676.779358</v>
      </c>
      <c r="F56">
        <f>0</f>
        <v>0</v>
      </c>
      <c r="G56">
        <f>230677856/10^6</f>
        <v>230.67785599999999</v>
      </c>
      <c r="H56">
        <f>0</f>
        <v>0</v>
      </c>
      <c r="I56">
        <f>-41808403/10^6</f>
        <v>-41.808402999999998</v>
      </c>
      <c r="J56">
        <f>0</f>
        <v>0</v>
      </c>
    </row>
    <row r="57" spans="1:10" x14ac:dyDescent="0.25">
      <c r="A57" t="s">
        <v>66</v>
      </c>
      <c r="B57" t="s">
        <v>11</v>
      </c>
      <c r="C57">
        <v>115.89025781300001</v>
      </c>
      <c r="D57">
        <f>0</f>
        <v>0</v>
      </c>
      <c r="E57">
        <f>678131897/10^6</f>
        <v>678.13189699999998</v>
      </c>
      <c r="F57">
        <f>0</f>
        <v>0</v>
      </c>
      <c r="G57">
        <f>230618973/10^6</f>
        <v>230.61897300000001</v>
      </c>
      <c r="H57">
        <f>0</f>
        <v>0</v>
      </c>
      <c r="I57">
        <f>-42177017/10^6</f>
        <v>-42.177016999999999</v>
      </c>
      <c r="J57">
        <f>0</f>
        <v>0</v>
      </c>
    </row>
    <row r="58" spans="1:10" x14ac:dyDescent="0.25">
      <c r="A58" t="s">
        <v>67</v>
      </c>
      <c r="B58" t="s">
        <v>11</v>
      </c>
      <c r="C58">
        <v>0</v>
      </c>
      <c r="D58">
        <f>2</f>
        <v>2</v>
      </c>
      <c r="F58">
        <f>2</f>
        <v>2</v>
      </c>
      <c r="H58">
        <f>2</f>
        <v>2</v>
      </c>
      <c r="J58">
        <f>2</f>
        <v>2</v>
      </c>
    </row>
    <row r="59" spans="1:10" x14ac:dyDescent="0.25">
      <c r="A59" t="s">
        <v>68</v>
      </c>
      <c r="B59" t="s">
        <v>11</v>
      </c>
      <c r="C59">
        <v>115.58610937500001</v>
      </c>
      <c r="D59">
        <f>0</f>
        <v>0</v>
      </c>
      <c r="E59">
        <f>679828003/10^6</f>
        <v>679.82800299999997</v>
      </c>
      <c r="F59">
        <f>0</f>
        <v>0</v>
      </c>
      <c r="G59">
        <f>230519226/10^6</f>
        <v>230.519226</v>
      </c>
      <c r="H59">
        <f>0</f>
        <v>0</v>
      </c>
      <c r="I59">
        <f>-42479321/10^6</f>
        <v>-42.479320999999999</v>
      </c>
      <c r="J59">
        <f>0</f>
        <v>0</v>
      </c>
    </row>
    <row r="60" spans="1:10" x14ac:dyDescent="0.25">
      <c r="A60" t="s">
        <v>69</v>
      </c>
      <c r="B60" t="s">
        <v>11</v>
      </c>
      <c r="C60">
        <v>115.46177343800001</v>
      </c>
      <c r="D60">
        <f>0</f>
        <v>0</v>
      </c>
      <c r="E60">
        <f>680470764/10^6</f>
        <v>680.47076400000003</v>
      </c>
      <c r="F60">
        <f>0</f>
        <v>0</v>
      </c>
      <c r="G60">
        <f>230512909/10^6</f>
        <v>230.51290900000001</v>
      </c>
      <c r="H60">
        <f>0</f>
        <v>0</v>
      </c>
      <c r="I60">
        <f>-4244445/10^5</f>
        <v>-42.444450000000003</v>
      </c>
      <c r="J60">
        <f>0</f>
        <v>0</v>
      </c>
    </row>
    <row r="61" spans="1:10" x14ac:dyDescent="0.25">
      <c r="A61" t="s">
        <v>70</v>
      </c>
      <c r="B61" t="s">
        <v>11</v>
      </c>
      <c r="C61">
        <v>115.3179375</v>
      </c>
      <c r="D61">
        <f>0</f>
        <v>0</v>
      </c>
      <c r="E61">
        <f>681286438/10^6</f>
        <v>681.28643799999998</v>
      </c>
      <c r="F61">
        <f>0</f>
        <v>0</v>
      </c>
      <c r="G61">
        <f>230444794/10^6</f>
        <v>230.444794</v>
      </c>
      <c r="H61">
        <f>0</f>
        <v>0</v>
      </c>
      <c r="I61">
        <f>-42522392/10^6</f>
        <v>-42.522392000000004</v>
      </c>
      <c r="J61">
        <f>0</f>
        <v>0</v>
      </c>
    </row>
    <row r="62" spans="1:10" x14ac:dyDescent="0.25">
      <c r="A62" t="s">
        <v>71</v>
      </c>
      <c r="B62" t="s">
        <v>11</v>
      </c>
      <c r="C62">
        <v>115.200835938</v>
      </c>
      <c r="D62">
        <f>0</f>
        <v>0</v>
      </c>
      <c r="E62">
        <f>681807556/10^6</f>
        <v>681.80755599999998</v>
      </c>
      <c r="F62">
        <f>0</f>
        <v>0</v>
      </c>
      <c r="G62">
        <f>230338272/10^6</f>
        <v>230.33827199999999</v>
      </c>
      <c r="H62">
        <f>0</f>
        <v>0</v>
      </c>
      <c r="I62">
        <f>-42712833/10^6</f>
        <v>-42.712833000000003</v>
      </c>
      <c r="J62">
        <f>0</f>
        <v>0</v>
      </c>
    </row>
    <row r="63" spans="1:10" x14ac:dyDescent="0.25">
      <c r="A63" t="s">
        <v>72</v>
      </c>
      <c r="B63" t="s">
        <v>11</v>
      </c>
      <c r="C63">
        <v>115.118140625</v>
      </c>
      <c r="D63">
        <f>0</f>
        <v>0</v>
      </c>
      <c r="E63">
        <f>682150757/10^6</f>
        <v>682.150757</v>
      </c>
      <c r="F63">
        <f>0</f>
        <v>0</v>
      </c>
      <c r="G63">
        <f>23032399/10^5</f>
        <v>230.32399000000001</v>
      </c>
      <c r="H63">
        <f>0</f>
        <v>0</v>
      </c>
      <c r="I63">
        <f>-42741535/10^6</f>
        <v>-42.741534999999999</v>
      </c>
      <c r="J63">
        <f>0</f>
        <v>0</v>
      </c>
    </row>
    <row r="64" spans="1:10" x14ac:dyDescent="0.25">
      <c r="A64" t="s">
        <v>73</v>
      </c>
      <c r="B64" t="s">
        <v>11</v>
      </c>
      <c r="C64">
        <v>115.0631875</v>
      </c>
      <c r="D64">
        <f>0</f>
        <v>0</v>
      </c>
      <c r="E64">
        <f>682546082/10^6</f>
        <v>682.54608199999996</v>
      </c>
      <c r="F64">
        <f>0</f>
        <v>0</v>
      </c>
      <c r="G64">
        <f>23033931/10^5</f>
        <v>230.33931000000001</v>
      </c>
      <c r="H64">
        <f>0</f>
        <v>0</v>
      </c>
      <c r="I64">
        <f>-42754993/10^6</f>
        <v>-42.754992999999999</v>
      </c>
      <c r="J64">
        <f>0</f>
        <v>0</v>
      </c>
    </row>
    <row r="65" spans="1:10" x14ac:dyDescent="0.25">
      <c r="A65" t="s">
        <v>74</v>
      </c>
      <c r="B65" t="s">
        <v>11</v>
      </c>
      <c r="C65">
        <v>115.029359375</v>
      </c>
      <c r="D65">
        <f>0</f>
        <v>0</v>
      </c>
      <c r="E65">
        <f>682783142/10^6</f>
        <v>682.783142</v>
      </c>
      <c r="F65">
        <f>0</f>
        <v>0</v>
      </c>
      <c r="G65">
        <f>230298126/10^6</f>
        <v>230.298126</v>
      </c>
      <c r="H65">
        <f>0</f>
        <v>0</v>
      </c>
      <c r="I65">
        <f>-42871231/10^6</f>
        <v>-42.871231000000002</v>
      </c>
      <c r="J65">
        <f>0</f>
        <v>0</v>
      </c>
    </row>
    <row r="66" spans="1:10" x14ac:dyDescent="0.25">
      <c r="A66" t="s">
        <v>75</v>
      </c>
      <c r="B66" t="s">
        <v>11</v>
      </c>
      <c r="C66">
        <v>114.99399218800001</v>
      </c>
      <c r="D66">
        <f>0</f>
        <v>0</v>
      </c>
      <c r="E66">
        <f>682846008/10^6</f>
        <v>682.84600799999998</v>
      </c>
      <c r="F66">
        <f>0</f>
        <v>0</v>
      </c>
      <c r="G66">
        <f>23025856/10^5</f>
        <v>230.25855999999999</v>
      </c>
      <c r="H66">
        <f>0</f>
        <v>0</v>
      </c>
      <c r="I66">
        <f>-42826351/10^6</f>
        <v>-42.826351000000003</v>
      </c>
      <c r="J66">
        <f>0</f>
        <v>0</v>
      </c>
    </row>
    <row r="67" spans="1:10" x14ac:dyDescent="0.25">
      <c r="A67" t="s">
        <v>76</v>
      </c>
      <c r="B67" t="s">
        <v>11</v>
      </c>
      <c r="C67">
        <v>114.96149218800001</v>
      </c>
      <c r="D67">
        <f>0</f>
        <v>0</v>
      </c>
      <c r="E67">
        <f>682956543/10^6</f>
        <v>682.95654300000001</v>
      </c>
      <c r="F67">
        <f>0</f>
        <v>0</v>
      </c>
      <c r="G67">
        <f>230254593/10^6</f>
        <v>230.254593</v>
      </c>
      <c r="H67">
        <f>0</f>
        <v>0</v>
      </c>
      <c r="I67">
        <f>-42803623/10^6</f>
        <v>-42.803623000000002</v>
      </c>
      <c r="J67">
        <f>0</f>
        <v>0</v>
      </c>
    </row>
    <row r="68" spans="1:10" x14ac:dyDescent="0.25">
      <c r="A68" t="s">
        <v>77</v>
      </c>
      <c r="B68" t="s">
        <v>11</v>
      </c>
      <c r="C68">
        <v>114.99948437499999</v>
      </c>
      <c r="D68">
        <f>0</f>
        <v>0</v>
      </c>
      <c r="E68">
        <f>6829328/10^4</f>
        <v>682.93280000000004</v>
      </c>
      <c r="F68">
        <f>0</f>
        <v>0</v>
      </c>
      <c r="G68">
        <f>230292114/10^6</f>
        <v>230.292114</v>
      </c>
      <c r="H68">
        <f>0</f>
        <v>0</v>
      </c>
      <c r="I68">
        <f>-42888153/10^6</f>
        <v>-42.888153000000003</v>
      </c>
      <c r="J68">
        <f>0</f>
        <v>0</v>
      </c>
    </row>
    <row r="69" spans="1:10" x14ac:dyDescent="0.25">
      <c r="A69" t="s">
        <v>78</v>
      </c>
      <c r="B69" t="s">
        <v>11</v>
      </c>
      <c r="C69">
        <v>115.141328125</v>
      </c>
      <c r="D69">
        <f>0</f>
        <v>0</v>
      </c>
      <c r="E69">
        <f>682199219/10^6</f>
        <v>682.19921899999997</v>
      </c>
      <c r="F69">
        <f>0</f>
        <v>0</v>
      </c>
      <c r="G69">
        <f>230343689/10^6</f>
        <v>230.34368900000001</v>
      </c>
      <c r="H69">
        <f>0</f>
        <v>0</v>
      </c>
      <c r="I69">
        <f>-42780224/10^6</f>
        <v>-42.780223999999997</v>
      </c>
      <c r="J69">
        <f>0</f>
        <v>0</v>
      </c>
    </row>
    <row r="70" spans="1:10" x14ac:dyDescent="0.25">
      <c r="A70" t="s">
        <v>79</v>
      </c>
      <c r="B70" t="s">
        <v>11</v>
      </c>
      <c r="C70">
        <v>115.364773438</v>
      </c>
      <c r="D70">
        <f>0</f>
        <v>0</v>
      </c>
      <c r="E70">
        <f>681017456/10^6</f>
        <v>681.01745600000004</v>
      </c>
      <c r="F70">
        <f>0</f>
        <v>0</v>
      </c>
      <c r="G70">
        <f>230415466/10^6</f>
        <v>230.41546600000001</v>
      </c>
      <c r="H70">
        <f>0</f>
        <v>0</v>
      </c>
      <c r="I70">
        <f>-42631496/10^6</f>
        <v>-42.631495999999999</v>
      </c>
      <c r="J70">
        <f>0</f>
        <v>0</v>
      </c>
    </row>
    <row r="71" spans="1:10" x14ac:dyDescent="0.25">
      <c r="A71" t="s">
        <v>80</v>
      </c>
      <c r="B71" t="s">
        <v>11</v>
      </c>
      <c r="C71">
        <v>115.653085938</v>
      </c>
      <c r="D71">
        <f>0</f>
        <v>0</v>
      </c>
      <c r="E71">
        <f>679602661/10^6</f>
        <v>679.60266100000001</v>
      </c>
      <c r="F71">
        <f>0</f>
        <v>0</v>
      </c>
      <c r="G71">
        <f>23051149/10^5</f>
        <v>230.51149000000001</v>
      </c>
      <c r="H71">
        <f>0</f>
        <v>0</v>
      </c>
      <c r="I71">
        <f>-42630184/10^6</f>
        <v>-42.630184</v>
      </c>
      <c r="J71">
        <f>0</f>
        <v>0</v>
      </c>
    </row>
    <row r="72" spans="1:10" x14ac:dyDescent="0.25">
      <c r="A72" t="s">
        <v>81</v>
      </c>
      <c r="B72" t="s">
        <v>11</v>
      </c>
      <c r="C72">
        <v>116.01940625</v>
      </c>
      <c r="D72">
        <f>0</f>
        <v>0</v>
      </c>
      <c r="E72">
        <f>677498047/10^6</f>
        <v>677.49804700000004</v>
      </c>
      <c r="F72">
        <f>0</f>
        <v>0</v>
      </c>
      <c r="G72">
        <f>230590408/10^6</f>
        <v>230.590408</v>
      </c>
      <c r="H72">
        <f>0</f>
        <v>0</v>
      </c>
      <c r="I72">
        <f>-42438358/10^6</f>
        <v>-42.438358000000001</v>
      </c>
      <c r="J72">
        <f>0</f>
        <v>0</v>
      </c>
    </row>
    <row r="73" spans="1:10" x14ac:dyDescent="0.25">
      <c r="A73" t="s">
        <v>82</v>
      </c>
      <c r="B73" t="s">
        <v>11</v>
      </c>
      <c r="C73">
        <v>116.46634374999999</v>
      </c>
      <c r="D73">
        <f>0</f>
        <v>0</v>
      </c>
      <c r="E73">
        <f>674916321/10^6</f>
        <v>674.91632100000004</v>
      </c>
      <c r="F73">
        <f>0</f>
        <v>0</v>
      </c>
      <c r="G73">
        <f>230662811/10^6</f>
        <v>230.662811</v>
      </c>
      <c r="H73">
        <f>0</f>
        <v>0</v>
      </c>
      <c r="I73">
        <f>-42088631/10^6</f>
        <v>-42.088630999999999</v>
      </c>
      <c r="J73">
        <f>0</f>
        <v>0</v>
      </c>
    </row>
    <row r="74" spans="1:10" x14ac:dyDescent="0.25">
      <c r="A74" t="s">
        <v>83</v>
      </c>
      <c r="B74" t="s">
        <v>11</v>
      </c>
      <c r="C74">
        <v>116.974734375</v>
      </c>
      <c r="D74">
        <f>0</f>
        <v>0</v>
      </c>
      <c r="E74">
        <f>672108582/10^6</f>
        <v>672.10858199999996</v>
      </c>
      <c r="F74">
        <f>0</f>
        <v>0</v>
      </c>
      <c r="G74">
        <f>230743362/10^6</f>
        <v>230.74336199999999</v>
      </c>
      <c r="H74">
        <f>0</f>
        <v>0</v>
      </c>
      <c r="I74">
        <f>-41948238/10^6</f>
        <v>-41.948238000000003</v>
      </c>
      <c r="J74">
        <f>0</f>
        <v>0</v>
      </c>
    </row>
    <row r="75" spans="1:10" x14ac:dyDescent="0.25">
      <c r="A75" t="s">
        <v>84</v>
      </c>
      <c r="B75" t="s">
        <v>11</v>
      </c>
      <c r="C75">
        <v>117.553625</v>
      </c>
      <c r="D75">
        <f>0</f>
        <v>0</v>
      </c>
      <c r="E75">
        <f>668721313/10^6</f>
        <v>668.72131300000001</v>
      </c>
      <c r="F75">
        <f>0</f>
        <v>0</v>
      </c>
      <c r="G75">
        <f>230819916/10^6</f>
        <v>230.81991600000001</v>
      </c>
      <c r="H75">
        <f>0</f>
        <v>0</v>
      </c>
      <c r="I75">
        <f>-41560425/10^6</f>
        <v>-41.560425000000002</v>
      </c>
      <c r="J75">
        <f>0</f>
        <v>0</v>
      </c>
    </row>
    <row r="76" spans="1:10" x14ac:dyDescent="0.25">
      <c r="A76" t="s">
        <v>85</v>
      </c>
      <c r="B76" t="s">
        <v>11</v>
      </c>
      <c r="C76">
        <v>118.20415625</v>
      </c>
      <c r="D76">
        <f>0</f>
        <v>0</v>
      </c>
      <c r="E76">
        <f>664989319/10^6</f>
        <v>664.98931900000002</v>
      </c>
      <c r="F76">
        <f>0</f>
        <v>0</v>
      </c>
      <c r="G76">
        <f>230901413/10^6</f>
        <v>230.90141299999999</v>
      </c>
      <c r="H76">
        <f>0</f>
        <v>0</v>
      </c>
      <c r="I76">
        <f>-41110199/10^6</f>
        <v>-41.110199000000001</v>
      </c>
      <c r="J76">
        <f>0</f>
        <v>0</v>
      </c>
    </row>
    <row r="77" spans="1:10" x14ac:dyDescent="0.25">
      <c r="A77" t="s">
        <v>86</v>
      </c>
      <c r="B77" t="s">
        <v>11</v>
      </c>
      <c r="C77">
        <v>118.93080468800001</v>
      </c>
      <c r="D77">
        <f>0</f>
        <v>0</v>
      </c>
      <c r="E77">
        <f>660865051/10^6</f>
        <v>660.86505099999999</v>
      </c>
      <c r="F77">
        <f>0</f>
        <v>0</v>
      </c>
      <c r="G77">
        <f>230979309/10^6</f>
        <v>230.979309</v>
      </c>
      <c r="H77">
        <f>0</f>
        <v>0</v>
      </c>
      <c r="I77">
        <f>-40726463/10^6</f>
        <v>-40.726463000000003</v>
      </c>
      <c r="J77">
        <f>0</f>
        <v>0</v>
      </c>
    </row>
    <row r="78" spans="1:10" x14ac:dyDescent="0.25">
      <c r="A78" t="s">
        <v>87</v>
      </c>
      <c r="B78" t="s">
        <v>11</v>
      </c>
      <c r="C78">
        <v>119.695132813</v>
      </c>
      <c r="D78">
        <f>0</f>
        <v>0</v>
      </c>
      <c r="E78">
        <f>656445313/10^6</f>
        <v>656.44531300000006</v>
      </c>
      <c r="F78">
        <f>0</f>
        <v>0</v>
      </c>
      <c r="G78">
        <f>231046249/10^6</f>
        <v>231.04624899999999</v>
      </c>
      <c r="H78">
        <f>0</f>
        <v>0</v>
      </c>
      <c r="I78">
        <f>-40166641/10^6</f>
        <v>-40.166640999999998</v>
      </c>
      <c r="J78">
        <f>0</f>
        <v>0</v>
      </c>
    </row>
    <row r="79" spans="1:10" x14ac:dyDescent="0.25">
      <c r="A79" t="s">
        <v>88</v>
      </c>
      <c r="B79" t="s">
        <v>11</v>
      </c>
      <c r="C79">
        <v>120.433398438</v>
      </c>
      <c r="D79">
        <f>0</f>
        <v>0</v>
      </c>
      <c r="E79">
        <f>652230225/10^6</f>
        <v>652.23022500000002</v>
      </c>
      <c r="F79">
        <f>0</f>
        <v>0</v>
      </c>
      <c r="G79">
        <f>23109436/10^5</f>
        <v>231.09435999999999</v>
      </c>
      <c r="H79">
        <f>0</f>
        <v>0</v>
      </c>
      <c r="I79">
        <f>-39699993/10^6</f>
        <v>-39.699992999999999</v>
      </c>
      <c r="J79">
        <f>0</f>
        <v>0</v>
      </c>
    </row>
    <row r="80" spans="1:10" x14ac:dyDescent="0.25">
      <c r="A80" t="s">
        <v>89</v>
      </c>
      <c r="B80" t="s">
        <v>11</v>
      </c>
      <c r="C80">
        <v>121.06106250000001</v>
      </c>
      <c r="D80">
        <f>0</f>
        <v>0</v>
      </c>
      <c r="E80">
        <f>64857251/10^5</f>
        <v>648.57250999999997</v>
      </c>
      <c r="F80">
        <f>0</f>
        <v>0</v>
      </c>
      <c r="G80">
        <f>23111525/10^5</f>
        <v>231.11525</v>
      </c>
      <c r="H80">
        <f>0</f>
        <v>0</v>
      </c>
      <c r="I80">
        <f>-39242332/10^6</f>
        <v>-39.242331999999998</v>
      </c>
      <c r="J80">
        <f>0</f>
        <v>0</v>
      </c>
    </row>
    <row r="81" spans="1:10" x14ac:dyDescent="0.25">
      <c r="A81" t="s">
        <v>90</v>
      </c>
      <c r="B81" t="s">
        <v>11</v>
      </c>
      <c r="C81">
        <v>121.49700781300001</v>
      </c>
      <c r="D81">
        <f>0</f>
        <v>0</v>
      </c>
      <c r="E81">
        <f>646059021/10^6</f>
        <v>646.05902100000003</v>
      </c>
      <c r="F81">
        <f>0</f>
        <v>0</v>
      </c>
      <c r="G81">
        <f>231149963/10^6</f>
        <v>231.14996300000001</v>
      </c>
      <c r="H81">
        <f>0</f>
        <v>0</v>
      </c>
      <c r="I81">
        <f>-38867252/10^6</f>
        <v>-38.867252000000001</v>
      </c>
      <c r="J81">
        <f>0</f>
        <v>0</v>
      </c>
    </row>
    <row r="82" spans="1:10" x14ac:dyDescent="0.25">
      <c r="A82" t="s">
        <v>91</v>
      </c>
      <c r="B82" t="s">
        <v>11</v>
      </c>
      <c r="C82">
        <v>121.76418750000001</v>
      </c>
      <c r="D82">
        <f>0</f>
        <v>0</v>
      </c>
      <c r="E82">
        <f>644640564/10^6</f>
        <v>644.64056400000004</v>
      </c>
      <c r="F82">
        <f>0</f>
        <v>0</v>
      </c>
      <c r="G82">
        <f>231200424/10^6</f>
        <v>231.200424</v>
      </c>
      <c r="H82">
        <f>0</f>
        <v>0</v>
      </c>
      <c r="I82">
        <f>-38728573/10^6</f>
        <v>-38.728572999999997</v>
      </c>
      <c r="J82">
        <f>0</f>
        <v>0</v>
      </c>
    </row>
    <row r="83" spans="1:10" x14ac:dyDescent="0.25">
      <c r="A83" t="s">
        <v>92</v>
      </c>
      <c r="B83" t="s">
        <v>11</v>
      </c>
      <c r="C83">
        <v>121.95454687500001</v>
      </c>
      <c r="D83">
        <f>0</f>
        <v>0</v>
      </c>
      <c r="E83">
        <f>643768433/10^6</f>
        <v>643.76843299999996</v>
      </c>
      <c r="F83">
        <f>0</f>
        <v>0</v>
      </c>
      <c r="G83">
        <f>231250534/10^6</f>
        <v>231.25053399999999</v>
      </c>
      <c r="H83">
        <f>0</f>
        <v>0</v>
      </c>
      <c r="I83">
        <f>-38791122/10^6</f>
        <v>-38.791122000000001</v>
      </c>
      <c r="J83">
        <f>0</f>
        <v>0</v>
      </c>
    </row>
    <row r="84" spans="1:10" x14ac:dyDescent="0.25">
      <c r="A84" t="s">
        <v>93</v>
      </c>
      <c r="B84" t="s">
        <v>11</v>
      </c>
      <c r="C84">
        <v>122.110234375</v>
      </c>
      <c r="D84">
        <f>0</f>
        <v>0</v>
      </c>
      <c r="E84">
        <f>642991211/10^6</f>
        <v>642.99121100000002</v>
      </c>
      <c r="F84">
        <f>0</f>
        <v>0</v>
      </c>
      <c r="G84">
        <f>231302841/10^6</f>
        <v>231.302841</v>
      </c>
      <c r="H84">
        <f>0</f>
        <v>0</v>
      </c>
      <c r="I84">
        <f>-3854491/10^5</f>
        <v>-38.544910000000002</v>
      </c>
      <c r="J84">
        <f>0</f>
        <v>0</v>
      </c>
    </row>
    <row r="85" spans="1:10" x14ac:dyDescent="0.25">
      <c r="A85" t="s">
        <v>94</v>
      </c>
      <c r="B85" t="s">
        <v>11</v>
      </c>
      <c r="C85">
        <v>122.203367188</v>
      </c>
      <c r="D85">
        <f>0</f>
        <v>0</v>
      </c>
      <c r="E85">
        <f>642438965/10^6</f>
        <v>642.43896500000005</v>
      </c>
      <c r="F85">
        <f>0</f>
        <v>0</v>
      </c>
      <c r="G85">
        <f>231340317/10^6</f>
        <v>231.340317</v>
      </c>
      <c r="H85">
        <f>0</f>
        <v>0</v>
      </c>
      <c r="I85">
        <f>-38213787/10^6</f>
        <v>-38.213787000000004</v>
      </c>
      <c r="J85">
        <f>0</f>
        <v>0</v>
      </c>
    </row>
    <row r="86" spans="1:10" x14ac:dyDescent="0.25">
      <c r="A86" t="s">
        <v>95</v>
      </c>
      <c r="B86" t="s">
        <v>11</v>
      </c>
      <c r="C86">
        <v>122.21203906300001</v>
      </c>
      <c r="D86">
        <f>0</f>
        <v>0</v>
      </c>
      <c r="E86">
        <f>642507446/10^6</f>
        <v>642.50744599999996</v>
      </c>
      <c r="F86">
        <f>0</f>
        <v>0</v>
      </c>
      <c r="G86">
        <f>231372665/10^6</f>
        <v>231.37266500000001</v>
      </c>
      <c r="H86">
        <f>0</f>
        <v>0</v>
      </c>
      <c r="I86">
        <f>-38275433/10^6</f>
        <v>-38.275433</v>
      </c>
      <c r="J86">
        <f>0</f>
        <v>0</v>
      </c>
    </row>
    <row r="87" spans="1:10" x14ac:dyDescent="0.25">
      <c r="A87" t="s">
        <v>96</v>
      </c>
      <c r="B87" t="s">
        <v>11</v>
      </c>
      <c r="C87">
        <v>0</v>
      </c>
      <c r="D87">
        <f>2</f>
        <v>2</v>
      </c>
      <c r="F87">
        <f>2</f>
        <v>2</v>
      </c>
      <c r="H87">
        <f>2</f>
        <v>2</v>
      </c>
      <c r="J87">
        <f>2</f>
        <v>2</v>
      </c>
    </row>
    <row r="88" spans="1:10" x14ac:dyDescent="0.25">
      <c r="A88" t="s">
        <v>97</v>
      </c>
      <c r="B88" t="s">
        <v>11</v>
      </c>
      <c r="C88">
        <v>0</v>
      </c>
      <c r="D88">
        <f>2</f>
        <v>2</v>
      </c>
      <c r="F88">
        <f>2</f>
        <v>2</v>
      </c>
      <c r="H88">
        <f>2</f>
        <v>2</v>
      </c>
      <c r="J88">
        <f>2</f>
        <v>2</v>
      </c>
    </row>
    <row r="89" spans="1:10" x14ac:dyDescent="0.25">
      <c r="A89" t="s">
        <v>98</v>
      </c>
      <c r="B89" t="s">
        <v>11</v>
      </c>
      <c r="C89">
        <v>122.01359375</v>
      </c>
      <c r="D89">
        <f>0</f>
        <v>0</v>
      </c>
      <c r="E89">
        <f>643781128/10^6</f>
        <v>643.78112799999997</v>
      </c>
      <c r="F89">
        <f>0</f>
        <v>0</v>
      </c>
      <c r="G89">
        <f>231427872/10^6</f>
        <v>231.42787200000001</v>
      </c>
      <c r="H89">
        <f>0</f>
        <v>0</v>
      </c>
      <c r="I89">
        <f>-38380535/10^6</f>
        <v>-38.380535000000002</v>
      </c>
      <c r="J89">
        <f>0</f>
        <v>0</v>
      </c>
    </row>
    <row r="90" spans="1:10" x14ac:dyDescent="0.25">
      <c r="A90" t="s">
        <v>99</v>
      </c>
      <c r="B90" t="s">
        <v>11</v>
      </c>
      <c r="C90">
        <v>121.89794531300001</v>
      </c>
      <c r="D90">
        <f>0</f>
        <v>0</v>
      </c>
      <c r="E90">
        <f>64455542/10^5</f>
        <v>644.55542000000003</v>
      </c>
      <c r="F90">
        <f>0</f>
        <v>0</v>
      </c>
      <c r="G90">
        <f>231424316/10^6</f>
        <v>231.424316</v>
      </c>
      <c r="H90">
        <f>0</f>
        <v>0</v>
      </c>
      <c r="I90">
        <f>-38519562/10^6</f>
        <v>-38.519562000000001</v>
      </c>
      <c r="J90">
        <f>0</f>
        <v>0</v>
      </c>
    </row>
    <row r="91" spans="1:10" x14ac:dyDescent="0.25">
      <c r="A91" t="s">
        <v>100</v>
      </c>
      <c r="B91" t="s">
        <v>11</v>
      </c>
      <c r="C91">
        <v>121.738078125</v>
      </c>
      <c r="D91">
        <f>0</f>
        <v>0</v>
      </c>
      <c r="E91">
        <f>645428955/10^6</f>
        <v>645.42895499999997</v>
      </c>
      <c r="F91">
        <f>0</f>
        <v>0</v>
      </c>
      <c r="G91">
        <f>231412247/10^6</f>
        <v>231.41224700000001</v>
      </c>
      <c r="H91">
        <f>0</f>
        <v>0</v>
      </c>
      <c r="I91">
        <f>-38625927/10^6</f>
        <v>-38.625926999999997</v>
      </c>
      <c r="J91">
        <f>0</f>
        <v>0</v>
      </c>
    </row>
    <row r="92" spans="1:10" x14ac:dyDescent="0.25">
      <c r="A92" t="s">
        <v>101</v>
      </c>
      <c r="B92" t="s">
        <v>11</v>
      </c>
      <c r="C92">
        <v>121.534632813</v>
      </c>
      <c r="D92">
        <f>0</f>
        <v>0</v>
      </c>
      <c r="E92">
        <f>646543701/10^6</f>
        <v>646.54370100000006</v>
      </c>
      <c r="F92">
        <f>0</f>
        <v>0</v>
      </c>
      <c r="G92">
        <f>231386917/10^6</f>
        <v>231.38691700000001</v>
      </c>
      <c r="H92">
        <f>0</f>
        <v>0</v>
      </c>
      <c r="I92">
        <f>-38752075/10^6</f>
        <v>-38.752074999999998</v>
      </c>
      <c r="J92">
        <f>0</f>
        <v>0</v>
      </c>
    </row>
    <row r="93" spans="1:10" x14ac:dyDescent="0.25">
      <c r="A93" t="s">
        <v>102</v>
      </c>
      <c r="B93" t="s">
        <v>11</v>
      </c>
      <c r="C93">
        <v>121.322210938</v>
      </c>
      <c r="D93">
        <f>0</f>
        <v>0</v>
      </c>
      <c r="E93">
        <f>647705566/10^6</f>
        <v>647.70556599999998</v>
      </c>
      <c r="F93">
        <f>0</f>
        <v>0</v>
      </c>
      <c r="G93">
        <f>231354523/10^6</f>
        <v>231.354523</v>
      </c>
      <c r="H93">
        <f>0</f>
        <v>0</v>
      </c>
      <c r="I93">
        <f>-38732803/10^6</f>
        <v>-38.732802999999997</v>
      </c>
      <c r="J93">
        <f>0</f>
        <v>0</v>
      </c>
    </row>
    <row r="94" spans="1:10" x14ac:dyDescent="0.25">
      <c r="A94" t="s">
        <v>103</v>
      </c>
      <c r="B94" t="s">
        <v>11</v>
      </c>
      <c r="C94">
        <v>121.116226563</v>
      </c>
      <c r="D94">
        <f>0</f>
        <v>0</v>
      </c>
      <c r="E94">
        <f>648739319/10^6</f>
        <v>648.73931900000002</v>
      </c>
      <c r="F94">
        <f>0</f>
        <v>0</v>
      </c>
      <c r="G94">
        <f>231321106/10^6</f>
        <v>231.32110599999999</v>
      </c>
      <c r="H94">
        <f>0</f>
        <v>0</v>
      </c>
      <c r="I94">
        <f>-38725231/10^6</f>
        <v>-38.725231000000001</v>
      </c>
      <c r="J94">
        <f>0</f>
        <v>0</v>
      </c>
    </row>
    <row r="95" spans="1:10" x14ac:dyDescent="0.25">
      <c r="A95" t="s">
        <v>104</v>
      </c>
      <c r="B95" t="s">
        <v>11</v>
      </c>
      <c r="C95">
        <v>120.912375</v>
      </c>
      <c r="D95">
        <f>0</f>
        <v>0</v>
      </c>
      <c r="E95">
        <f>649788025/10^6</f>
        <v>649.78802499999995</v>
      </c>
      <c r="F95">
        <f>0</f>
        <v>0</v>
      </c>
      <c r="G95">
        <f>231288651/10^6</f>
        <v>231.28865099999999</v>
      </c>
      <c r="H95">
        <f>0</f>
        <v>0</v>
      </c>
      <c r="I95">
        <f>-38857246/10^6</f>
        <v>-38.857246000000004</v>
      </c>
      <c r="J95">
        <f>0</f>
        <v>0</v>
      </c>
    </row>
    <row r="96" spans="1:10" x14ac:dyDescent="0.25">
      <c r="A96" t="s">
        <v>105</v>
      </c>
      <c r="B96" t="s">
        <v>11</v>
      </c>
      <c r="C96">
        <v>120.704429688</v>
      </c>
      <c r="D96">
        <f>0</f>
        <v>0</v>
      </c>
      <c r="E96">
        <f>650943176/10^6</f>
        <v>650.94317599999999</v>
      </c>
      <c r="F96">
        <f>0</f>
        <v>0</v>
      </c>
      <c r="G96">
        <f>231258041/10^6</f>
        <v>231.25804099999999</v>
      </c>
      <c r="H96">
        <f>0</f>
        <v>0</v>
      </c>
      <c r="I96">
        <f>-3903109/10^5</f>
        <v>-39.031089999999999</v>
      </c>
      <c r="J96">
        <f>0</f>
        <v>0</v>
      </c>
    </row>
    <row r="97" spans="1:10" x14ac:dyDescent="0.25">
      <c r="A97" t="s">
        <v>106</v>
      </c>
      <c r="B97" t="s">
        <v>11</v>
      </c>
      <c r="C97">
        <v>120.50528125</v>
      </c>
      <c r="D97">
        <f>0</f>
        <v>0</v>
      </c>
      <c r="E97">
        <f>651994995/10^6</f>
        <v>651.99499500000002</v>
      </c>
      <c r="F97">
        <f>0</f>
        <v>0</v>
      </c>
      <c r="G97">
        <f>231220337/10^6</f>
        <v>231.220337</v>
      </c>
      <c r="H97">
        <f>0</f>
        <v>0</v>
      </c>
      <c r="I97">
        <f>-39105724/10^6</f>
        <v>-39.105724000000002</v>
      </c>
      <c r="J97">
        <f>0</f>
        <v>0</v>
      </c>
    </row>
    <row r="98" spans="1:10" x14ac:dyDescent="0.25">
      <c r="A98" t="s">
        <v>107</v>
      </c>
      <c r="B98" t="s">
        <v>11</v>
      </c>
      <c r="C98">
        <v>120.30725</v>
      </c>
      <c r="D98">
        <f>0</f>
        <v>0</v>
      </c>
      <c r="E98">
        <f>652961304/10^6</f>
        <v>652.96130400000004</v>
      </c>
      <c r="F98">
        <f>0</f>
        <v>0</v>
      </c>
      <c r="G98">
        <f>231182938/10^6</f>
        <v>231.18293800000001</v>
      </c>
      <c r="H98">
        <f>0</f>
        <v>0</v>
      </c>
      <c r="I98">
        <f>-39074352/10^6</f>
        <v>-39.074351999999998</v>
      </c>
      <c r="J98">
        <f>0</f>
        <v>0</v>
      </c>
    </row>
    <row r="99" spans="1:10" x14ac:dyDescent="0.25">
      <c r="A99" t="s">
        <v>108</v>
      </c>
      <c r="B99" t="s">
        <v>11</v>
      </c>
      <c r="C99">
        <v>120.094476563</v>
      </c>
      <c r="D99">
        <f>0</f>
        <v>0</v>
      </c>
      <c r="E99">
        <f>654150452/10^6</f>
        <v>654.15045199999997</v>
      </c>
      <c r="F99">
        <f>0</f>
        <v>0</v>
      </c>
      <c r="G99">
        <f>231153702/10^6</f>
        <v>231.15370200000001</v>
      </c>
      <c r="H99">
        <f>0</f>
        <v>0</v>
      </c>
      <c r="I99">
        <f>-39219337/10^6</f>
        <v>-39.219337000000003</v>
      </c>
      <c r="J99">
        <f>0</f>
        <v>0</v>
      </c>
    </row>
    <row r="100" spans="1:10" x14ac:dyDescent="0.25">
      <c r="A100" t="s">
        <v>109</v>
      </c>
      <c r="B100" t="s">
        <v>11</v>
      </c>
      <c r="C100">
        <v>119.880921875</v>
      </c>
      <c r="D100">
        <f>0</f>
        <v>0</v>
      </c>
      <c r="E100">
        <f>655365417/10^6</f>
        <v>655.36541699999998</v>
      </c>
      <c r="F100">
        <f>0</f>
        <v>0</v>
      </c>
      <c r="G100">
        <f>231121399/10^6</f>
        <v>231.121399</v>
      </c>
      <c r="H100">
        <f>0</f>
        <v>0</v>
      </c>
      <c r="I100">
        <f>-394412/10^4</f>
        <v>-39.441200000000002</v>
      </c>
      <c r="J100">
        <f>0</f>
        <v>0</v>
      </c>
    </row>
    <row r="101" spans="1:10" x14ac:dyDescent="0.25">
      <c r="A101" t="s">
        <v>110</v>
      </c>
      <c r="B101" t="s">
        <v>11</v>
      </c>
      <c r="C101">
        <v>119.6604375</v>
      </c>
      <c r="D101">
        <f>0</f>
        <v>0</v>
      </c>
      <c r="E101">
        <f>656403076/10^6</f>
        <v>656.40307600000006</v>
      </c>
      <c r="F101">
        <f>0</f>
        <v>0</v>
      </c>
      <c r="G101">
        <f>231098099/10^6</f>
        <v>231.09809899999999</v>
      </c>
      <c r="H101">
        <f>0</f>
        <v>0</v>
      </c>
      <c r="I101">
        <f>-39315903/10^6</f>
        <v>-39.315902999999999</v>
      </c>
      <c r="J101">
        <f>0</f>
        <v>0</v>
      </c>
    </row>
    <row r="102" spans="1:10" x14ac:dyDescent="0.25">
      <c r="A102" t="s">
        <v>111</v>
      </c>
      <c r="B102" t="s">
        <v>11</v>
      </c>
      <c r="C102">
        <v>119.48897656300001</v>
      </c>
      <c r="D102">
        <f>0</f>
        <v>0</v>
      </c>
      <c r="E102">
        <f>65730127/10^5</f>
        <v>657.30127000000005</v>
      </c>
      <c r="F102">
        <f>0</f>
        <v>0</v>
      </c>
      <c r="G102">
        <f>231073456/10^6</f>
        <v>231.07345599999999</v>
      </c>
      <c r="H102">
        <f>0</f>
        <v>0</v>
      </c>
      <c r="I102">
        <f>-39230679/10^6</f>
        <v>-39.230679000000002</v>
      </c>
      <c r="J102">
        <f>0</f>
        <v>0</v>
      </c>
    </row>
    <row r="103" spans="1:10" x14ac:dyDescent="0.25">
      <c r="A103" t="s">
        <v>112</v>
      </c>
      <c r="B103" t="s">
        <v>11</v>
      </c>
      <c r="C103">
        <v>119.35253906300001</v>
      </c>
      <c r="D103">
        <f>0</f>
        <v>0</v>
      </c>
      <c r="E103">
        <f>658392456/10^6</f>
        <v>658.39245600000004</v>
      </c>
      <c r="F103">
        <f>0</f>
        <v>0</v>
      </c>
      <c r="G103">
        <f>23104689/10^5</f>
        <v>231.04688999999999</v>
      </c>
      <c r="H103">
        <f>0</f>
        <v>0</v>
      </c>
      <c r="I103">
        <f>-39799137/10^6</f>
        <v>-39.799137000000002</v>
      </c>
      <c r="J103">
        <f>0</f>
        <v>0</v>
      </c>
    </row>
    <row r="104" spans="1:10" x14ac:dyDescent="0.25">
      <c r="A104" t="s">
        <v>113</v>
      </c>
      <c r="B104" t="s">
        <v>11</v>
      </c>
      <c r="C104">
        <v>119.19796093800001</v>
      </c>
      <c r="D104">
        <f>0</f>
        <v>0</v>
      </c>
      <c r="E104">
        <f>6593526/10^4</f>
        <v>659.35260000000005</v>
      </c>
      <c r="F104">
        <f>0</f>
        <v>0</v>
      </c>
      <c r="G104">
        <f>23103569/10^5</f>
        <v>231.03568999999999</v>
      </c>
      <c r="H104">
        <f>0</f>
        <v>0</v>
      </c>
      <c r="I104">
        <f>-40095322/10^6</f>
        <v>-40.095322000000003</v>
      </c>
      <c r="J104">
        <f>0</f>
        <v>0</v>
      </c>
    </row>
    <row r="105" spans="1:10" x14ac:dyDescent="0.25">
      <c r="A105" t="s">
        <v>114</v>
      </c>
      <c r="B105" t="s">
        <v>11</v>
      </c>
      <c r="C105">
        <v>119.055671875</v>
      </c>
      <c r="D105">
        <f>0</f>
        <v>0</v>
      </c>
      <c r="E105">
        <f>659871338/10^6</f>
        <v>659.87133800000004</v>
      </c>
      <c r="F105">
        <f>0</f>
        <v>0</v>
      </c>
      <c r="G105">
        <f>231016693/10^6</f>
        <v>231.016693</v>
      </c>
      <c r="H105">
        <f>0</f>
        <v>0</v>
      </c>
      <c r="I105">
        <f>-39796944/10^6</f>
        <v>-39.796944000000003</v>
      </c>
      <c r="J105">
        <f>0</f>
        <v>0</v>
      </c>
    </row>
    <row r="106" spans="1:10" x14ac:dyDescent="0.25">
      <c r="A106" t="s">
        <v>115</v>
      </c>
      <c r="B106" t="s">
        <v>11</v>
      </c>
      <c r="C106">
        <v>118.90646093800001</v>
      </c>
      <c r="D106">
        <f>0</f>
        <v>0</v>
      </c>
      <c r="E106">
        <f>660617249/10^6</f>
        <v>660.61724900000002</v>
      </c>
      <c r="F106">
        <f>0</f>
        <v>0</v>
      </c>
      <c r="G106">
        <f>230987686/10^6</f>
        <v>230.987686</v>
      </c>
      <c r="H106">
        <f>0</f>
        <v>0</v>
      </c>
      <c r="I106">
        <f>-39780209/10^6</f>
        <v>-39.780208999999999</v>
      </c>
      <c r="J106">
        <f>0</f>
        <v>0</v>
      </c>
    </row>
    <row r="107" spans="1:10" x14ac:dyDescent="0.25">
      <c r="A107" t="s">
        <v>116</v>
      </c>
      <c r="B107" t="s">
        <v>11</v>
      </c>
      <c r="C107">
        <v>118.732539063</v>
      </c>
      <c r="D107">
        <f>0</f>
        <v>0</v>
      </c>
      <c r="E107">
        <f>661729858/10^6</f>
        <v>661.72985800000004</v>
      </c>
      <c r="F107">
        <f>0</f>
        <v>0</v>
      </c>
      <c r="G107">
        <f>230973373/10^6</f>
        <v>230.97337300000001</v>
      </c>
      <c r="H107">
        <f>0</f>
        <v>0</v>
      </c>
      <c r="I107">
        <f>-40103134/10^6</f>
        <v>-40.103133999999997</v>
      </c>
      <c r="J107">
        <f>0</f>
        <v>0</v>
      </c>
    </row>
    <row r="108" spans="1:10" x14ac:dyDescent="0.25">
      <c r="A108" t="s">
        <v>117</v>
      </c>
      <c r="B108" t="s">
        <v>11</v>
      </c>
      <c r="C108">
        <v>118.54843750000001</v>
      </c>
      <c r="D108">
        <f>0</f>
        <v>0</v>
      </c>
      <c r="E108">
        <f>662840027/10^6</f>
        <v>662.84002699999996</v>
      </c>
      <c r="F108">
        <f>0</f>
        <v>0</v>
      </c>
      <c r="G108">
        <f>23096077/10^5</f>
        <v>230.96077</v>
      </c>
      <c r="H108">
        <f>0</f>
        <v>0</v>
      </c>
      <c r="I108">
        <f>-4031424/10^5</f>
        <v>-40.314239999999998</v>
      </c>
      <c r="J108">
        <f>0</f>
        <v>0</v>
      </c>
    </row>
    <row r="109" spans="1:10" x14ac:dyDescent="0.25">
      <c r="A109" t="s">
        <v>118</v>
      </c>
      <c r="B109" t="s">
        <v>11</v>
      </c>
      <c r="C109">
        <v>118.35525781300001</v>
      </c>
      <c r="D109">
        <f>0</f>
        <v>0</v>
      </c>
      <c r="E109">
        <f>663878235/10^6</f>
        <v>663.87823500000002</v>
      </c>
      <c r="F109">
        <f>0</f>
        <v>0</v>
      </c>
      <c r="G109">
        <f>230931976/10^6</f>
        <v>230.93197599999999</v>
      </c>
      <c r="H109">
        <f>0</f>
        <v>0</v>
      </c>
      <c r="I109">
        <f>-40349804/10^6</f>
        <v>-40.349803999999999</v>
      </c>
      <c r="J109">
        <f>0</f>
        <v>0</v>
      </c>
    </row>
    <row r="110" spans="1:10" x14ac:dyDescent="0.25">
      <c r="A110" t="s">
        <v>119</v>
      </c>
      <c r="B110" t="s">
        <v>11</v>
      </c>
      <c r="C110">
        <v>118.13439843800001</v>
      </c>
      <c r="D110">
        <f>0</f>
        <v>0</v>
      </c>
      <c r="E110">
        <f>665180664/10^6</f>
        <v>665.18066399999998</v>
      </c>
      <c r="F110">
        <f>0</f>
        <v>0</v>
      </c>
      <c r="G110">
        <f>230914856/10^6</f>
        <v>230.91485599999999</v>
      </c>
      <c r="H110">
        <f>0</f>
        <v>0</v>
      </c>
      <c r="I110">
        <f>-40502823/10^6</f>
        <v>-40.502822999999999</v>
      </c>
      <c r="J110">
        <f>0</f>
        <v>0</v>
      </c>
    </row>
    <row r="111" spans="1:10" x14ac:dyDescent="0.25">
      <c r="A111" t="s">
        <v>120</v>
      </c>
      <c r="B111" t="s">
        <v>11</v>
      </c>
      <c r="C111">
        <v>117.90288281300001</v>
      </c>
      <c r="D111">
        <f>0</f>
        <v>0</v>
      </c>
      <c r="E111">
        <f>666471619/10^6</f>
        <v>666.47161900000003</v>
      </c>
      <c r="F111">
        <f>0</f>
        <v>0</v>
      </c>
      <c r="G111">
        <f>230876495/10^6</f>
        <v>230.87649500000001</v>
      </c>
      <c r="H111">
        <f>0</f>
        <v>0</v>
      </c>
      <c r="I111">
        <f>-40714584/10^6</f>
        <v>-40.714584000000002</v>
      </c>
      <c r="J111">
        <f>0</f>
        <v>0</v>
      </c>
    </row>
    <row r="112" spans="1:10" x14ac:dyDescent="0.25">
      <c r="A112" t="s">
        <v>121</v>
      </c>
      <c r="B112" t="s">
        <v>11</v>
      </c>
      <c r="C112">
        <v>117.676890625</v>
      </c>
      <c r="D112">
        <f>0</f>
        <v>0</v>
      </c>
      <c r="E112">
        <f>667628174/10^6</f>
        <v>667.62817399999994</v>
      </c>
      <c r="F112">
        <f>0</f>
        <v>0</v>
      </c>
      <c r="G112">
        <f>230832809/10^6</f>
        <v>230.832809</v>
      </c>
      <c r="H112">
        <f>0</f>
        <v>0</v>
      </c>
      <c r="I112">
        <f>-40740501/10^6</f>
        <v>-40.740501000000002</v>
      </c>
      <c r="J112">
        <f>0</f>
        <v>0</v>
      </c>
    </row>
    <row r="113" spans="1:10" x14ac:dyDescent="0.25">
      <c r="A113" t="s">
        <v>122</v>
      </c>
      <c r="B113" t="s">
        <v>11</v>
      </c>
      <c r="C113">
        <v>117.432078125</v>
      </c>
      <c r="D113">
        <f>0</f>
        <v>0</v>
      </c>
      <c r="E113">
        <f>669044983/10^6</f>
        <v>669.044983</v>
      </c>
      <c r="F113">
        <f>0</f>
        <v>0</v>
      </c>
      <c r="G113">
        <f>230819412/10^6</f>
        <v>230.819412</v>
      </c>
      <c r="H113">
        <f>0</f>
        <v>0</v>
      </c>
      <c r="I113">
        <f>-40857594/10^6</f>
        <v>-40.857593999999999</v>
      </c>
      <c r="J113">
        <f>0</f>
        <v>0</v>
      </c>
    </row>
    <row r="114" spans="1:10" x14ac:dyDescent="0.25">
      <c r="A114" t="s">
        <v>123</v>
      </c>
      <c r="B114" t="s">
        <v>11</v>
      </c>
      <c r="C114">
        <v>117.165007813</v>
      </c>
      <c r="D114">
        <f>0</f>
        <v>0</v>
      </c>
      <c r="E114">
        <f>670654236/10^6</f>
        <v>670.65423599999997</v>
      </c>
      <c r="F114">
        <f>0</f>
        <v>0</v>
      </c>
      <c r="G114">
        <f>230797104/10^6</f>
        <v>230.79710399999999</v>
      </c>
      <c r="H114">
        <f>0</f>
        <v>0</v>
      </c>
      <c r="I114">
        <f>-41109802/10^6</f>
        <v>-41.109802000000002</v>
      </c>
      <c r="J114">
        <f>0</f>
        <v>0</v>
      </c>
    </row>
    <row r="115" spans="1:10" x14ac:dyDescent="0.25">
      <c r="A115" t="s">
        <v>124</v>
      </c>
      <c r="B115" t="s">
        <v>11</v>
      </c>
      <c r="C115">
        <v>116.87307812500001</v>
      </c>
      <c r="D115">
        <f>0</f>
        <v>0</v>
      </c>
      <c r="E115">
        <f>672336975/10^6</f>
        <v>672.33697500000005</v>
      </c>
      <c r="F115">
        <f>0</f>
        <v>0</v>
      </c>
      <c r="G115">
        <f>230756577/10^6</f>
        <v>230.75657699999999</v>
      </c>
      <c r="H115">
        <f>0</f>
        <v>0</v>
      </c>
      <c r="I115">
        <f>-4127626/10^5</f>
        <v>-41.276260000000001</v>
      </c>
      <c r="J115">
        <f>0</f>
        <v>0</v>
      </c>
    </row>
    <row r="116" spans="1:10" x14ac:dyDescent="0.25">
      <c r="A116" t="s">
        <v>125</v>
      </c>
      <c r="B116" t="s">
        <v>11</v>
      </c>
      <c r="C116">
        <v>116.54593749999999</v>
      </c>
      <c r="D116">
        <f>0</f>
        <v>0</v>
      </c>
      <c r="E116">
        <f>67419104/10^5</f>
        <v>674.19104000000004</v>
      </c>
      <c r="F116">
        <f>0</f>
        <v>0</v>
      </c>
      <c r="G116">
        <f>230706436/10^6</f>
        <v>230.706436</v>
      </c>
      <c r="H116">
        <f>0</f>
        <v>0</v>
      </c>
      <c r="I116">
        <f>-41457047/10^6</f>
        <v>-41.457047000000003</v>
      </c>
      <c r="J116">
        <f>0</f>
        <v>0</v>
      </c>
    </row>
    <row r="117" spans="1:10" x14ac:dyDescent="0.25">
      <c r="A117" t="s">
        <v>126</v>
      </c>
      <c r="B117" t="s">
        <v>11</v>
      </c>
      <c r="C117">
        <v>116.221875</v>
      </c>
      <c r="D117">
        <f>0</f>
        <v>0</v>
      </c>
      <c r="E117">
        <f>676096069/10^6</f>
        <v>676.09606900000006</v>
      </c>
      <c r="F117">
        <f>0</f>
        <v>0</v>
      </c>
      <c r="G117">
        <f>230665436/10^6</f>
        <v>230.665436</v>
      </c>
      <c r="H117">
        <f>0</f>
        <v>0</v>
      </c>
      <c r="I117">
        <f>-4168821/10^5</f>
        <v>-41.688209999999998</v>
      </c>
      <c r="J117">
        <f>0</f>
        <v>0</v>
      </c>
    </row>
    <row r="118" spans="1:10" x14ac:dyDescent="0.25">
      <c r="A118" t="s">
        <v>127</v>
      </c>
      <c r="B118" t="s">
        <v>11</v>
      </c>
      <c r="C118">
        <v>115.91821874999999</v>
      </c>
      <c r="D118">
        <f>0</f>
        <v>0</v>
      </c>
      <c r="E118">
        <f>67790802/10^5</f>
        <v>677.90801999999996</v>
      </c>
      <c r="F118">
        <f>0</f>
        <v>0</v>
      </c>
      <c r="G118">
        <f>23061557/10^5</f>
        <v>230.61556999999999</v>
      </c>
      <c r="H118">
        <f>0</f>
        <v>0</v>
      </c>
      <c r="I118">
        <f>-41906864/10^6</f>
        <v>-41.906863999999999</v>
      </c>
      <c r="J118">
        <f>0</f>
        <v>0</v>
      </c>
    </row>
    <row r="119" spans="1:10" x14ac:dyDescent="0.25">
      <c r="A119" t="s">
        <v>128</v>
      </c>
      <c r="B119" t="s">
        <v>11</v>
      </c>
      <c r="C119">
        <v>115.642539063</v>
      </c>
      <c r="D119">
        <f>0</f>
        <v>0</v>
      </c>
      <c r="E119">
        <f>679335876/10^6</f>
        <v>679.33587599999998</v>
      </c>
      <c r="F119">
        <f>0</f>
        <v>0</v>
      </c>
      <c r="G119">
        <f>230492264/10^6</f>
        <v>230.49226400000001</v>
      </c>
      <c r="H119">
        <f>0</f>
        <v>0</v>
      </c>
      <c r="I119">
        <f>-42177486/10^6</f>
        <v>-42.177486000000002</v>
      </c>
      <c r="J119">
        <f>0</f>
        <v>0</v>
      </c>
    </row>
    <row r="120" spans="1:10" x14ac:dyDescent="0.25">
      <c r="A120" t="s">
        <v>129</v>
      </c>
      <c r="B120" t="s">
        <v>11</v>
      </c>
      <c r="C120">
        <v>115.445820313</v>
      </c>
      <c r="D120">
        <f>0</f>
        <v>0</v>
      </c>
      <c r="E120">
        <f>680280029/10^6</f>
        <v>680.28002900000001</v>
      </c>
      <c r="F120">
        <f>0</f>
        <v>0</v>
      </c>
      <c r="G120">
        <f>230395905/10^6</f>
        <v>230.395905</v>
      </c>
      <c r="H120">
        <f>0</f>
        <v>0</v>
      </c>
      <c r="I120">
        <f>-42364822/10^6</f>
        <v>-42.364821999999997</v>
      </c>
      <c r="J120">
        <f>0</f>
        <v>0</v>
      </c>
    </row>
    <row r="121" spans="1:10" x14ac:dyDescent="0.25">
      <c r="A121" t="s">
        <v>130</v>
      </c>
      <c r="B121" t="s">
        <v>11</v>
      </c>
      <c r="C121">
        <v>115.31605468800001</v>
      </c>
      <c r="D121">
        <f>0</f>
        <v>0</v>
      </c>
      <c r="E121">
        <f>681116943/10^6</f>
        <v>681.11694299999999</v>
      </c>
      <c r="F121">
        <f>0</f>
        <v>0</v>
      </c>
      <c r="G121">
        <f>230388931/10^6</f>
        <v>230.38893100000001</v>
      </c>
      <c r="H121">
        <f>0</f>
        <v>0</v>
      </c>
      <c r="I121">
        <f>-42439896/10^6</f>
        <v>-42.439895999999997</v>
      </c>
      <c r="J121">
        <f>0</f>
        <v>0</v>
      </c>
    </row>
    <row r="122" spans="1:10" x14ac:dyDescent="0.25">
      <c r="A122" t="s">
        <v>131</v>
      </c>
      <c r="B122" t="s">
        <v>11</v>
      </c>
      <c r="C122">
        <v>115.15648437500001</v>
      </c>
      <c r="D122">
        <f>0</f>
        <v>0</v>
      </c>
      <c r="E122">
        <f>681939697/10^6</f>
        <v>681.93969700000002</v>
      </c>
      <c r="F122">
        <f>0</f>
        <v>0</v>
      </c>
      <c r="G122">
        <f>230348801/10^6</f>
        <v>230.34880100000001</v>
      </c>
      <c r="H122">
        <f>0</f>
        <v>0</v>
      </c>
      <c r="I122">
        <f>-42486298/10^6</f>
        <v>-42.486297999999998</v>
      </c>
      <c r="J122">
        <f>0</f>
        <v>0</v>
      </c>
    </row>
    <row r="123" spans="1:10" x14ac:dyDescent="0.25">
      <c r="A123" t="s">
        <v>132</v>
      </c>
      <c r="B123" t="s">
        <v>11</v>
      </c>
      <c r="C123">
        <v>114.946039063</v>
      </c>
      <c r="D123">
        <f>0</f>
        <v>0</v>
      </c>
      <c r="E123">
        <f>683043701/10^6</f>
        <v>683.04370100000006</v>
      </c>
      <c r="F123">
        <f>0</f>
        <v>0</v>
      </c>
      <c r="G123">
        <f>230265244/10^6</f>
        <v>230.265244</v>
      </c>
      <c r="H123">
        <f>0</f>
        <v>0</v>
      </c>
      <c r="I123">
        <f>-42712528/10^6</f>
        <v>-42.712527999999999</v>
      </c>
      <c r="J123">
        <f>0</f>
        <v>0</v>
      </c>
    </row>
    <row r="124" spans="1:10" x14ac:dyDescent="0.25">
      <c r="A124" t="s">
        <v>133</v>
      </c>
      <c r="B124" t="s">
        <v>11</v>
      </c>
      <c r="C124">
        <v>114.738125</v>
      </c>
      <c r="D124">
        <f>0</f>
        <v>0</v>
      </c>
      <c r="E124">
        <f>684066284/10^6</f>
        <v>684.066284</v>
      </c>
      <c r="F124">
        <f>0</f>
        <v>0</v>
      </c>
      <c r="G124">
        <f>230131027/10^6</f>
        <v>230.13102699999999</v>
      </c>
      <c r="H124">
        <f>0</f>
        <v>0</v>
      </c>
      <c r="I124">
        <f>-42971764/10^6</f>
        <v>-42.971764</v>
      </c>
      <c r="J124">
        <f>0</f>
        <v>0</v>
      </c>
    </row>
    <row r="125" spans="1:10" x14ac:dyDescent="0.25">
      <c r="A125" t="s">
        <v>134</v>
      </c>
      <c r="B125" t="s">
        <v>11</v>
      </c>
      <c r="C125">
        <v>114.569976563</v>
      </c>
      <c r="D125">
        <f>0</f>
        <v>0</v>
      </c>
      <c r="E125">
        <f>684847839/10^6</f>
        <v>684.84783900000002</v>
      </c>
      <c r="F125">
        <f>0</f>
        <v>0</v>
      </c>
      <c r="G125">
        <f>230053665/10^6</f>
        <v>230.053665</v>
      </c>
      <c r="H125">
        <f>0</f>
        <v>0</v>
      </c>
      <c r="I125">
        <f>-42945534/10^6</f>
        <v>-42.945534000000002</v>
      </c>
      <c r="J125">
        <f>0</f>
        <v>0</v>
      </c>
    </row>
    <row r="126" spans="1:10" x14ac:dyDescent="0.25">
      <c r="A126" t="s">
        <v>135</v>
      </c>
      <c r="B126" t="s">
        <v>11</v>
      </c>
      <c r="C126">
        <v>114.46266406300001</v>
      </c>
      <c r="D126">
        <f>0</f>
        <v>0</v>
      </c>
      <c r="E126">
        <f>685602356/10^6</f>
        <v>685.60235599999999</v>
      </c>
      <c r="F126">
        <f>0</f>
        <v>0</v>
      </c>
      <c r="G126">
        <f>230058563/10^6</f>
        <v>230.05856299999999</v>
      </c>
      <c r="H126">
        <f>0</f>
        <v>0</v>
      </c>
      <c r="I126">
        <f>-43110153/10^6</f>
        <v>-43.110152999999997</v>
      </c>
      <c r="J126">
        <f>0</f>
        <v>0</v>
      </c>
    </row>
    <row r="127" spans="1:10" x14ac:dyDescent="0.25">
      <c r="A127" t="s">
        <v>136</v>
      </c>
      <c r="B127" t="s">
        <v>11</v>
      </c>
      <c r="C127">
        <v>114.40525</v>
      </c>
      <c r="D127">
        <f>0</f>
        <v>0</v>
      </c>
      <c r="E127">
        <f>685825378/10^6</f>
        <v>685.825378</v>
      </c>
      <c r="F127">
        <f>0</f>
        <v>0</v>
      </c>
      <c r="G127">
        <f>23002095/10^5</f>
        <v>230.02095</v>
      </c>
      <c r="H127">
        <f>0</f>
        <v>0</v>
      </c>
      <c r="I127">
        <f>-43156952/10^6</f>
        <v>-43.156951999999997</v>
      </c>
      <c r="J127">
        <f>0</f>
        <v>0</v>
      </c>
    </row>
    <row r="128" spans="1:10" x14ac:dyDescent="0.25">
      <c r="A128" t="s">
        <v>137</v>
      </c>
      <c r="B128" t="s">
        <v>11</v>
      </c>
      <c r="C128">
        <v>114.324335938</v>
      </c>
      <c r="D128">
        <f>0</f>
        <v>0</v>
      </c>
      <c r="E128">
        <f>686178772/10^6</f>
        <v>686.17877199999998</v>
      </c>
      <c r="F128">
        <f>0</f>
        <v>0</v>
      </c>
      <c r="G128">
        <f>229958633/10^6</f>
        <v>229.95863299999999</v>
      </c>
      <c r="H128">
        <f>0</f>
        <v>0</v>
      </c>
      <c r="I128">
        <f>-43156223/10^6</f>
        <v>-43.156222999999997</v>
      </c>
      <c r="J128">
        <f>0</f>
        <v>0</v>
      </c>
    </row>
    <row r="129" spans="1:10" x14ac:dyDescent="0.25">
      <c r="A129" t="s">
        <v>138</v>
      </c>
      <c r="B129" t="s">
        <v>11</v>
      </c>
      <c r="C129">
        <v>114.31334375</v>
      </c>
      <c r="D129">
        <f>0</f>
        <v>0</v>
      </c>
      <c r="E129">
        <f>686489075/10^6</f>
        <v>686.48907499999996</v>
      </c>
      <c r="F129">
        <f>0</f>
        <v>0</v>
      </c>
      <c r="G129">
        <f>229967651/10^6</f>
        <v>229.96765099999999</v>
      </c>
      <c r="H129">
        <f>0</f>
        <v>0</v>
      </c>
      <c r="I129">
        <f>-43579384/10^6</f>
        <v>-43.579383999999997</v>
      </c>
      <c r="J129">
        <f>0</f>
        <v>0</v>
      </c>
    </row>
    <row r="130" spans="1:10" x14ac:dyDescent="0.25">
      <c r="A130" t="s">
        <v>139</v>
      </c>
      <c r="B130" t="s">
        <v>11</v>
      </c>
      <c r="C130">
        <v>114.5594375</v>
      </c>
      <c r="D130">
        <f>0</f>
        <v>0</v>
      </c>
      <c r="E130">
        <f>685232178/10^6</f>
        <v>685.23217799999998</v>
      </c>
      <c r="F130">
        <f>0</f>
        <v>0</v>
      </c>
      <c r="G130">
        <f>230069977/10^6</f>
        <v>230.06997699999999</v>
      </c>
      <c r="H130">
        <f>0</f>
        <v>0</v>
      </c>
      <c r="I130">
        <f>-43551342/10^6</f>
        <v>-43.551341999999998</v>
      </c>
      <c r="J130">
        <f>0</f>
        <v>0</v>
      </c>
    </row>
    <row r="131" spans="1:10" x14ac:dyDescent="0.25">
      <c r="A131" t="s">
        <v>140</v>
      </c>
      <c r="B131" t="s">
        <v>11</v>
      </c>
      <c r="C131">
        <v>114.95037499999999</v>
      </c>
      <c r="D131">
        <f>0</f>
        <v>0</v>
      </c>
      <c r="E131">
        <f>68306897/10^5</f>
        <v>683.06897000000004</v>
      </c>
      <c r="F131">
        <f>0</f>
        <v>0</v>
      </c>
      <c r="G131">
        <f>230202591/10^6</f>
        <v>230.20259100000001</v>
      </c>
      <c r="H131">
        <f>0</f>
        <v>0</v>
      </c>
      <c r="I131">
        <f>-43137085/10^6</f>
        <v>-43.137084999999999</v>
      </c>
      <c r="J131">
        <f>0</f>
        <v>0</v>
      </c>
    </row>
    <row r="132" spans="1:10" x14ac:dyDescent="0.25">
      <c r="A132" t="s">
        <v>141</v>
      </c>
      <c r="B132" t="s">
        <v>11</v>
      </c>
      <c r="C132">
        <v>115.343367188</v>
      </c>
      <c r="D132">
        <f>0</f>
        <v>0</v>
      </c>
      <c r="E132">
        <f>680930237/10^6</f>
        <v>680.93023700000003</v>
      </c>
      <c r="F132">
        <f>0</f>
        <v>0</v>
      </c>
      <c r="G132">
        <f>230327301/10^6</f>
        <v>230.32730100000001</v>
      </c>
      <c r="H132">
        <f>0</f>
        <v>0</v>
      </c>
      <c r="I132">
        <f>-42826679/10^6</f>
        <v>-42.826678999999999</v>
      </c>
      <c r="J132">
        <f>0</f>
        <v>0</v>
      </c>
    </row>
    <row r="133" spans="1:10" x14ac:dyDescent="0.25">
      <c r="A133" t="s">
        <v>142</v>
      </c>
      <c r="B133" t="s">
        <v>11</v>
      </c>
      <c r="C133">
        <v>115.76584375</v>
      </c>
      <c r="D133">
        <f>0</f>
        <v>0</v>
      </c>
      <c r="E133">
        <f>678590454/10^6</f>
        <v>678.59045400000002</v>
      </c>
      <c r="F133">
        <f>0</f>
        <v>0</v>
      </c>
      <c r="G133">
        <f>230440048/10^6</f>
        <v>230.44004799999999</v>
      </c>
      <c r="H133">
        <f>0</f>
        <v>0</v>
      </c>
      <c r="I133">
        <f>-42445946/10^6</f>
        <v>-42.445945999999999</v>
      </c>
      <c r="J133">
        <f>0</f>
        <v>0</v>
      </c>
    </row>
    <row r="134" spans="1:10" x14ac:dyDescent="0.25">
      <c r="A134" t="s">
        <v>143</v>
      </c>
      <c r="B134" t="s">
        <v>11</v>
      </c>
      <c r="C134">
        <v>116.22865625</v>
      </c>
      <c r="D134">
        <f>0</f>
        <v>0</v>
      </c>
      <c r="E134">
        <f>675947815/10^6</f>
        <v>675.94781499999999</v>
      </c>
      <c r="F134">
        <f>0</f>
        <v>0</v>
      </c>
      <c r="G134">
        <f>230556534/10^6</f>
        <v>230.556534</v>
      </c>
      <c r="H134">
        <f>0</f>
        <v>0</v>
      </c>
      <c r="I134">
        <f>-42037575/10^6</f>
        <v>-42.037574999999997</v>
      </c>
      <c r="J134">
        <f>0</f>
        <v>0</v>
      </c>
    </row>
    <row r="135" spans="1:10" x14ac:dyDescent="0.25">
      <c r="A135" t="s">
        <v>144</v>
      </c>
      <c r="B135" t="s">
        <v>11</v>
      </c>
      <c r="C135">
        <v>116.71342187499999</v>
      </c>
      <c r="D135">
        <f>0</f>
        <v>0</v>
      </c>
      <c r="E135">
        <f>673082947/10^6</f>
        <v>673.08294699999999</v>
      </c>
      <c r="F135">
        <f>0</f>
        <v>0</v>
      </c>
      <c r="G135">
        <f>230647339/10^6</f>
        <v>230.64733899999999</v>
      </c>
      <c r="H135">
        <f>0</f>
        <v>0</v>
      </c>
      <c r="I135">
        <f>-4161742/10^5</f>
        <v>-41.617420000000003</v>
      </c>
      <c r="J135">
        <f>0</f>
        <v>0</v>
      </c>
    </row>
    <row r="136" spans="1:10" x14ac:dyDescent="0.25">
      <c r="A136" t="s">
        <v>145</v>
      </c>
      <c r="B136" t="s">
        <v>11</v>
      </c>
      <c r="C136">
        <v>117.22516406300001</v>
      </c>
      <c r="D136">
        <f>0</f>
        <v>0</v>
      </c>
      <c r="E136">
        <f>670309875/10^6</f>
        <v>670.30987500000003</v>
      </c>
      <c r="F136">
        <f>0</f>
        <v>0</v>
      </c>
      <c r="G136">
        <f>230719727/10^6</f>
        <v>230.71972700000001</v>
      </c>
      <c r="H136">
        <f>0</f>
        <v>0</v>
      </c>
      <c r="I136">
        <f>-41488419/10^6</f>
        <v>-41.488419</v>
      </c>
      <c r="J136">
        <f>0</f>
        <v>0</v>
      </c>
    </row>
    <row r="137" spans="1:10" x14ac:dyDescent="0.25">
      <c r="A137" t="s">
        <v>146</v>
      </c>
      <c r="B137" t="s">
        <v>11</v>
      </c>
      <c r="C137">
        <v>117.78242968800001</v>
      </c>
      <c r="D137">
        <f>0</f>
        <v>0</v>
      </c>
      <c r="E137">
        <f>667256042/10^6</f>
        <v>667.25604199999998</v>
      </c>
      <c r="F137">
        <f>0</f>
        <v>0</v>
      </c>
      <c r="G137">
        <f>230792252/10^6</f>
        <v>230.79225199999999</v>
      </c>
      <c r="H137">
        <f>0</f>
        <v>0</v>
      </c>
      <c r="I137">
        <f>-41361065/10^6</f>
        <v>-41.361065000000004</v>
      </c>
      <c r="J137">
        <f>0</f>
        <v>0</v>
      </c>
    </row>
    <row r="138" spans="1:10" x14ac:dyDescent="0.25">
      <c r="A138" t="s">
        <v>147</v>
      </c>
      <c r="B138" t="s">
        <v>11</v>
      </c>
      <c r="C138">
        <v>118.400828125</v>
      </c>
      <c r="D138">
        <f>0</f>
        <v>0</v>
      </c>
      <c r="E138">
        <f>663674622/10^6</f>
        <v>663.674622</v>
      </c>
      <c r="F138">
        <f>0</f>
        <v>0</v>
      </c>
      <c r="G138">
        <f>230865341/10^6</f>
        <v>230.865341</v>
      </c>
      <c r="H138">
        <f>0</f>
        <v>0</v>
      </c>
      <c r="I138">
        <f>-40927975/10^6</f>
        <v>-40.927975000000004</v>
      </c>
      <c r="J138">
        <f>0</f>
        <v>0</v>
      </c>
    </row>
    <row r="139" spans="1:10" x14ac:dyDescent="0.25">
      <c r="A139" t="s">
        <v>148</v>
      </c>
      <c r="B139" t="s">
        <v>11</v>
      </c>
      <c r="C139">
        <v>119.08059375000001</v>
      </c>
      <c r="D139">
        <f>0</f>
        <v>0</v>
      </c>
      <c r="E139">
        <f>659909119/10^6</f>
        <v>659.90911900000003</v>
      </c>
      <c r="F139">
        <f>0</f>
        <v>0</v>
      </c>
      <c r="G139">
        <f>230942688/10^6</f>
        <v>230.942688</v>
      </c>
      <c r="H139">
        <f>0</f>
        <v>0</v>
      </c>
      <c r="I139">
        <f>-40613319/10^6</f>
        <v>-40.613318999999997</v>
      </c>
      <c r="J139">
        <f>0</f>
        <v>0</v>
      </c>
    </row>
    <row r="140" spans="1:10" x14ac:dyDescent="0.25">
      <c r="A140" t="s">
        <v>149</v>
      </c>
      <c r="B140" t="s">
        <v>11</v>
      </c>
      <c r="C140">
        <v>119.788625</v>
      </c>
      <c r="D140">
        <f>0</f>
        <v>0</v>
      </c>
      <c r="E140">
        <f>65587262/10^5</f>
        <v>655.87261999999998</v>
      </c>
      <c r="F140">
        <f>0</f>
        <v>0</v>
      </c>
      <c r="G140">
        <f>231019257/10^6</f>
        <v>231.01925700000001</v>
      </c>
      <c r="H140">
        <f>0</f>
        <v>0</v>
      </c>
      <c r="I140">
        <f>-40107033/10^6</f>
        <v>-40.107033000000001</v>
      </c>
      <c r="J140">
        <f>0</f>
        <v>0</v>
      </c>
    </row>
    <row r="141" spans="1:10" x14ac:dyDescent="0.25">
      <c r="A141" t="s">
        <v>150</v>
      </c>
      <c r="B141" t="s">
        <v>11</v>
      </c>
      <c r="C141">
        <v>120.46390624999999</v>
      </c>
      <c r="D141">
        <f>0</f>
        <v>0</v>
      </c>
      <c r="E141">
        <f>651906738/10^6</f>
        <v>651.90673800000002</v>
      </c>
      <c r="F141">
        <f>0</f>
        <v>0</v>
      </c>
      <c r="G141">
        <f>231074051/10^6</f>
        <v>231.074051</v>
      </c>
      <c r="H141">
        <f>0</f>
        <v>0</v>
      </c>
      <c r="I141">
        <f>-39475838/10^6</f>
        <v>-39.475838000000003</v>
      </c>
      <c r="J141">
        <f>0</f>
        <v>0</v>
      </c>
    </row>
    <row r="142" spans="1:10" x14ac:dyDescent="0.25">
      <c r="A142" t="s">
        <v>151</v>
      </c>
      <c r="B142" t="s">
        <v>11</v>
      </c>
      <c r="C142">
        <v>121.01328125000001</v>
      </c>
      <c r="D142">
        <f>0</f>
        <v>0</v>
      </c>
      <c r="E142">
        <f>64878894/10^5</f>
        <v>648.78894000000003</v>
      </c>
      <c r="F142">
        <f>0</f>
        <v>0</v>
      </c>
      <c r="G142">
        <f>231087708/10^6</f>
        <v>231.08770799999999</v>
      </c>
      <c r="H142">
        <f>0</f>
        <v>0</v>
      </c>
      <c r="I142">
        <f>-39157841/10^6</f>
        <v>-39.157840999999998</v>
      </c>
      <c r="J142">
        <f>0</f>
        <v>0</v>
      </c>
    </row>
    <row r="143" spans="1:10" x14ac:dyDescent="0.25">
      <c r="A143" t="s">
        <v>152</v>
      </c>
      <c r="B143" t="s">
        <v>11</v>
      </c>
      <c r="C143">
        <v>121.360101563</v>
      </c>
      <c r="D143">
        <f>0</f>
        <v>0</v>
      </c>
      <c r="E143">
        <f>646745361/10^6</f>
        <v>646.745361</v>
      </c>
      <c r="F143">
        <f>0</f>
        <v>0</v>
      </c>
      <c r="G143">
        <f>231110306/10^6</f>
        <v>231.11030600000001</v>
      </c>
      <c r="H143">
        <f>0</f>
        <v>0</v>
      </c>
      <c r="I143">
        <f>-38859341/10^6</f>
        <v>-38.859341000000001</v>
      </c>
      <c r="J143">
        <f>0</f>
        <v>0</v>
      </c>
    </row>
    <row r="144" spans="1:10" x14ac:dyDescent="0.25">
      <c r="A144" t="s">
        <v>153</v>
      </c>
      <c r="B144" t="s">
        <v>11</v>
      </c>
      <c r="C144">
        <v>121.540414063</v>
      </c>
      <c r="D144">
        <f>0</f>
        <v>0</v>
      </c>
      <c r="E144">
        <f>645751465/10^6</f>
        <v>645.75146500000005</v>
      </c>
      <c r="F144">
        <f>0</f>
        <v>0</v>
      </c>
      <c r="G144">
        <f>231156876/10^6</f>
        <v>231.15687600000001</v>
      </c>
      <c r="H144">
        <f>0</f>
        <v>0</v>
      </c>
      <c r="I144">
        <f>-38666943/10^6</f>
        <v>-38.666943000000003</v>
      </c>
      <c r="J144">
        <f>0</f>
        <v>0</v>
      </c>
    </row>
    <row r="145" spans="1:10" x14ac:dyDescent="0.25">
      <c r="A145" t="s">
        <v>154</v>
      </c>
      <c r="B145" t="s">
        <v>11</v>
      </c>
      <c r="C145">
        <v>121.66278906300001</v>
      </c>
      <c r="D145">
        <f>0</f>
        <v>0</v>
      </c>
      <c r="E145">
        <f>645372803/10^6</f>
        <v>645.37280299999998</v>
      </c>
      <c r="F145">
        <f>0</f>
        <v>0</v>
      </c>
      <c r="G145">
        <f>23120578/10^5</f>
        <v>231.20578</v>
      </c>
      <c r="H145">
        <f>0</f>
        <v>0</v>
      </c>
      <c r="I145">
        <f>-38775826/10^6</f>
        <v>-38.775826000000002</v>
      </c>
      <c r="J145">
        <f>0</f>
        <v>0</v>
      </c>
    </row>
    <row r="146" spans="1:10" x14ac:dyDescent="0.25">
      <c r="A146" t="s">
        <v>155</v>
      </c>
      <c r="B146" t="s">
        <v>11</v>
      </c>
      <c r="C146">
        <v>121.742585938</v>
      </c>
      <c r="D146">
        <f>0</f>
        <v>0</v>
      </c>
      <c r="E146">
        <f>644962463/10^6</f>
        <v>644.96246299999996</v>
      </c>
      <c r="F146">
        <f>0</f>
        <v>0</v>
      </c>
      <c r="G146">
        <f>231251083/10^6</f>
        <v>231.25108299999999</v>
      </c>
      <c r="H146">
        <f>0</f>
        <v>0</v>
      </c>
      <c r="I146">
        <f>-3872916/10^5</f>
        <v>-38.72916</v>
      </c>
      <c r="J146">
        <f>0</f>
        <v>0</v>
      </c>
    </row>
    <row r="147" spans="1:10" x14ac:dyDescent="0.25">
      <c r="A147" t="s">
        <v>156</v>
      </c>
      <c r="B147" t="s">
        <v>11</v>
      </c>
      <c r="C147">
        <v>121.7429375</v>
      </c>
      <c r="D147">
        <f>0</f>
        <v>0</v>
      </c>
      <c r="E147">
        <f>644826233/10^6</f>
        <v>644.826233</v>
      </c>
      <c r="F147">
        <f>0</f>
        <v>0</v>
      </c>
      <c r="G147">
        <f>231279755/10^6</f>
        <v>231.27975499999999</v>
      </c>
      <c r="H147">
        <f>0</f>
        <v>0</v>
      </c>
      <c r="I147">
        <f>-38494961/10^6</f>
        <v>-38.494961000000004</v>
      </c>
      <c r="J147">
        <f>0</f>
        <v>0</v>
      </c>
    </row>
    <row r="148" spans="1:10" x14ac:dyDescent="0.25">
      <c r="A148" t="s">
        <v>157</v>
      </c>
      <c r="B148" t="s">
        <v>11</v>
      </c>
      <c r="C148">
        <v>121.65009375</v>
      </c>
      <c r="D148">
        <f>0</f>
        <v>0</v>
      </c>
      <c r="E148">
        <f>645473267/10^6</f>
        <v>645.47326699999996</v>
      </c>
      <c r="F148">
        <f>0</f>
        <v>0</v>
      </c>
      <c r="G148">
        <f>231296326/10^6</f>
        <v>231.29632599999999</v>
      </c>
      <c r="H148">
        <f>0</f>
        <v>0</v>
      </c>
      <c r="I148">
        <f>-38487743/10^6</f>
        <v>-38.487743000000002</v>
      </c>
      <c r="J148">
        <f>0</f>
        <v>0</v>
      </c>
    </row>
    <row r="149" spans="1:10" x14ac:dyDescent="0.25">
      <c r="A149" t="s">
        <v>158</v>
      </c>
      <c r="B149" t="s">
        <v>11</v>
      </c>
      <c r="C149">
        <v>121.490898438</v>
      </c>
      <c r="D149">
        <f>0</f>
        <v>0</v>
      </c>
      <c r="E149">
        <f>646487/10^3</f>
        <v>646.48699999999997</v>
      </c>
      <c r="F149">
        <f>0</f>
        <v>0</v>
      </c>
      <c r="G149">
        <f>23131897/10^5</f>
        <v>231.31897000000001</v>
      </c>
      <c r="H149">
        <f>0</f>
        <v>0</v>
      </c>
      <c r="I149">
        <f>-38583366/10^6</f>
        <v>-38.583365999999998</v>
      </c>
      <c r="J149">
        <f>0</f>
        <v>0</v>
      </c>
    </row>
    <row r="150" spans="1:10" x14ac:dyDescent="0.25">
      <c r="A150" t="s">
        <v>159</v>
      </c>
      <c r="B150" t="s">
        <v>11</v>
      </c>
      <c r="C150">
        <v>121.306640625</v>
      </c>
      <c r="D150">
        <f>0</f>
        <v>0</v>
      </c>
      <c r="E150">
        <f>64753772/10^5</f>
        <v>647.53772000000004</v>
      </c>
      <c r="F150">
        <f>0</f>
        <v>0</v>
      </c>
      <c r="G150">
        <f>231330704/10^6</f>
        <v>231.330704</v>
      </c>
      <c r="H150">
        <f>0</f>
        <v>0</v>
      </c>
      <c r="I150">
        <f>-38525169/10^6</f>
        <v>-38.525168999999998</v>
      </c>
      <c r="J150">
        <f>0</f>
        <v>0</v>
      </c>
    </row>
    <row r="151" spans="1:10" x14ac:dyDescent="0.25">
      <c r="A151" t="s">
        <v>160</v>
      </c>
      <c r="B151" t="s">
        <v>11</v>
      </c>
      <c r="C151">
        <v>121.088890625</v>
      </c>
      <c r="D151">
        <f>0</f>
        <v>0</v>
      </c>
      <c r="E151">
        <f>648710938/10^6</f>
        <v>648.71093800000006</v>
      </c>
      <c r="F151">
        <f>0</f>
        <v>0</v>
      </c>
      <c r="G151">
        <f>231318741/10^6</f>
        <v>231.31874099999999</v>
      </c>
      <c r="H151">
        <f>0</f>
        <v>0</v>
      </c>
      <c r="I151">
        <f>-3848193/10^5</f>
        <v>-38.481929999999998</v>
      </c>
      <c r="J151">
        <f>0</f>
        <v>0</v>
      </c>
    </row>
    <row r="152" spans="1:10" x14ac:dyDescent="0.25">
      <c r="A152" t="s">
        <v>161</v>
      </c>
      <c r="B152" t="s">
        <v>11</v>
      </c>
      <c r="C152">
        <v>120.84380468800001</v>
      </c>
      <c r="D152">
        <f>0</f>
        <v>0</v>
      </c>
      <c r="E152">
        <f>650127625/10^6</f>
        <v>650.12762499999997</v>
      </c>
      <c r="F152">
        <f>0</f>
        <v>0</v>
      </c>
      <c r="G152">
        <f>23129599/10^5</f>
        <v>231.29598999999999</v>
      </c>
      <c r="H152">
        <f>0</f>
        <v>0</v>
      </c>
      <c r="I152">
        <f>-38762768/10^6</f>
        <v>-38.762768000000001</v>
      </c>
      <c r="J152">
        <f>0</f>
        <v>0</v>
      </c>
    </row>
    <row r="153" spans="1:10" x14ac:dyDescent="0.25">
      <c r="A153" t="s">
        <v>162</v>
      </c>
      <c r="B153" t="s">
        <v>11</v>
      </c>
      <c r="C153">
        <v>120.575671875</v>
      </c>
      <c r="D153">
        <f>0</f>
        <v>0</v>
      </c>
      <c r="E153">
        <f>651662354/10^6</f>
        <v>651.66235400000005</v>
      </c>
      <c r="F153">
        <f>0</f>
        <v>0</v>
      </c>
      <c r="G153">
        <f>23125502/10^5</f>
        <v>231.25502</v>
      </c>
      <c r="H153">
        <f>0</f>
        <v>0</v>
      </c>
      <c r="I153">
        <f>-39111713/10^6</f>
        <v>-39.111713000000002</v>
      </c>
      <c r="J153">
        <f>0</f>
        <v>0</v>
      </c>
    </row>
    <row r="154" spans="1:10" x14ac:dyDescent="0.25">
      <c r="A154" t="s">
        <v>163</v>
      </c>
      <c r="B154" t="s">
        <v>11</v>
      </c>
      <c r="C154">
        <v>120.29546875</v>
      </c>
      <c r="D154">
        <f>0</f>
        <v>0</v>
      </c>
      <c r="E154">
        <f>653062927/10^6</f>
        <v>653.06292699999995</v>
      </c>
      <c r="F154">
        <f>0</f>
        <v>0</v>
      </c>
      <c r="G154">
        <f>231205582/10^6</f>
        <v>231.20558199999999</v>
      </c>
      <c r="H154">
        <f>0</f>
        <v>0</v>
      </c>
      <c r="I154">
        <f>-39087158/10^6</f>
        <v>-39.087158000000002</v>
      </c>
      <c r="J154">
        <f>0</f>
        <v>0</v>
      </c>
    </row>
    <row r="155" spans="1:10" x14ac:dyDescent="0.25">
      <c r="A155" t="s">
        <v>164</v>
      </c>
      <c r="B155" t="s">
        <v>11</v>
      </c>
      <c r="C155">
        <v>120.014109375</v>
      </c>
      <c r="D155">
        <f>0</f>
        <v>0</v>
      </c>
      <c r="E155">
        <f>654605896/10^6</f>
        <v>654.60589600000003</v>
      </c>
      <c r="F155">
        <f>0</f>
        <v>0</v>
      </c>
      <c r="G155">
        <f>231162323/10^6</f>
        <v>231.16232299999999</v>
      </c>
      <c r="H155">
        <f>0</f>
        <v>0</v>
      </c>
      <c r="I155">
        <f>-39157391/10^6</f>
        <v>-39.157390999999997</v>
      </c>
      <c r="J155">
        <f>0</f>
        <v>0</v>
      </c>
    </row>
    <row r="156" spans="1:10" x14ac:dyDescent="0.25">
      <c r="A156" t="s">
        <v>165</v>
      </c>
      <c r="B156" t="s">
        <v>11</v>
      </c>
      <c r="C156">
        <v>119.713882813</v>
      </c>
      <c r="D156">
        <f>0</f>
        <v>0</v>
      </c>
      <c r="E156">
        <f>656318298/10^6</f>
        <v>656.31829800000003</v>
      </c>
      <c r="F156">
        <f>0</f>
        <v>0</v>
      </c>
      <c r="G156">
        <f>231121613/10^6</f>
        <v>231.121613</v>
      </c>
      <c r="H156">
        <f>0</f>
        <v>0</v>
      </c>
      <c r="I156">
        <f>-39571232/10^6</f>
        <v>-39.571232000000002</v>
      </c>
      <c r="J156">
        <f>0</f>
        <v>0</v>
      </c>
    </row>
    <row r="157" spans="1:10" x14ac:dyDescent="0.25">
      <c r="A157" t="s">
        <v>166</v>
      </c>
      <c r="B157" t="s">
        <v>11</v>
      </c>
      <c r="C157">
        <v>119.388625</v>
      </c>
      <c r="D157">
        <f>0</f>
        <v>0</v>
      </c>
      <c r="E157">
        <f>658022522/10^6</f>
        <v>658.02252199999998</v>
      </c>
      <c r="F157">
        <f>0</f>
        <v>0</v>
      </c>
      <c r="G157">
        <f>231067871/10^6</f>
        <v>231.067871</v>
      </c>
      <c r="H157">
        <f>0</f>
        <v>0</v>
      </c>
      <c r="I157">
        <f>-39687325/10^6</f>
        <v>-39.687325000000001</v>
      </c>
      <c r="J157">
        <f>0</f>
        <v>0</v>
      </c>
    </row>
    <row r="158" spans="1:10" x14ac:dyDescent="0.25">
      <c r="A158" t="s">
        <v>167</v>
      </c>
      <c r="B158" t="s">
        <v>11</v>
      </c>
      <c r="C158">
        <v>119.04114843800001</v>
      </c>
      <c r="D158">
        <f>0</f>
        <v>0</v>
      </c>
      <c r="E158">
        <f>659914978/10^6</f>
        <v>659.91497800000002</v>
      </c>
      <c r="F158">
        <f>0</f>
        <v>0</v>
      </c>
      <c r="G158">
        <f>231006882/10^6</f>
        <v>231.00688199999999</v>
      </c>
      <c r="H158">
        <f>0</f>
        <v>0</v>
      </c>
      <c r="I158">
        <f>-39699257/10^6</f>
        <v>-39.699257000000003</v>
      </c>
      <c r="J158">
        <f>0</f>
        <v>0</v>
      </c>
    </row>
    <row r="159" spans="1:10" x14ac:dyDescent="0.25">
      <c r="A159" t="s">
        <v>168</v>
      </c>
      <c r="B159" t="s">
        <v>11</v>
      </c>
      <c r="C159">
        <v>118.68450781300001</v>
      </c>
      <c r="D159">
        <f>0</f>
        <v>0</v>
      </c>
      <c r="E159">
        <f>661920288/10^6</f>
        <v>661.92028800000003</v>
      </c>
      <c r="F159">
        <f>0</f>
        <v>0</v>
      </c>
      <c r="G159">
        <f>230952301/10^6</f>
        <v>230.95230100000001</v>
      </c>
      <c r="H159">
        <f>0</f>
        <v>0</v>
      </c>
      <c r="I159">
        <f>-40007122/10^6</f>
        <v>-40.007122000000003</v>
      </c>
      <c r="J159">
        <f>0</f>
        <v>0</v>
      </c>
    </row>
    <row r="160" spans="1:10" x14ac:dyDescent="0.25">
      <c r="A160" t="s">
        <v>169</v>
      </c>
      <c r="B160" t="s">
        <v>11</v>
      </c>
      <c r="C160">
        <v>118.329492188</v>
      </c>
      <c r="D160">
        <f>0</f>
        <v>0</v>
      </c>
      <c r="E160">
        <f>663783081/10^6</f>
        <v>663.78308100000004</v>
      </c>
      <c r="F160">
        <f>0</f>
        <v>0</v>
      </c>
      <c r="G160">
        <f>230883194/10^6</f>
        <v>230.883194</v>
      </c>
      <c r="H160">
        <f>0</f>
        <v>0</v>
      </c>
      <c r="I160">
        <f>-4027969/10^5</f>
        <v>-40.279690000000002</v>
      </c>
      <c r="J160">
        <f>0</f>
        <v>0</v>
      </c>
    </row>
    <row r="161" spans="1:10" x14ac:dyDescent="0.25">
      <c r="A161" t="s">
        <v>170</v>
      </c>
      <c r="B161" t="s">
        <v>11</v>
      </c>
      <c r="C161">
        <v>117.9621875</v>
      </c>
      <c r="D161">
        <f>0</f>
        <v>0</v>
      </c>
      <c r="E161">
        <f>665790894/10^6</f>
        <v>665.79089399999998</v>
      </c>
      <c r="F161">
        <f>0</f>
        <v>0</v>
      </c>
      <c r="G161">
        <f>230810364/10^6</f>
        <v>230.81036399999999</v>
      </c>
      <c r="H161">
        <f>0</f>
        <v>0</v>
      </c>
      <c r="I161">
        <f>-40478897/10^6</f>
        <v>-40.478897000000003</v>
      </c>
      <c r="J161">
        <f>0</f>
        <v>0</v>
      </c>
    </row>
    <row r="162" spans="1:10" x14ac:dyDescent="0.25">
      <c r="A162" t="s">
        <v>171</v>
      </c>
      <c r="B162" t="s">
        <v>11</v>
      </c>
      <c r="C162">
        <v>117.58746875</v>
      </c>
      <c r="D162">
        <f>0</f>
        <v>0</v>
      </c>
      <c r="E162">
        <f>66793573/10^5</f>
        <v>667.93573000000004</v>
      </c>
      <c r="F162">
        <f>0</f>
        <v>0</v>
      </c>
      <c r="G162">
        <f>230746964/10^6</f>
        <v>230.74696399999999</v>
      </c>
      <c r="H162">
        <f>0</f>
        <v>0</v>
      </c>
      <c r="I162">
        <f>-40771706/10^6</f>
        <v>-40.771706000000002</v>
      </c>
      <c r="J162">
        <f>0</f>
        <v>0</v>
      </c>
    </row>
    <row r="163" spans="1:10" x14ac:dyDescent="0.25">
      <c r="A163" t="s">
        <v>172</v>
      </c>
      <c r="B163" t="s">
        <v>11</v>
      </c>
      <c r="C163">
        <v>117.23786718800001</v>
      </c>
      <c r="D163">
        <f>0</f>
        <v>0</v>
      </c>
      <c r="E163">
        <f>66982666/10^5</f>
        <v>669.82665999999995</v>
      </c>
      <c r="F163">
        <f>0</f>
        <v>0</v>
      </c>
      <c r="G163">
        <f>230667664/10^6</f>
        <v>230.667664</v>
      </c>
      <c r="H163">
        <f>0</f>
        <v>0</v>
      </c>
      <c r="I163">
        <f>-41007809/10^6</f>
        <v>-41.007809000000002</v>
      </c>
      <c r="J163">
        <f>0</f>
        <v>0</v>
      </c>
    </row>
    <row r="164" spans="1:10" x14ac:dyDescent="0.25">
      <c r="A164" t="s">
        <v>173</v>
      </c>
      <c r="B164" t="s">
        <v>11</v>
      </c>
      <c r="C164">
        <v>116.904859375</v>
      </c>
      <c r="D164">
        <f>0</f>
        <v>0</v>
      </c>
      <c r="E164">
        <f>671727173/10^6</f>
        <v>671.72717299999999</v>
      </c>
      <c r="F164">
        <f>0</f>
        <v>0</v>
      </c>
      <c r="G164">
        <f>230600281/10^6</f>
        <v>230.600281</v>
      </c>
      <c r="H164">
        <f>0</f>
        <v>0</v>
      </c>
      <c r="I164">
        <f>-41278873/10^6</f>
        <v>-41.278872999999997</v>
      </c>
      <c r="J164">
        <f>0</f>
        <v>0</v>
      </c>
    </row>
    <row r="165" spans="1:10" x14ac:dyDescent="0.25">
      <c r="A165" t="s">
        <v>174</v>
      </c>
      <c r="B165" t="s">
        <v>11</v>
      </c>
      <c r="C165">
        <v>116.576117188</v>
      </c>
      <c r="D165">
        <f>0</f>
        <v>0</v>
      </c>
      <c r="E165">
        <f>673696533/10^6</f>
        <v>673.69653300000004</v>
      </c>
      <c r="F165">
        <f>0</f>
        <v>0</v>
      </c>
      <c r="G165">
        <f>230548889/10^6</f>
        <v>230.548889</v>
      </c>
      <c r="H165">
        <f>0</f>
        <v>0</v>
      </c>
      <c r="I165">
        <f>-41613407/10^6</f>
        <v>-41.613407000000002</v>
      </c>
      <c r="J165">
        <f>0</f>
        <v>0</v>
      </c>
    </row>
    <row r="166" spans="1:10" x14ac:dyDescent="0.25">
      <c r="A166" t="s">
        <v>175</v>
      </c>
      <c r="B166" t="s">
        <v>11</v>
      </c>
      <c r="C166">
        <v>116.283328125</v>
      </c>
      <c r="D166">
        <f>0</f>
        <v>0</v>
      </c>
      <c r="E166">
        <f>675334595/10^6</f>
        <v>675.33459500000004</v>
      </c>
      <c r="F166">
        <f>0</f>
        <v>0</v>
      </c>
      <c r="G166">
        <f>230497467/10^6</f>
        <v>230.497467</v>
      </c>
      <c r="H166">
        <f>0</f>
        <v>0</v>
      </c>
      <c r="I166">
        <f>-41803627/10^6</f>
        <v>-41.803626999999999</v>
      </c>
      <c r="J166">
        <f>0</f>
        <v>0</v>
      </c>
    </row>
    <row r="167" spans="1:10" x14ac:dyDescent="0.25">
      <c r="A167" t="s">
        <v>176</v>
      </c>
      <c r="B167" t="s">
        <v>11</v>
      </c>
      <c r="C167">
        <v>116.042867188</v>
      </c>
      <c r="D167">
        <f>0</f>
        <v>0</v>
      </c>
      <c r="E167">
        <f>676608459/10^6</f>
        <v>676.60845900000004</v>
      </c>
      <c r="F167">
        <f>0</f>
        <v>0</v>
      </c>
      <c r="G167">
        <f>230471344/10^6</f>
        <v>230.47134399999999</v>
      </c>
      <c r="H167">
        <f>0</f>
        <v>0</v>
      </c>
      <c r="I167">
        <f>-41732807/10^6</f>
        <v>-41.732807000000001</v>
      </c>
      <c r="J167">
        <f>0</f>
        <v>0</v>
      </c>
    </row>
    <row r="168" spans="1:10" x14ac:dyDescent="0.25">
      <c r="A168" t="s">
        <v>177</v>
      </c>
      <c r="B168" t="s">
        <v>11</v>
      </c>
      <c r="C168">
        <v>115.825570313</v>
      </c>
      <c r="D168">
        <f>0</f>
        <v>0</v>
      </c>
      <c r="E168">
        <f>677911377/10^6</f>
        <v>677.91137700000002</v>
      </c>
      <c r="F168">
        <f>0</f>
        <v>0</v>
      </c>
      <c r="G168">
        <f>230438522/10^6</f>
        <v>230.43852200000001</v>
      </c>
      <c r="H168">
        <f>0</f>
        <v>0</v>
      </c>
      <c r="I168">
        <f>-41865814/10^6</f>
        <v>-41.865814</v>
      </c>
      <c r="J168">
        <f>0</f>
        <v>0</v>
      </c>
    </row>
    <row r="169" spans="1:10" x14ac:dyDescent="0.25">
      <c r="A169" t="s">
        <v>178</v>
      </c>
      <c r="B169" t="s">
        <v>11</v>
      </c>
      <c r="C169">
        <v>115.622945313</v>
      </c>
      <c r="D169">
        <f>0</f>
        <v>0</v>
      </c>
      <c r="E169">
        <f>679099487/10^6</f>
        <v>679.09948699999995</v>
      </c>
      <c r="F169">
        <f>0</f>
        <v>0</v>
      </c>
      <c r="G169">
        <f>230387146/10^6</f>
        <v>230.387146</v>
      </c>
      <c r="H169">
        <f>0</f>
        <v>0</v>
      </c>
      <c r="I169">
        <f>-42141815/10^6</f>
        <v>-42.141815000000001</v>
      </c>
      <c r="J169">
        <f>0</f>
        <v>0</v>
      </c>
    </row>
    <row r="170" spans="1:10" x14ac:dyDescent="0.25">
      <c r="A170" t="s">
        <v>179</v>
      </c>
      <c r="B170" t="s">
        <v>11</v>
      </c>
      <c r="C170">
        <v>115.459710938</v>
      </c>
      <c r="D170">
        <f>0</f>
        <v>0</v>
      </c>
      <c r="E170">
        <f>679922241/10^6</f>
        <v>679.92224099999999</v>
      </c>
      <c r="F170">
        <f>0</f>
        <v>0</v>
      </c>
      <c r="G170">
        <f>230330032/10^6</f>
        <v>230.33003199999999</v>
      </c>
      <c r="H170">
        <f>0</f>
        <v>0</v>
      </c>
      <c r="I170">
        <f>-42291904/10^6</f>
        <v>-42.291904000000002</v>
      </c>
      <c r="J170">
        <f>0</f>
        <v>0</v>
      </c>
    </row>
    <row r="171" spans="1:10" x14ac:dyDescent="0.25">
      <c r="A171" t="s">
        <v>180</v>
      </c>
      <c r="B171" t="s">
        <v>11</v>
      </c>
      <c r="C171">
        <v>0</v>
      </c>
      <c r="D171">
        <f>2</f>
        <v>2</v>
      </c>
      <c r="F171">
        <f>2</f>
        <v>2</v>
      </c>
      <c r="H171">
        <f>2</f>
        <v>2</v>
      </c>
      <c r="J171">
        <f>2</f>
        <v>2</v>
      </c>
    </row>
    <row r="172" spans="1:10" x14ac:dyDescent="0.25">
      <c r="A172" t="s">
        <v>181</v>
      </c>
      <c r="B172" t="s">
        <v>11</v>
      </c>
      <c r="C172">
        <v>115.23750781300001</v>
      </c>
      <c r="D172">
        <f>0</f>
        <v>0</v>
      </c>
      <c r="E172">
        <f>681218262/10^6</f>
        <v>681.21826199999998</v>
      </c>
      <c r="F172">
        <f>0</f>
        <v>0</v>
      </c>
      <c r="G172">
        <f>230252823/10^6</f>
        <v>230.25282300000001</v>
      </c>
      <c r="H172">
        <f>0</f>
        <v>0</v>
      </c>
      <c r="I172">
        <f>-42475872/10^6</f>
        <v>-42.475872000000003</v>
      </c>
      <c r="J172">
        <f>0</f>
        <v>0</v>
      </c>
    </row>
    <row r="173" spans="1:10" x14ac:dyDescent="0.25">
      <c r="A173" t="s">
        <v>182</v>
      </c>
      <c r="B173" t="s">
        <v>11</v>
      </c>
      <c r="C173">
        <v>115.1015</v>
      </c>
      <c r="D173">
        <f>0</f>
        <v>0</v>
      </c>
      <c r="E173">
        <f>682124146/10^6</f>
        <v>682.124146</v>
      </c>
      <c r="F173">
        <f>0</f>
        <v>0</v>
      </c>
      <c r="G173">
        <f>230248962/10^6</f>
        <v>230.24896200000001</v>
      </c>
      <c r="H173">
        <f>0</f>
        <v>0</v>
      </c>
      <c r="I173">
        <f>-42827831/10^6</f>
        <v>-42.827831000000003</v>
      </c>
      <c r="J173">
        <f>0</f>
        <v>0</v>
      </c>
    </row>
    <row r="174" spans="1:10" x14ac:dyDescent="0.25">
      <c r="A174" t="s">
        <v>183</v>
      </c>
      <c r="B174" t="s">
        <v>11</v>
      </c>
      <c r="C174">
        <v>115.097109375</v>
      </c>
      <c r="D174">
        <f>0</f>
        <v>0</v>
      </c>
      <c r="E174">
        <f>682186646/10^6</f>
        <v>682.186646</v>
      </c>
      <c r="F174">
        <f>0</f>
        <v>0</v>
      </c>
      <c r="G174">
        <f>230245789/10^6</f>
        <v>230.245789</v>
      </c>
      <c r="H174">
        <f>0</f>
        <v>0</v>
      </c>
      <c r="I174">
        <f>-42906319/10^6</f>
        <v>-42.906319000000003</v>
      </c>
      <c r="J174">
        <f>0</f>
        <v>0</v>
      </c>
    </row>
    <row r="175" spans="1:10" x14ac:dyDescent="0.25">
      <c r="A175" t="s">
        <v>184</v>
      </c>
      <c r="B175" t="s">
        <v>11</v>
      </c>
      <c r="C175">
        <v>115.13864062499999</v>
      </c>
      <c r="D175">
        <f>0</f>
        <v>0</v>
      </c>
      <c r="E175">
        <f>682007019/10^6</f>
        <v>682.00701900000001</v>
      </c>
      <c r="F175">
        <f>0</f>
        <v>0</v>
      </c>
      <c r="G175">
        <f>230295029/10^6</f>
        <v>230.295029</v>
      </c>
      <c r="H175">
        <f>0</f>
        <v>0</v>
      </c>
      <c r="I175">
        <f>-42676456/10^6</f>
        <v>-42.676456000000002</v>
      </c>
      <c r="J175">
        <f>0</f>
        <v>0</v>
      </c>
    </row>
    <row r="176" spans="1:10" x14ac:dyDescent="0.25">
      <c r="A176" t="s">
        <v>185</v>
      </c>
      <c r="B176" t="s">
        <v>11</v>
      </c>
      <c r="C176">
        <v>115.09982031300001</v>
      </c>
      <c r="D176">
        <f>0</f>
        <v>0</v>
      </c>
      <c r="E176">
        <f>682182312/10^6</f>
        <v>682.18231200000002</v>
      </c>
      <c r="F176">
        <f>0</f>
        <v>0</v>
      </c>
      <c r="G176">
        <f>230317627/10^6</f>
        <v>230.31762699999999</v>
      </c>
      <c r="H176">
        <f>0</f>
        <v>0</v>
      </c>
      <c r="I176">
        <f>-42558849/10^6</f>
        <v>-42.558849000000002</v>
      </c>
      <c r="J176">
        <f>0</f>
        <v>0</v>
      </c>
    </row>
    <row r="177" spans="1:10" x14ac:dyDescent="0.25">
      <c r="A177" t="s">
        <v>186</v>
      </c>
      <c r="B177" t="s">
        <v>11</v>
      </c>
      <c r="C177">
        <v>115.04555468800001</v>
      </c>
      <c r="D177">
        <f>0</f>
        <v>0</v>
      </c>
      <c r="E177">
        <f>682640808/10^6</f>
        <v>682.64080799999999</v>
      </c>
      <c r="F177">
        <f>0</f>
        <v>0</v>
      </c>
      <c r="G177">
        <f>230319778/10^6</f>
        <v>230.31977800000001</v>
      </c>
      <c r="H177">
        <f>0</f>
        <v>0</v>
      </c>
      <c r="I177">
        <f>-42707233/10^6</f>
        <v>-42.707233000000002</v>
      </c>
      <c r="J177">
        <f>0</f>
        <v>0</v>
      </c>
    </row>
    <row r="178" spans="1:10" x14ac:dyDescent="0.25">
      <c r="A178" t="s">
        <v>187</v>
      </c>
      <c r="B178" t="s">
        <v>11</v>
      </c>
      <c r="C178">
        <v>115.0005625</v>
      </c>
      <c r="D178">
        <f>0</f>
        <v>0</v>
      </c>
      <c r="E178">
        <f>682940063/10^6</f>
        <v>682.94006300000001</v>
      </c>
      <c r="F178">
        <f>0</f>
        <v>0</v>
      </c>
      <c r="G178">
        <f>230303757/10^6</f>
        <v>230.30375699999999</v>
      </c>
      <c r="H178">
        <f>0</f>
        <v>0</v>
      </c>
      <c r="I178">
        <f>-42863338/10^6</f>
        <v>-42.863337999999999</v>
      </c>
      <c r="J178">
        <f>0</f>
        <v>0</v>
      </c>
    </row>
    <row r="179" spans="1:10" x14ac:dyDescent="0.25">
      <c r="A179" t="s">
        <v>188</v>
      </c>
      <c r="B179" t="s">
        <v>11</v>
      </c>
      <c r="C179">
        <v>114.928726563</v>
      </c>
      <c r="D179">
        <f>0</f>
        <v>0</v>
      </c>
      <c r="E179">
        <f>683094727/10^6</f>
        <v>683.09472700000003</v>
      </c>
      <c r="F179">
        <f>0</f>
        <v>0</v>
      </c>
      <c r="G179">
        <f>230231644/10^6</f>
        <v>230.23164399999999</v>
      </c>
      <c r="H179">
        <f>0</f>
        <v>0</v>
      </c>
      <c r="I179">
        <f>-42771049/10^6</f>
        <v>-42.771048999999998</v>
      </c>
      <c r="J179">
        <f>0</f>
        <v>0</v>
      </c>
    </row>
    <row r="180" spans="1:10" x14ac:dyDescent="0.25">
      <c r="A180" t="s">
        <v>189</v>
      </c>
      <c r="B180" t="s">
        <v>11</v>
      </c>
      <c r="C180">
        <v>114.809679688</v>
      </c>
      <c r="D180">
        <f>0</f>
        <v>0</v>
      </c>
      <c r="E180">
        <f>683507263/10^6</f>
        <v>683.50726299999997</v>
      </c>
      <c r="F180">
        <f>0</f>
        <v>0</v>
      </c>
      <c r="G180">
        <f>230118973/10^6</f>
        <v>230.11897300000001</v>
      </c>
      <c r="H180">
        <f>0</f>
        <v>0</v>
      </c>
      <c r="I180">
        <f>-42860195/10^6</f>
        <v>-42.860194999999997</v>
      </c>
      <c r="J180">
        <f>0</f>
        <v>0</v>
      </c>
    </row>
    <row r="181" spans="1:10" x14ac:dyDescent="0.25">
      <c r="A181" t="s">
        <v>190</v>
      </c>
      <c r="B181" t="s">
        <v>11</v>
      </c>
      <c r="C181">
        <v>114.700453125</v>
      </c>
      <c r="D181">
        <f>0</f>
        <v>0</v>
      </c>
      <c r="E181">
        <f>684103149/10^6</f>
        <v>684.10314900000003</v>
      </c>
      <c r="F181">
        <f>0</f>
        <v>0</v>
      </c>
      <c r="G181">
        <f>230092056/10^6</f>
        <v>230.09205600000001</v>
      </c>
      <c r="H181">
        <f>0</f>
        <v>0</v>
      </c>
      <c r="I181">
        <f>-42963268/10^6</f>
        <v>-42.963267999999999</v>
      </c>
      <c r="J181">
        <f>0</f>
        <v>0</v>
      </c>
    </row>
    <row r="182" spans="1:10" x14ac:dyDescent="0.25">
      <c r="A182" t="s">
        <v>191</v>
      </c>
      <c r="B182" t="s">
        <v>11</v>
      </c>
      <c r="C182">
        <v>114.63972656300001</v>
      </c>
      <c r="D182">
        <f>0</f>
        <v>0</v>
      </c>
      <c r="E182">
        <f>684681946/10^6</f>
        <v>684.68194600000004</v>
      </c>
      <c r="F182">
        <f>0</f>
        <v>0</v>
      </c>
      <c r="G182">
        <f>230136322/10^6</f>
        <v>230.13632200000001</v>
      </c>
      <c r="H182">
        <f>0</f>
        <v>0</v>
      </c>
      <c r="I182">
        <f>-43011208/10^6</f>
        <v>-43.011208000000003</v>
      </c>
      <c r="J182">
        <f>0</f>
        <v>0</v>
      </c>
    </row>
    <row r="183" spans="1:10" x14ac:dyDescent="0.25">
      <c r="A183" t="s">
        <v>192</v>
      </c>
      <c r="B183" t="s">
        <v>11</v>
      </c>
      <c r="C183">
        <v>114.61271875</v>
      </c>
      <c r="D183">
        <f>0</f>
        <v>0</v>
      </c>
      <c r="E183">
        <f>684919434/10^6</f>
        <v>684.91943400000002</v>
      </c>
      <c r="F183">
        <f>0</f>
        <v>0</v>
      </c>
      <c r="G183">
        <f>23014502/10^5</f>
        <v>230.14501999999999</v>
      </c>
      <c r="H183">
        <f>0</f>
        <v>0</v>
      </c>
      <c r="I183">
        <f>-43027206/10^6</f>
        <v>-43.027206</v>
      </c>
      <c r="J183">
        <f>0</f>
        <v>0</v>
      </c>
    </row>
    <row r="184" spans="1:10" x14ac:dyDescent="0.25">
      <c r="A184" t="s">
        <v>193</v>
      </c>
      <c r="B184" t="s">
        <v>11</v>
      </c>
      <c r="C184">
        <v>114.59935937500001</v>
      </c>
      <c r="D184">
        <f>0</f>
        <v>0</v>
      </c>
      <c r="E184">
        <f>684921997/10^6</f>
        <v>684.92199700000003</v>
      </c>
      <c r="F184">
        <f>0</f>
        <v>0</v>
      </c>
      <c r="G184">
        <f>230137665/10^6</f>
        <v>230.137665</v>
      </c>
      <c r="H184">
        <f>0</f>
        <v>0</v>
      </c>
      <c r="I184">
        <f>-42902729/10^6</f>
        <v>-42.902729000000001</v>
      </c>
      <c r="J184">
        <f>0</f>
        <v>0</v>
      </c>
    </row>
    <row r="185" spans="1:10" x14ac:dyDescent="0.25">
      <c r="A185" t="s">
        <v>194</v>
      </c>
      <c r="B185" t="s">
        <v>11</v>
      </c>
      <c r="C185">
        <v>114.60134375</v>
      </c>
      <c r="D185">
        <f>0</f>
        <v>0</v>
      </c>
      <c r="E185">
        <f>684877563/10^6</f>
        <v>684.87756300000001</v>
      </c>
      <c r="F185">
        <f>0</f>
        <v>0</v>
      </c>
      <c r="G185">
        <f>23012883/10^5</f>
        <v>230.12882999999999</v>
      </c>
      <c r="H185">
        <f>0</f>
        <v>0</v>
      </c>
      <c r="I185">
        <f>-43044777/10^6</f>
        <v>-43.044777000000003</v>
      </c>
      <c r="J185">
        <f>0</f>
        <v>0</v>
      </c>
    </row>
    <row r="186" spans="1:10" x14ac:dyDescent="0.25">
      <c r="A186" t="s">
        <v>195</v>
      </c>
      <c r="B186" t="s">
        <v>11</v>
      </c>
      <c r="C186">
        <v>114.64953125</v>
      </c>
      <c r="D186">
        <f>0</f>
        <v>0</v>
      </c>
      <c r="E186">
        <f>684766968/10^6</f>
        <v>684.76696800000002</v>
      </c>
      <c r="F186">
        <f>0</f>
        <v>0</v>
      </c>
      <c r="G186">
        <f>230158325/10^6</f>
        <v>230.15832499999999</v>
      </c>
      <c r="H186">
        <f>0</f>
        <v>0</v>
      </c>
      <c r="I186">
        <f>-43232761/10^6</f>
        <v>-43.232761000000004</v>
      </c>
      <c r="J186">
        <f>0</f>
        <v>0</v>
      </c>
    </row>
    <row r="187" spans="1:10" x14ac:dyDescent="0.25">
      <c r="A187" t="s">
        <v>196</v>
      </c>
      <c r="B187" t="s">
        <v>11</v>
      </c>
      <c r="C187">
        <v>114.72915625</v>
      </c>
      <c r="D187">
        <f>0</f>
        <v>0</v>
      </c>
      <c r="E187">
        <f>684426697/10^6</f>
        <v>684.42669699999999</v>
      </c>
      <c r="F187">
        <f>0</f>
        <v>0</v>
      </c>
      <c r="G187">
        <f>230215576/10^6</f>
        <v>230.215576</v>
      </c>
      <c r="H187">
        <f>0</f>
        <v>0</v>
      </c>
      <c r="I187">
        <f>-4308149/10^5</f>
        <v>-43.081490000000002</v>
      </c>
      <c r="J187">
        <f>0</f>
        <v>0</v>
      </c>
    </row>
    <row r="188" spans="1:10" x14ac:dyDescent="0.25">
      <c r="A188" t="s">
        <v>197</v>
      </c>
      <c r="B188" t="s">
        <v>11</v>
      </c>
      <c r="C188">
        <v>114.792078125</v>
      </c>
      <c r="D188">
        <f>0</f>
        <v>0</v>
      </c>
      <c r="E188">
        <f>683946838/10^6</f>
        <v>683.94683799999996</v>
      </c>
      <c r="F188">
        <f>0</f>
        <v>0</v>
      </c>
      <c r="G188">
        <f>230240875/10^6</f>
        <v>230.24087499999999</v>
      </c>
      <c r="H188">
        <f>0</f>
        <v>0</v>
      </c>
      <c r="I188">
        <f>-42842064/10^6</f>
        <v>-42.842064000000001</v>
      </c>
      <c r="J188">
        <f>0</f>
        <v>0</v>
      </c>
    </row>
    <row r="189" spans="1:10" x14ac:dyDescent="0.25">
      <c r="A189" t="s">
        <v>198</v>
      </c>
      <c r="B189" t="s">
        <v>11</v>
      </c>
      <c r="C189">
        <v>114.812585938</v>
      </c>
      <c r="D189">
        <f>0</f>
        <v>0</v>
      </c>
      <c r="E189">
        <f>683793152/10^6</f>
        <v>683.79315199999996</v>
      </c>
      <c r="F189">
        <f>0</f>
        <v>0</v>
      </c>
      <c r="G189">
        <f>230200089/10^6</f>
        <v>230.20008899999999</v>
      </c>
      <c r="H189">
        <f>0</f>
        <v>0</v>
      </c>
      <c r="I189">
        <f>-42982044/10^6</f>
        <v>-42.982044000000002</v>
      </c>
      <c r="J189">
        <f>0</f>
        <v>0</v>
      </c>
    </row>
    <row r="190" spans="1:10" x14ac:dyDescent="0.25">
      <c r="A190" t="s">
        <v>199</v>
      </c>
      <c r="B190" t="s">
        <v>11</v>
      </c>
      <c r="C190">
        <v>114.843492188</v>
      </c>
      <c r="D190">
        <f>0</f>
        <v>0</v>
      </c>
      <c r="E190">
        <f>683686401/10^6</f>
        <v>683.68640100000005</v>
      </c>
      <c r="F190">
        <f>0</f>
        <v>0</v>
      </c>
      <c r="G190">
        <f>230179153/10^6</f>
        <v>230.17915300000001</v>
      </c>
      <c r="H190">
        <f>0</f>
        <v>0</v>
      </c>
      <c r="I190">
        <f>-43118904/10^6</f>
        <v>-43.118904000000001</v>
      </c>
      <c r="J190">
        <f>0</f>
        <v>0</v>
      </c>
    </row>
    <row r="191" spans="1:10" x14ac:dyDescent="0.25">
      <c r="A191" t="s">
        <v>200</v>
      </c>
      <c r="B191" t="s">
        <v>11</v>
      </c>
      <c r="C191">
        <v>114.94913281300001</v>
      </c>
      <c r="D191">
        <f>0</f>
        <v>0</v>
      </c>
      <c r="E191">
        <f>683206848/10^6</f>
        <v>683.20684800000004</v>
      </c>
      <c r="F191">
        <f>0</f>
        <v>0</v>
      </c>
      <c r="G191">
        <f>230265472/10^6</f>
        <v>230.26547199999999</v>
      </c>
      <c r="H191">
        <f>0</f>
        <v>0</v>
      </c>
      <c r="I191">
        <f>-42935543/10^6</f>
        <v>-42.935543000000003</v>
      </c>
      <c r="J191">
        <f>0</f>
        <v>0</v>
      </c>
    </row>
    <row r="192" spans="1:10" x14ac:dyDescent="0.25">
      <c r="A192" t="s">
        <v>201</v>
      </c>
      <c r="B192" t="s">
        <v>11</v>
      </c>
      <c r="C192">
        <v>115.10376562499999</v>
      </c>
      <c r="D192">
        <f>0</f>
        <v>0</v>
      </c>
      <c r="E192">
        <f>682390076/10^6</f>
        <v>682.39007600000002</v>
      </c>
      <c r="F192">
        <f>0</f>
        <v>0</v>
      </c>
      <c r="G192">
        <f>230348938/10^6</f>
        <v>230.348938</v>
      </c>
      <c r="H192">
        <f>0</f>
        <v>0</v>
      </c>
      <c r="I192">
        <f>-42785404/10^6</f>
        <v>-42.785404</v>
      </c>
      <c r="J192">
        <f>0</f>
        <v>0</v>
      </c>
    </row>
    <row r="193" spans="1:10" x14ac:dyDescent="0.25">
      <c r="A193" t="s">
        <v>202</v>
      </c>
      <c r="B193" t="s">
        <v>11</v>
      </c>
      <c r="C193">
        <v>115.27453906300001</v>
      </c>
      <c r="D193">
        <f>0</f>
        <v>0</v>
      </c>
      <c r="E193">
        <f>681369751/10^6</f>
        <v>681.36975099999995</v>
      </c>
      <c r="F193">
        <f>0</f>
        <v>0</v>
      </c>
      <c r="G193">
        <f>230380966/10^6</f>
        <v>230.380966</v>
      </c>
      <c r="H193">
        <f>0</f>
        <v>0</v>
      </c>
      <c r="I193">
        <f>-4265736/10^5</f>
        <v>-42.657359999999997</v>
      </c>
      <c r="J193">
        <f>0</f>
        <v>0</v>
      </c>
    </row>
    <row r="194" spans="1:10" x14ac:dyDescent="0.25">
      <c r="A194" t="s">
        <v>203</v>
      </c>
      <c r="B194" t="s">
        <v>11</v>
      </c>
      <c r="C194">
        <v>0</v>
      </c>
      <c r="D194">
        <f>2</f>
        <v>2</v>
      </c>
      <c r="F194">
        <f>2</f>
        <v>2</v>
      </c>
      <c r="H194">
        <f>2</f>
        <v>2</v>
      </c>
      <c r="J194">
        <f>2</f>
        <v>2</v>
      </c>
    </row>
    <row r="195" spans="1:10" x14ac:dyDescent="0.25">
      <c r="A195" t="s">
        <v>204</v>
      </c>
      <c r="B195" t="s">
        <v>11</v>
      </c>
      <c r="C195">
        <v>115.74197656300001</v>
      </c>
      <c r="D195">
        <f>0</f>
        <v>0</v>
      </c>
      <c r="E195">
        <f>679155029/10^6</f>
        <v>679.15502900000001</v>
      </c>
      <c r="F195">
        <f>0</f>
        <v>0</v>
      </c>
      <c r="G195">
        <f>230558273/10^6</f>
        <v>230.55827300000001</v>
      </c>
      <c r="H195">
        <f>0</f>
        <v>0</v>
      </c>
      <c r="I195">
        <f>-42625744/10^6</f>
        <v>-42.625743999999997</v>
      </c>
      <c r="J195">
        <f>0</f>
        <v>0</v>
      </c>
    </row>
    <row r="196" spans="1:10" x14ac:dyDescent="0.25">
      <c r="A196" t="s">
        <v>205</v>
      </c>
      <c r="B196" t="s">
        <v>11</v>
      </c>
      <c r="C196">
        <v>116.062789063</v>
      </c>
      <c r="D196">
        <f>0</f>
        <v>0</v>
      </c>
      <c r="E196">
        <f>677197021/10^6</f>
        <v>677.19702099999995</v>
      </c>
      <c r="F196">
        <f>0</f>
        <v>0</v>
      </c>
      <c r="G196">
        <f>230612854/10^6</f>
        <v>230.612854</v>
      </c>
      <c r="H196">
        <f>0</f>
        <v>0</v>
      </c>
      <c r="I196">
        <f>-42272362/10^6</f>
        <v>-42.272362000000001</v>
      </c>
      <c r="J196">
        <f>0</f>
        <v>0</v>
      </c>
    </row>
    <row r="197" spans="1:10" x14ac:dyDescent="0.25">
      <c r="A197" t="s">
        <v>206</v>
      </c>
      <c r="B197" t="s">
        <v>11</v>
      </c>
      <c r="C197">
        <v>116.4090625</v>
      </c>
      <c r="D197">
        <f>0</f>
        <v>0</v>
      </c>
      <c r="E197">
        <f>675204041/10^6</f>
        <v>675.20404099999996</v>
      </c>
      <c r="F197">
        <f>0</f>
        <v>0</v>
      </c>
      <c r="G197">
        <f>230655807/10^6</f>
        <v>230.65580700000001</v>
      </c>
      <c r="H197">
        <f>0</f>
        <v>0</v>
      </c>
      <c r="I197">
        <f>-42094616/10^6</f>
        <v>-42.094616000000002</v>
      </c>
      <c r="J197">
        <f>0</f>
        <v>0</v>
      </c>
    </row>
    <row r="198" spans="1:10" x14ac:dyDescent="0.25">
      <c r="A198" t="s">
        <v>207</v>
      </c>
      <c r="B198" t="s">
        <v>11</v>
      </c>
      <c r="C198">
        <v>116.76199218800001</v>
      </c>
      <c r="D198">
        <f>0</f>
        <v>0</v>
      </c>
      <c r="E198">
        <f>673106934/10^6</f>
        <v>673.10693400000002</v>
      </c>
      <c r="F198">
        <f>0</f>
        <v>0</v>
      </c>
      <c r="G198">
        <f>230714706/10^6</f>
        <v>230.71470600000001</v>
      </c>
      <c r="H198">
        <f>0</f>
        <v>0</v>
      </c>
      <c r="I198">
        <f>-41842945/10^6</f>
        <v>-41.842945</v>
      </c>
      <c r="J198">
        <f>0</f>
        <v>0</v>
      </c>
    </row>
    <row r="199" spans="1:10" x14ac:dyDescent="0.25">
      <c r="A199" t="s">
        <v>208</v>
      </c>
      <c r="B199" t="s">
        <v>11</v>
      </c>
      <c r="C199">
        <v>117.155804688</v>
      </c>
      <c r="D199">
        <f>0</f>
        <v>0</v>
      </c>
      <c r="E199">
        <f>670826416/10^6</f>
        <v>670.82641599999999</v>
      </c>
      <c r="F199">
        <f>0</f>
        <v>0</v>
      </c>
      <c r="G199">
        <f>23078595/10^5</f>
        <v>230.78595000000001</v>
      </c>
      <c r="H199">
        <f>0</f>
        <v>0</v>
      </c>
      <c r="I199">
        <f>-41473591/10^6</f>
        <v>-41.473590999999999</v>
      </c>
      <c r="J199">
        <f>0</f>
        <v>0</v>
      </c>
    </row>
    <row r="200" spans="1:10" x14ac:dyDescent="0.25">
      <c r="A200" t="s">
        <v>209</v>
      </c>
      <c r="B200" t="s">
        <v>11</v>
      </c>
      <c r="C200">
        <v>117.612296875</v>
      </c>
      <c r="D200">
        <f>0</f>
        <v>0</v>
      </c>
      <c r="E200">
        <f>668353333/10^6</f>
        <v>668.35333300000002</v>
      </c>
      <c r="F200">
        <f>0</f>
        <v>0</v>
      </c>
      <c r="G200">
        <f>230849503/10^6</f>
        <v>230.849503</v>
      </c>
      <c r="H200">
        <f>0</f>
        <v>0</v>
      </c>
      <c r="I200">
        <f>-41295074/10^6</f>
        <v>-41.295074</v>
      </c>
      <c r="J200">
        <f>0</f>
        <v>0</v>
      </c>
    </row>
    <row r="201" spans="1:10" x14ac:dyDescent="0.25">
      <c r="A201" t="s">
        <v>210</v>
      </c>
      <c r="B201" t="s">
        <v>11</v>
      </c>
      <c r="C201">
        <v>118.150476563</v>
      </c>
      <c r="D201">
        <f>0</f>
        <v>0</v>
      </c>
      <c r="E201">
        <f>665335938/10^6</f>
        <v>665.33593800000006</v>
      </c>
      <c r="F201">
        <f>0</f>
        <v>0</v>
      </c>
      <c r="G201">
        <f>23092099/10^5</f>
        <v>230.92098999999999</v>
      </c>
      <c r="H201">
        <f>0</f>
        <v>0</v>
      </c>
      <c r="I201">
        <f>-41095184/10^6</f>
        <v>-41.095184000000003</v>
      </c>
      <c r="J201">
        <f>0</f>
        <v>0</v>
      </c>
    </row>
    <row r="202" spans="1:10" x14ac:dyDescent="0.25">
      <c r="A202" t="s">
        <v>211</v>
      </c>
      <c r="B202" t="s">
        <v>11</v>
      </c>
      <c r="C202">
        <v>118.788054688</v>
      </c>
      <c r="D202">
        <f>0</f>
        <v>0</v>
      </c>
      <c r="E202">
        <f>66162207/10^5</f>
        <v>661.62207000000001</v>
      </c>
      <c r="F202">
        <f>0</f>
        <v>0</v>
      </c>
      <c r="G202">
        <f>231005051/10^6</f>
        <v>231.00505100000001</v>
      </c>
      <c r="H202">
        <f>0</f>
        <v>0</v>
      </c>
      <c r="I202">
        <f>-406824/10^4</f>
        <v>-40.682400000000001</v>
      </c>
      <c r="J202">
        <f>0</f>
        <v>0</v>
      </c>
    </row>
    <row r="203" spans="1:10" x14ac:dyDescent="0.25">
      <c r="A203" t="s">
        <v>212</v>
      </c>
      <c r="B203" t="s">
        <v>11</v>
      </c>
      <c r="C203">
        <v>119.45646093800001</v>
      </c>
      <c r="D203">
        <f>0</f>
        <v>0</v>
      </c>
      <c r="E203">
        <f>657813171/10^6</f>
        <v>657.81317100000001</v>
      </c>
      <c r="F203">
        <f>0</f>
        <v>0</v>
      </c>
      <c r="G203">
        <f>23107933/10^5</f>
        <v>231.07933</v>
      </c>
      <c r="H203">
        <f>0</f>
        <v>0</v>
      </c>
      <c r="I203">
        <f>-4024123/10^5</f>
        <v>-40.241230000000002</v>
      </c>
      <c r="J203">
        <f>0</f>
        <v>0</v>
      </c>
    </row>
    <row r="204" spans="1:10" x14ac:dyDescent="0.25">
      <c r="A204" t="s">
        <v>213</v>
      </c>
      <c r="B204" t="s">
        <v>11</v>
      </c>
      <c r="C204">
        <v>120.127320313</v>
      </c>
      <c r="D204">
        <f>0</f>
        <v>0</v>
      </c>
      <c r="E204">
        <f>654121826/10^6</f>
        <v>654.12182600000006</v>
      </c>
      <c r="F204">
        <f>0</f>
        <v>0</v>
      </c>
      <c r="G204">
        <f>231145905/10^6</f>
        <v>231.145905</v>
      </c>
      <c r="H204">
        <f>0</f>
        <v>0</v>
      </c>
      <c r="I204">
        <f>-39868137/10^6</f>
        <v>-39.868136999999997</v>
      </c>
      <c r="J204">
        <f>0</f>
        <v>0</v>
      </c>
    </row>
    <row r="205" spans="1:10" x14ac:dyDescent="0.25">
      <c r="A205" t="s">
        <v>214</v>
      </c>
      <c r="B205" t="s">
        <v>11</v>
      </c>
      <c r="C205">
        <v>120.776820313</v>
      </c>
      <c r="D205">
        <f>0</f>
        <v>0</v>
      </c>
      <c r="E205">
        <f>650357666/10^6</f>
        <v>650.35766599999999</v>
      </c>
      <c r="F205">
        <f>0</f>
        <v>0</v>
      </c>
      <c r="G205">
        <f>231184616/10^6</f>
        <v>231.18461600000001</v>
      </c>
      <c r="H205">
        <f>0</f>
        <v>0</v>
      </c>
      <c r="I205">
        <f>-39467701/10^6</f>
        <v>-39.467700999999998</v>
      </c>
      <c r="J205">
        <f>0</f>
        <v>0</v>
      </c>
    </row>
    <row r="206" spans="1:10" x14ac:dyDescent="0.25">
      <c r="A206" t="s">
        <v>215</v>
      </c>
      <c r="B206" t="s">
        <v>11</v>
      </c>
      <c r="C206">
        <v>121.283921875</v>
      </c>
      <c r="D206">
        <f>0</f>
        <v>0</v>
      </c>
      <c r="E206">
        <f>647347229/10^6</f>
        <v>647.34722899999997</v>
      </c>
      <c r="F206">
        <f>0</f>
        <v>0</v>
      </c>
      <c r="G206">
        <f>231209152/10^6</f>
        <v>231.20915199999999</v>
      </c>
      <c r="H206">
        <f>0</f>
        <v>0</v>
      </c>
      <c r="I206">
        <f>-39030239/10^6</f>
        <v>-39.030239000000002</v>
      </c>
      <c r="J206">
        <f>0</f>
        <v>0</v>
      </c>
    </row>
    <row r="207" spans="1:10" x14ac:dyDescent="0.25">
      <c r="A207" t="s">
        <v>216</v>
      </c>
      <c r="B207" t="s">
        <v>11</v>
      </c>
      <c r="C207">
        <v>121.598398438</v>
      </c>
      <c r="D207">
        <f>0</f>
        <v>0</v>
      </c>
      <c r="E207">
        <f>645707092/10^6</f>
        <v>645.70709199999999</v>
      </c>
      <c r="F207">
        <f>0</f>
        <v>0</v>
      </c>
      <c r="G207">
        <f>231248749/10^6</f>
        <v>231.248749</v>
      </c>
      <c r="H207">
        <f>0</f>
        <v>0</v>
      </c>
      <c r="I207">
        <f>-38853607/10^6</f>
        <v>-38.853606999999997</v>
      </c>
      <c r="J207">
        <f>0</f>
        <v>0</v>
      </c>
    </row>
    <row r="208" spans="1:10" x14ac:dyDescent="0.25">
      <c r="A208" t="s">
        <v>217</v>
      </c>
      <c r="B208" t="s">
        <v>11</v>
      </c>
      <c r="C208">
        <v>0</v>
      </c>
      <c r="D208">
        <f>2</f>
        <v>2</v>
      </c>
      <c r="F208">
        <f>2</f>
        <v>2</v>
      </c>
      <c r="H208">
        <f>2</f>
        <v>2</v>
      </c>
      <c r="J208">
        <f>2</f>
        <v>2</v>
      </c>
    </row>
    <row r="209" spans="1:10" x14ac:dyDescent="0.25">
      <c r="A209" t="s">
        <v>218</v>
      </c>
      <c r="B209" t="s">
        <v>11</v>
      </c>
      <c r="C209">
        <v>121.870796875</v>
      </c>
      <c r="D209">
        <f>0</f>
        <v>0</v>
      </c>
      <c r="E209">
        <f>644430481/10^6</f>
        <v>644.43048099999999</v>
      </c>
      <c r="F209">
        <f>0</f>
        <v>0</v>
      </c>
      <c r="G209">
        <f>231337753/10^6</f>
        <v>231.33775299999999</v>
      </c>
      <c r="H209">
        <f>0</f>
        <v>0</v>
      </c>
      <c r="I209">
        <f>-38848682/10^6</f>
        <v>-38.848681999999997</v>
      </c>
      <c r="J209">
        <f>0</f>
        <v>0</v>
      </c>
    </row>
    <row r="210" spans="1:10" x14ac:dyDescent="0.25">
      <c r="A210" t="s">
        <v>219</v>
      </c>
      <c r="B210" t="s">
        <v>11</v>
      </c>
      <c r="C210">
        <v>121.981960938</v>
      </c>
      <c r="D210">
        <f>0</f>
        <v>0</v>
      </c>
      <c r="E210">
        <f>643871338/10^6</f>
        <v>643.87133800000004</v>
      </c>
      <c r="F210">
        <f>0</f>
        <v>0</v>
      </c>
      <c r="G210">
        <f>23137532/10^5</f>
        <v>231.37531999999999</v>
      </c>
      <c r="H210">
        <f>0</f>
        <v>0</v>
      </c>
      <c r="I210">
        <f>-38687527/10^6</f>
        <v>-38.687527000000003</v>
      </c>
      <c r="J210">
        <f>0</f>
        <v>0</v>
      </c>
    </row>
    <row r="211" spans="1:10" x14ac:dyDescent="0.25">
      <c r="A211" t="s">
        <v>220</v>
      </c>
      <c r="B211" t="s">
        <v>11</v>
      </c>
      <c r="C211">
        <v>122.06009374999999</v>
      </c>
      <c r="D211">
        <f>0</f>
        <v>0</v>
      </c>
      <c r="E211">
        <f>643390686/10^6</f>
        <v>643.39068599999996</v>
      </c>
      <c r="F211">
        <f>0</f>
        <v>0</v>
      </c>
      <c r="G211">
        <f>231398956/10^6</f>
        <v>231.398956</v>
      </c>
      <c r="H211">
        <f>0</f>
        <v>0</v>
      </c>
      <c r="I211">
        <f>-38550022/10^6</f>
        <v>-38.550021999999998</v>
      </c>
      <c r="J211">
        <f>0</f>
        <v>0</v>
      </c>
    </row>
    <row r="212" spans="1:10" x14ac:dyDescent="0.25">
      <c r="A212" t="s">
        <v>221</v>
      </c>
      <c r="B212" t="s">
        <v>11</v>
      </c>
      <c r="C212">
        <v>122.06925</v>
      </c>
      <c r="D212">
        <f>0</f>
        <v>0</v>
      </c>
      <c r="E212">
        <f>643429565/10^6</f>
        <v>643.42956500000003</v>
      </c>
      <c r="F212">
        <f>0</f>
        <v>0</v>
      </c>
      <c r="G212">
        <f>231413483/10^6</f>
        <v>231.41348300000001</v>
      </c>
      <c r="H212">
        <f>0</f>
        <v>0</v>
      </c>
      <c r="I212">
        <f>-38538639/10^6</f>
        <v>-38.538639000000003</v>
      </c>
      <c r="J212">
        <f>0</f>
        <v>0</v>
      </c>
    </row>
    <row r="213" spans="1:10" x14ac:dyDescent="0.25">
      <c r="A213" t="s">
        <v>222</v>
      </c>
      <c r="B213" t="s">
        <v>11</v>
      </c>
      <c r="C213">
        <v>121.999539063</v>
      </c>
      <c r="D213">
        <f>0</f>
        <v>0</v>
      </c>
      <c r="E213">
        <f>643937866/10^6</f>
        <v>643.93786599999999</v>
      </c>
      <c r="F213">
        <f>0</f>
        <v>0</v>
      </c>
      <c r="G213">
        <f>231420059/10^6</f>
        <v>231.42005900000001</v>
      </c>
      <c r="H213">
        <f>0</f>
        <v>0</v>
      </c>
      <c r="I213">
        <f>-38629784/10^6</f>
        <v>-38.629784000000001</v>
      </c>
      <c r="J213">
        <f>0</f>
        <v>0</v>
      </c>
    </row>
    <row r="214" spans="1:10" x14ac:dyDescent="0.25">
      <c r="A214" t="s">
        <v>223</v>
      </c>
      <c r="B214" t="s">
        <v>11</v>
      </c>
      <c r="C214">
        <v>121.89317187499999</v>
      </c>
      <c r="D214">
        <f>0</f>
        <v>0</v>
      </c>
      <c r="E214">
        <f>64446637/10^5</f>
        <v>644.46636999999998</v>
      </c>
      <c r="F214">
        <f>0</f>
        <v>0</v>
      </c>
      <c r="G214">
        <f>231419647/10^6</f>
        <v>231.419647</v>
      </c>
      <c r="H214">
        <f>0</f>
        <v>0</v>
      </c>
      <c r="I214">
        <f>-38588242/10^6</f>
        <v>-38.588242000000001</v>
      </c>
      <c r="J214">
        <f>0</f>
        <v>0</v>
      </c>
    </row>
    <row r="215" spans="1:10" x14ac:dyDescent="0.25">
      <c r="A215" t="s">
        <v>224</v>
      </c>
      <c r="B215" t="s">
        <v>11</v>
      </c>
      <c r="C215">
        <v>121.769757813</v>
      </c>
      <c r="D215">
        <f>0</f>
        <v>0</v>
      </c>
      <c r="E215">
        <f>645040588/10^6</f>
        <v>645.04058799999996</v>
      </c>
      <c r="F215">
        <f>0</f>
        <v>0</v>
      </c>
      <c r="G215">
        <f>231403763/10^6</f>
        <v>231.403763</v>
      </c>
      <c r="H215">
        <f>0</f>
        <v>0</v>
      </c>
      <c r="I215">
        <f>-38354511/10^6</f>
        <v>-38.354511000000002</v>
      </c>
      <c r="J215">
        <f>0</f>
        <v>0</v>
      </c>
    </row>
    <row r="216" spans="1:10" x14ac:dyDescent="0.25">
      <c r="A216" t="s">
        <v>225</v>
      </c>
      <c r="B216" t="s">
        <v>11</v>
      </c>
      <c r="C216">
        <v>121.602828125</v>
      </c>
      <c r="D216">
        <f>0</f>
        <v>0</v>
      </c>
      <c r="E216">
        <f>645902222/10^6</f>
        <v>645.90222200000005</v>
      </c>
      <c r="F216">
        <f>0</f>
        <v>0</v>
      </c>
      <c r="G216">
        <f>231378326/10^6</f>
        <v>231.37832599999999</v>
      </c>
      <c r="H216">
        <f>0</f>
        <v>0</v>
      </c>
      <c r="I216">
        <f>-38331047/10^6</f>
        <v>-38.331046999999998</v>
      </c>
      <c r="J216">
        <f>0</f>
        <v>0</v>
      </c>
    </row>
    <row r="217" spans="1:10" x14ac:dyDescent="0.25">
      <c r="A217" t="s">
        <v>226</v>
      </c>
      <c r="B217" t="s">
        <v>11</v>
      </c>
      <c r="C217">
        <v>121.403820313</v>
      </c>
      <c r="D217">
        <f>0</f>
        <v>0</v>
      </c>
      <c r="E217">
        <f>647036621/10^6</f>
        <v>647.03662099999997</v>
      </c>
      <c r="F217">
        <f>0</f>
        <v>0</v>
      </c>
      <c r="G217">
        <f>231350983/10^6</f>
        <v>231.35098300000001</v>
      </c>
      <c r="H217">
        <f>0</f>
        <v>0</v>
      </c>
      <c r="I217">
        <f>-38568241/10^6</f>
        <v>-38.568241</v>
      </c>
      <c r="J217">
        <f>0</f>
        <v>0</v>
      </c>
    </row>
    <row r="218" spans="1:10" x14ac:dyDescent="0.25">
      <c r="A218" t="s">
        <v>227</v>
      </c>
      <c r="B218" t="s">
        <v>11</v>
      </c>
      <c r="C218">
        <v>121.188804688</v>
      </c>
      <c r="D218">
        <f>0</f>
        <v>0</v>
      </c>
      <c r="E218">
        <f>648262756/10^6</f>
        <v>648.26275599999997</v>
      </c>
      <c r="F218">
        <f>0</f>
        <v>0</v>
      </c>
      <c r="G218">
        <f>231318115/10^6</f>
        <v>231.31811500000001</v>
      </c>
      <c r="H218">
        <f>0</f>
        <v>0</v>
      </c>
      <c r="I218">
        <f>-38758335/10^6</f>
        <v>-38.758335000000002</v>
      </c>
      <c r="J218">
        <f>0</f>
        <v>0</v>
      </c>
    </row>
    <row r="219" spans="1:10" x14ac:dyDescent="0.25">
      <c r="A219" t="s">
        <v>228</v>
      </c>
      <c r="B219" t="s">
        <v>11</v>
      </c>
      <c r="C219">
        <v>120.970929688</v>
      </c>
      <c r="D219">
        <f>0</f>
        <v>0</v>
      </c>
      <c r="E219">
        <f>649412964/10^6</f>
        <v>649.41296399999999</v>
      </c>
      <c r="F219">
        <f>0</f>
        <v>0</v>
      </c>
      <c r="G219">
        <f>231278793/10^6</f>
        <v>231.27879300000001</v>
      </c>
      <c r="H219">
        <f>0</f>
        <v>0</v>
      </c>
      <c r="I219">
        <f>-38811695/10^6</f>
        <v>-38.811695</v>
      </c>
      <c r="J219">
        <f>0</f>
        <v>0</v>
      </c>
    </row>
    <row r="220" spans="1:10" x14ac:dyDescent="0.25">
      <c r="A220" t="s">
        <v>229</v>
      </c>
      <c r="B220" t="s">
        <v>11</v>
      </c>
      <c r="C220">
        <v>120.749601563</v>
      </c>
      <c r="D220">
        <f>0</f>
        <v>0</v>
      </c>
      <c r="E220">
        <f>650589722/10^6</f>
        <v>650.58972200000005</v>
      </c>
      <c r="F220">
        <f>0</f>
        <v>0</v>
      </c>
      <c r="G220">
        <f>231237747/10^6</f>
        <v>231.23774700000001</v>
      </c>
      <c r="H220">
        <f>0</f>
        <v>0</v>
      </c>
      <c r="I220">
        <f>-38909286/10^6</f>
        <v>-38.909286000000002</v>
      </c>
      <c r="J220">
        <f>0</f>
        <v>0</v>
      </c>
    </row>
    <row r="221" spans="1:10" x14ac:dyDescent="0.25">
      <c r="A221" t="s">
        <v>230</v>
      </c>
      <c r="B221" t="s">
        <v>11</v>
      </c>
      <c r="C221">
        <v>120.51837500000001</v>
      </c>
      <c r="D221">
        <f>0</f>
        <v>0</v>
      </c>
      <c r="E221">
        <f>651835754/10^6</f>
        <v>651.83575399999995</v>
      </c>
      <c r="F221">
        <f>0</f>
        <v>0</v>
      </c>
      <c r="G221">
        <f>231196579/10^6</f>
        <v>231.19657900000001</v>
      </c>
      <c r="H221">
        <f>0</f>
        <v>0</v>
      </c>
      <c r="I221">
        <f>-39112423/10^6</f>
        <v>-39.112423</v>
      </c>
      <c r="J221">
        <f>0</f>
        <v>0</v>
      </c>
    </row>
    <row r="222" spans="1:10" x14ac:dyDescent="0.25">
      <c r="A222" t="s">
        <v>231</v>
      </c>
      <c r="B222" t="s">
        <v>11</v>
      </c>
      <c r="C222">
        <v>120.289507813</v>
      </c>
      <c r="D222">
        <f>0</f>
        <v>0</v>
      </c>
      <c r="E222">
        <f>653058655/10^6</f>
        <v>653.05865500000004</v>
      </c>
      <c r="F222">
        <f>0</f>
        <v>0</v>
      </c>
      <c r="G222">
        <f>231158401/10^6</f>
        <v>231.158401</v>
      </c>
      <c r="H222">
        <f>0</f>
        <v>0</v>
      </c>
      <c r="I222">
        <f>-39200581/10^6</f>
        <v>-39.200581</v>
      </c>
      <c r="J222">
        <f>0</f>
        <v>0</v>
      </c>
    </row>
    <row r="223" spans="1:10" x14ac:dyDescent="0.25">
      <c r="A223" t="s">
        <v>232</v>
      </c>
      <c r="B223" t="s">
        <v>11</v>
      </c>
      <c r="C223">
        <v>120.08164062500001</v>
      </c>
      <c r="D223">
        <f>0</f>
        <v>0</v>
      </c>
      <c r="E223">
        <f>654163818/10^6</f>
        <v>654.16381799999999</v>
      </c>
      <c r="F223">
        <f>0</f>
        <v>0</v>
      </c>
      <c r="G223">
        <f>231128006/10^6</f>
        <v>231.128006</v>
      </c>
      <c r="H223">
        <f>0</f>
        <v>0</v>
      </c>
      <c r="I223">
        <f>-39238174/10^6</f>
        <v>-39.238174000000001</v>
      </c>
      <c r="J223">
        <f>0</f>
        <v>0</v>
      </c>
    </row>
    <row r="224" spans="1:10" x14ac:dyDescent="0.25">
      <c r="A224" t="s">
        <v>233</v>
      </c>
      <c r="B224" t="s">
        <v>11</v>
      </c>
      <c r="C224">
        <v>119.900351563</v>
      </c>
      <c r="D224">
        <f>0</f>
        <v>0</v>
      </c>
      <c r="E224">
        <f>655067261/10^6</f>
        <v>655.06726100000003</v>
      </c>
      <c r="F224">
        <f>0</f>
        <v>0</v>
      </c>
      <c r="G224">
        <f>231095734/10^6</f>
        <v>231.09573399999999</v>
      </c>
      <c r="H224">
        <f>0</f>
        <v>0</v>
      </c>
      <c r="I224">
        <f>-39318665/10^6</f>
        <v>-39.318665000000003</v>
      </c>
      <c r="J224">
        <f>0</f>
        <v>0</v>
      </c>
    </row>
    <row r="225" spans="1:10" x14ac:dyDescent="0.25">
      <c r="A225" t="s">
        <v>234</v>
      </c>
      <c r="B225" t="s">
        <v>11</v>
      </c>
      <c r="C225">
        <v>119.69974999999999</v>
      </c>
      <c r="D225">
        <f>0</f>
        <v>0</v>
      </c>
      <c r="E225">
        <f>656074097/10^6</f>
        <v>656.07409700000005</v>
      </c>
      <c r="F225">
        <f>0</f>
        <v>0</v>
      </c>
      <c r="G225">
        <f>231060287/10^6</f>
        <v>231.06028699999999</v>
      </c>
      <c r="H225">
        <f>0</f>
        <v>0</v>
      </c>
      <c r="I225">
        <f>-39349121/10^6</f>
        <v>-39.349120999999997</v>
      </c>
      <c r="J225">
        <f>0</f>
        <v>0</v>
      </c>
    </row>
    <row r="226" spans="1:10" x14ac:dyDescent="0.25">
      <c r="A226" t="s">
        <v>235</v>
      </c>
      <c r="B226" t="s">
        <v>11</v>
      </c>
      <c r="C226">
        <v>119.50248437499999</v>
      </c>
      <c r="D226">
        <f>0</f>
        <v>0</v>
      </c>
      <c r="E226">
        <f>657328674/10^6</f>
        <v>657.32867399999998</v>
      </c>
      <c r="F226">
        <f>0</f>
        <v>0</v>
      </c>
      <c r="G226">
        <f>231041733/10^6</f>
        <v>231.04173299999999</v>
      </c>
      <c r="H226">
        <f>0</f>
        <v>0</v>
      </c>
      <c r="I226">
        <f>-39632603/10^6</f>
        <v>-39.632603000000003</v>
      </c>
      <c r="J226">
        <f>0</f>
        <v>0</v>
      </c>
    </row>
    <row r="227" spans="1:10" x14ac:dyDescent="0.25">
      <c r="A227" t="s">
        <v>236</v>
      </c>
      <c r="B227" t="s">
        <v>11</v>
      </c>
      <c r="C227">
        <v>0</v>
      </c>
      <c r="D227">
        <f>2</f>
        <v>2</v>
      </c>
      <c r="F227">
        <f>2</f>
        <v>2</v>
      </c>
      <c r="H227">
        <f>2</f>
        <v>2</v>
      </c>
      <c r="J227">
        <f>2</f>
        <v>2</v>
      </c>
    </row>
    <row r="228" spans="1:10" x14ac:dyDescent="0.25">
      <c r="A228" t="s">
        <v>237</v>
      </c>
      <c r="B228" t="s">
        <v>11</v>
      </c>
      <c r="C228">
        <v>119.24219531300001</v>
      </c>
      <c r="D228">
        <f>0</f>
        <v>0</v>
      </c>
      <c r="E228">
        <f>658812927/10^6</f>
        <v>658.81292699999995</v>
      </c>
      <c r="F228">
        <f>0</f>
        <v>0</v>
      </c>
      <c r="G228">
        <f>231000351/10^6</f>
        <v>231.00035099999999</v>
      </c>
      <c r="H228">
        <f>0</f>
        <v>0</v>
      </c>
      <c r="I228">
        <f>-39879173/10^6</f>
        <v>-39.879173000000002</v>
      </c>
      <c r="J228">
        <f>0</f>
        <v>0</v>
      </c>
    </row>
    <row r="229" spans="1:10" x14ac:dyDescent="0.25">
      <c r="A229" t="s">
        <v>238</v>
      </c>
      <c r="B229" t="s">
        <v>11</v>
      </c>
      <c r="C229">
        <v>119.115398438</v>
      </c>
      <c r="D229">
        <f>0</f>
        <v>0</v>
      </c>
      <c r="E229">
        <f>659493103/10^6</f>
        <v>659.49310300000002</v>
      </c>
      <c r="F229">
        <f>0</f>
        <v>0</v>
      </c>
      <c r="G229">
        <f>230978989/10^6</f>
        <v>230.97898900000001</v>
      </c>
      <c r="H229">
        <f>0</f>
        <v>0</v>
      </c>
      <c r="I229">
        <f>-39966503/10^6</f>
        <v>-39.966503000000003</v>
      </c>
      <c r="J229">
        <f>0</f>
        <v>0</v>
      </c>
    </row>
    <row r="230" spans="1:10" x14ac:dyDescent="0.25">
      <c r="A230" t="s">
        <v>239</v>
      </c>
      <c r="B230" t="s">
        <v>11</v>
      </c>
      <c r="C230">
        <v>118.990117188</v>
      </c>
      <c r="D230">
        <f>0</f>
        <v>0</v>
      </c>
      <c r="E230">
        <f>660210144/10^6</f>
        <v>660.21014400000001</v>
      </c>
      <c r="F230">
        <f>0</f>
        <v>0</v>
      </c>
      <c r="G230">
        <f>230973602/10^6</f>
        <v>230.973602</v>
      </c>
      <c r="H230">
        <f>0</f>
        <v>0</v>
      </c>
      <c r="I230">
        <f>-40029343/10^6</f>
        <v>-40.029342999999997</v>
      </c>
      <c r="J230">
        <f>0</f>
        <v>0</v>
      </c>
    </row>
    <row r="231" spans="1:10" x14ac:dyDescent="0.25">
      <c r="A231" t="s">
        <v>240</v>
      </c>
      <c r="B231" t="s">
        <v>11</v>
      </c>
      <c r="C231">
        <v>118.890914063</v>
      </c>
      <c r="D231">
        <f>0</f>
        <v>0</v>
      </c>
      <c r="E231">
        <f>660776917/10^6</f>
        <v>660.77691700000003</v>
      </c>
      <c r="F231">
        <f>0</f>
        <v>0</v>
      </c>
      <c r="G231">
        <f>230974915/10^6</f>
        <v>230.97491500000001</v>
      </c>
      <c r="H231">
        <f>0</f>
        <v>0</v>
      </c>
      <c r="I231">
        <f>-39930893/10^6</f>
        <v>-39.930892999999998</v>
      </c>
      <c r="J231">
        <f>0</f>
        <v>0</v>
      </c>
    </row>
    <row r="232" spans="1:10" x14ac:dyDescent="0.25">
      <c r="A232" t="s">
        <v>241</v>
      </c>
      <c r="B232" t="s">
        <v>11</v>
      </c>
      <c r="C232">
        <v>118.821445313</v>
      </c>
      <c r="D232">
        <f>0</f>
        <v>0</v>
      </c>
      <c r="E232">
        <f>661157837/10^6</f>
        <v>661.15783699999997</v>
      </c>
      <c r="F232">
        <f>0</f>
        <v>0</v>
      </c>
      <c r="G232">
        <f>230979263/10^6</f>
        <v>230.979263</v>
      </c>
      <c r="H232">
        <f>0</f>
        <v>0</v>
      </c>
      <c r="I232">
        <f>-39913391/10^6</f>
        <v>-39.913390999999997</v>
      </c>
      <c r="J232">
        <f>0</f>
        <v>0</v>
      </c>
    </row>
    <row r="233" spans="1:10" x14ac:dyDescent="0.25">
      <c r="A233" t="s">
        <v>242</v>
      </c>
      <c r="B233" t="s">
        <v>11</v>
      </c>
      <c r="C233">
        <v>118.774625</v>
      </c>
      <c r="D233">
        <f>0</f>
        <v>0</v>
      </c>
      <c r="E233">
        <f>661431091/10^6</f>
        <v>661.43109100000004</v>
      </c>
      <c r="F233">
        <f>0</f>
        <v>0</v>
      </c>
      <c r="G233">
        <f>230992996/10^6</f>
        <v>230.99299600000001</v>
      </c>
      <c r="H233">
        <f>0</f>
        <v>0</v>
      </c>
      <c r="I233">
        <f>-39937641/10^6</f>
        <v>-39.937640999999999</v>
      </c>
      <c r="J233">
        <f>0</f>
        <v>0</v>
      </c>
    </row>
    <row r="234" spans="1:10" x14ac:dyDescent="0.25">
      <c r="A234" t="s">
        <v>243</v>
      </c>
      <c r="B234" t="s">
        <v>11</v>
      </c>
      <c r="C234">
        <v>118.708359375</v>
      </c>
      <c r="D234">
        <f>0</f>
        <v>0</v>
      </c>
      <c r="E234">
        <f>661816833/10^6</f>
        <v>661.81683299999997</v>
      </c>
      <c r="F234">
        <f>0</f>
        <v>0</v>
      </c>
      <c r="G234">
        <f>230986603/10^6</f>
        <v>230.986603</v>
      </c>
      <c r="H234">
        <f>0</f>
        <v>0</v>
      </c>
      <c r="I234">
        <f>-40009991/10^6</f>
        <v>-40.009990999999999</v>
      </c>
      <c r="J234">
        <f>0</f>
        <v>0</v>
      </c>
    </row>
    <row r="235" spans="1:10" x14ac:dyDescent="0.25">
      <c r="A235" t="s">
        <v>244</v>
      </c>
      <c r="B235" t="s">
        <v>11</v>
      </c>
      <c r="C235">
        <v>118.57853125</v>
      </c>
      <c r="D235">
        <f>0</f>
        <v>0</v>
      </c>
      <c r="E235">
        <f>662536682/10^6</f>
        <v>662.53668200000004</v>
      </c>
      <c r="F235">
        <f>0</f>
        <v>0</v>
      </c>
      <c r="G235">
        <f>230960388/10^6</f>
        <v>230.96038799999999</v>
      </c>
      <c r="H235">
        <f>0</f>
        <v>0</v>
      </c>
      <c r="I235">
        <f>-40138905/10^6</f>
        <v>-40.138905000000001</v>
      </c>
      <c r="J235">
        <f>0</f>
        <v>0</v>
      </c>
    </row>
    <row r="236" spans="1:10" x14ac:dyDescent="0.25">
      <c r="A236" t="s">
        <v>245</v>
      </c>
      <c r="B236" t="s">
        <v>11</v>
      </c>
      <c r="C236">
        <v>118.41660937499999</v>
      </c>
      <c r="D236">
        <f>0</f>
        <v>0</v>
      </c>
      <c r="E236">
        <f>663537048/10^6</f>
        <v>663.53704800000003</v>
      </c>
      <c r="F236">
        <f>0</f>
        <v>0</v>
      </c>
      <c r="G236">
        <f>230949722/10^6</f>
        <v>230.94972200000001</v>
      </c>
      <c r="H236">
        <f>0</f>
        <v>0</v>
      </c>
      <c r="I236">
        <f>-40298512/10^6</f>
        <v>-40.298512000000002</v>
      </c>
      <c r="J236">
        <f>0</f>
        <v>0</v>
      </c>
    </row>
    <row r="237" spans="1:10" x14ac:dyDescent="0.25">
      <c r="A237" t="s">
        <v>246</v>
      </c>
      <c r="B237" t="s">
        <v>11</v>
      </c>
      <c r="C237">
        <v>118.24257812499999</v>
      </c>
      <c r="D237">
        <f>0</f>
        <v>0</v>
      </c>
      <c r="E237">
        <f>664582825/10^6</f>
        <v>664.58282499999996</v>
      </c>
      <c r="F237">
        <f>0</f>
        <v>0</v>
      </c>
      <c r="G237">
        <f>230932358/10^6</f>
        <v>230.93235799999999</v>
      </c>
      <c r="H237">
        <f>0</f>
        <v>0</v>
      </c>
      <c r="I237">
        <f>-40582474/10^6</f>
        <v>-40.582473999999998</v>
      </c>
      <c r="J237">
        <f>0</f>
        <v>0</v>
      </c>
    </row>
    <row r="238" spans="1:10" x14ac:dyDescent="0.25">
      <c r="A238" t="s">
        <v>247</v>
      </c>
      <c r="B238" t="s">
        <v>11</v>
      </c>
      <c r="C238">
        <v>118.063109375</v>
      </c>
      <c r="D238">
        <f>0</f>
        <v>0</v>
      </c>
      <c r="E238">
        <f>665581665/10^6</f>
        <v>665.58166500000004</v>
      </c>
      <c r="F238">
        <f>0</f>
        <v>0</v>
      </c>
      <c r="G238">
        <f>230909561/10^6</f>
        <v>230.909561</v>
      </c>
      <c r="H238">
        <f>0</f>
        <v>0</v>
      </c>
      <c r="I238">
        <f>-4065955/10^5</f>
        <v>-40.659550000000003</v>
      </c>
      <c r="J238">
        <f>0</f>
        <v>0</v>
      </c>
    </row>
    <row r="239" spans="1:10" x14ac:dyDescent="0.25">
      <c r="A239" t="s">
        <v>248</v>
      </c>
      <c r="B239" t="s">
        <v>11</v>
      </c>
      <c r="C239">
        <v>117.90846875</v>
      </c>
      <c r="D239">
        <f>0</f>
        <v>0</v>
      </c>
      <c r="E239">
        <f>66640387/10^5</f>
        <v>666.40386999999998</v>
      </c>
      <c r="F239">
        <f>0</f>
        <v>0</v>
      </c>
      <c r="G239">
        <f>230890839/10^6</f>
        <v>230.890839</v>
      </c>
      <c r="H239">
        <f>0</f>
        <v>0</v>
      </c>
      <c r="I239">
        <f>-40586613/10^6</f>
        <v>-40.586613</v>
      </c>
      <c r="J239">
        <f>0</f>
        <v>0</v>
      </c>
    </row>
    <row r="240" spans="1:10" x14ac:dyDescent="0.25">
      <c r="A240" t="s">
        <v>249</v>
      </c>
      <c r="B240" t="s">
        <v>11</v>
      </c>
      <c r="C240">
        <v>117.76545312499999</v>
      </c>
      <c r="D240">
        <f>0</f>
        <v>0</v>
      </c>
      <c r="E240">
        <f>667200562/10^6</f>
        <v>667.20056199999999</v>
      </c>
      <c r="F240">
        <f>0</f>
        <v>0</v>
      </c>
      <c r="G240">
        <f>230867859/10^6</f>
        <v>230.86785900000001</v>
      </c>
      <c r="H240">
        <f>0</f>
        <v>0</v>
      </c>
      <c r="I240">
        <f>-40714073/10^6</f>
        <v>-40.714072999999999</v>
      </c>
      <c r="J240">
        <f>0</f>
        <v>0</v>
      </c>
    </row>
    <row r="241" spans="1:10" x14ac:dyDescent="0.25">
      <c r="A241" t="s">
        <v>250</v>
      </c>
      <c r="B241" t="s">
        <v>11</v>
      </c>
      <c r="C241">
        <v>0</v>
      </c>
      <c r="D241">
        <f>2</f>
        <v>2</v>
      </c>
      <c r="F241">
        <f>2</f>
        <v>2</v>
      </c>
      <c r="H241">
        <f>2</f>
        <v>2</v>
      </c>
      <c r="J241">
        <f>2</f>
        <v>2</v>
      </c>
    </row>
    <row r="242" spans="1:10" x14ac:dyDescent="0.25">
      <c r="A242" t="s">
        <v>251</v>
      </c>
      <c r="B242" t="s">
        <v>11</v>
      </c>
      <c r="C242">
        <v>117.436679688</v>
      </c>
      <c r="D242">
        <f>0</f>
        <v>0</v>
      </c>
      <c r="E242">
        <f>669166748/10^6</f>
        <v>669.16674799999998</v>
      </c>
      <c r="F242">
        <f>0</f>
        <v>0</v>
      </c>
      <c r="G242">
        <f>230823563/10^6</f>
        <v>230.82356300000001</v>
      </c>
      <c r="H242">
        <f>0</f>
        <v>0</v>
      </c>
      <c r="I242">
        <f>-41027401/10^6</f>
        <v>-41.027400999999998</v>
      </c>
      <c r="J242">
        <f>0</f>
        <v>0</v>
      </c>
    </row>
    <row r="243" spans="1:10" x14ac:dyDescent="0.25">
      <c r="A243" t="s">
        <v>252</v>
      </c>
      <c r="B243" t="s">
        <v>11</v>
      </c>
      <c r="C243">
        <v>117.246953125</v>
      </c>
      <c r="D243">
        <f>0</f>
        <v>0</v>
      </c>
      <c r="E243">
        <f>670263428/10^6</f>
        <v>670.26342799999998</v>
      </c>
      <c r="F243">
        <f>0</f>
        <v>0</v>
      </c>
      <c r="G243">
        <f>23083342/10^5</f>
        <v>230.83341999999999</v>
      </c>
      <c r="H243">
        <f>0</f>
        <v>0</v>
      </c>
      <c r="I243">
        <f>-41124702/10^6</f>
        <v>-41.124701999999999</v>
      </c>
      <c r="J243">
        <f>0</f>
        <v>0</v>
      </c>
    </row>
    <row r="244" spans="1:10" x14ac:dyDescent="0.25">
      <c r="A244" t="s">
        <v>253</v>
      </c>
      <c r="B244" t="s">
        <v>11</v>
      </c>
      <c r="C244">
        <v>117.021359375</v>
      </c>
      <c r="D244">
        <f>0</f>
        <v>0</v>
      </c>
      <c r="E244">
        <f>671534973/10^6</f>
        <v>671.53497300000004</v>
      </c>
      <c r="F244">
        <f>0</f>
        <v>0</v>
      </c>
      <c r="G244">
        <f>23082666/10^5</f>
        <v>230.82666</v>
      </c>
      <c r="H244">
        <f>0</f>
        <v>0</v>
      </c>
      <c r="I244">
        <f>-41174438/10^6</f>
        <v>-41.174438000000002</v>
      </c>
      <c r="J244">
        <f>0</f>
        <v>0</v>
      </c>
    </row>
    <row r="245" spans="1:10" x14ac:dyDescent="0.25">
      <c r="A245" t="s">
        <v>254</v>
      </c>
      <c r="B245" t="s">
        <v>11</v>
      </c>
      <c r="C245">
        <v>116.76118750000001</v>
      </c>
      <c r="D245">
        <f>0</f>
        <v>0</v>
      </c>
      <c r="E245">
        <f>673093445/10^6</f>
        <v>673.09344499999997</v>
      </c>
      <c r="F245">
        <f>0</f>
        <v>0</v>
      </c>
      <c r="G245">
        <f>230792847/10^6</f>
        <v>230.79284699999999</v>
      </c>
      <c r="H245">
        <f>0</f>
        <v>0</v>
      </c>
      <c r="I245">
        <f>-41306919/10^6</f>
        <v>-41.306919000000001</v>
      </c>
      <c r="J245">
        <f>0</f>
        <v>0</v>
      </c>
    </row>
    <row r="246" spans="1:10" x14ac:dyDescent="0.25">
      <c r="A246" t="s">
        <v>255</v>
      </c>
      <c r="B246" t="s">
        <v>11</v>
      </c>
      <c r="C246">
        <v>116.464804688</v>
      </c>
      <c r="D246">
        <f>0</f>
        <v>0</v>
      </c>
      <c r="E246">
        <f>67491748/10^5</f>
        <v>674.91747999999995</v>
      </c>
      <c r="F246">
        <f>0</f>
        <v>0</v>
      </c>
      <c r="G246">
        <f>230753067/10^6</f>
        <v>230.75306699999999</v>
      </c>
      <c r="H246">
        <f>0</f>
        <v>0</v>
      </c>
      <c r="I246">
        <f>-41677368/10^6</f>
        <v>-41.677368000000001</v>
      </c>
      <c r="J246">
        <f>0</f>
        <v>0</v>
      </c>
    </row>
    <row r="247" spans="1:10" x14ac:dyDescent="0.25">
      <c r="A247" t="s">
        <v>256</v>
      </c>
      <c r="B247" t="s">
        <v>11</v>
      </c>
      <c r="C247">
        <v>116.169445313</v>
      </c>
      <c r="D247">
        <f>0</f>
        <v>0</v>
      </c>
      <c r="E247">
        <f>676580139/10^6</f>
        <v>676.58013900000003</v>
      </c>
      <c r="F247">
        <f>0</f>
        <v>0</v>
      </c>
      <c r="G247">
        <f>230707077/10^6</f>
        <v>230.707077</v>
      </c>
      <c r="H247">
        <f>0</f>
        <v>0</v>
      </c>
      <c r="I247">
        <f>-41786572/10^6</f>
        <v>-41.786572</v>
      </c>
      <c r="J247">
        <f>0</f>
        <v>0</v>
      </c>
    </row>
    <row r="248" spans="1:10" x14ac:dyDescent="0.25">
      <c r="A248" t="s">
        <v>257</v>
      </c>
      <c r="B248" t="s">
        <v>11</v>
      </c>
      <c r="C248">
        <v>115.87982031300001</v>
      </c>
      <c r="D248">
        <f>0</f>
        <v>0</v>
      </c>
      <c r="E248">
        <f>678096436/10^6</f>
        <v>678.09643600000004</v>
      </c>
      <c r="F248">
        <f>0</f>
        <v>0</v>
      </c>
      <c r="G248">
        <f>230628281/10^6</f>
        <v>230.62828099999999</v>
      </c>
      <c r="H248">
        <f>0</f>
        <v>0</v>
      </c>
      <c r="I248">
        <f>-41832039/10^6</f>
        <v>-41.832039000000002</v>
      </c>
      <c r="J248">
        <f>0</f>
        <v>0</v>
      </c>
    </row>
    <row r="249" spans="1:10" x14ac:dyDescent="0.25">
      <c r="A249" t="s">
        <v>258</v>
      </c>
      <c r="B249" t="s">
        <v>11</v>
      </c>
      <c r="C249">
        <v>115.63751562500001</v>
      </c>
      <c r="D249">
        <f>0</f>
        <v>0</v>
      </c>
      <c r="E249">
        <f>679499756/10^6</f>
        <v>679.49975600000005</v>
      </c>
      <c r="F249">
        <f>0</f>
        <v>0</v>
      </c>
      <c r="G249">
        <f>230565277/10^6</f>
        <v>230.56527700000001</v>
      </c>
      <c r="H249">
        <f>0</f>
        <v>0</v>
      </c>
      <c r="I249">
        <f>-42141048/10^6</f>
        <v>-42.141047999999998</v>
      </c>
      <c r="J249">
        <f>0</f>
        <v>0</v>
      </c>
    </row>
    <row r="250" spans="1:10" x14ac:dyDescent="0.25">
      <c r="A250" t="s">
        <v>259</v>
      </c>
      <c r="B250" t="s">
        <v>11</v>
      </c>
      <c r="C250">
        <v>0</v>
      </c>
      <c r="D250">
        <f>2</f>
        <v>2</v>
      </c>
      <c r="F250">
        <f>2</f>
        <v>2</v>
      </c>
      <c r="H250">
        <f>2</f>
        <v>2</v>
      </c>
      <c r="J250">
        <f>2</f>
        <v>2</v>
      </c>
    </row>
    <row r="251" spans="1:10" x14ac:dyDescent="0.25">
      <c r="A251" t="s">
        <v>260</v>
      </c>
      <c r="B251" t="s">
        <v>11</v>
      </c>
      <c r="C251">
        <v>115.401679688</v>
      </c>
      <c r="D251">
        <f>0</f>
        <v>0</v>
      </c>
      <c r="E251">
        <f>68091217/10^5</f>
        <v>680.91216999999995</v>
      </c>
      <c r="F251">
        <f>0</f>
        <v>0</v>
      </c>
      <c r="G251">
        <f>230507935/10^6</f>
        <v>230.507935</v>
      </c>
      <c r="H251">
        <f>0</f>
        <v>0</v>
      </c>
      <c r="I251">
        <f>-42500431/10^6</f>
        <v>-42.500430999999999</v>
      </c>
      <c r="J251">
        <f>0</f>
        <v>0</v>
      </c>
    </row>
    <row r="252" spans="1:10" x14ac:dyDescent="0.25">
      <c r="A252" t="s">
        <v>261</v>
      </c>
      <c r="B252" t="s">
        <v>11</v>
      </c>
      <c r="C252">
        <v>115.232320313</v>
      </c>
      <c r="D252">
        <f>0</f>
        <v>0</v>
      </c>
      <c r="E252">
        <f>681862/10^3</f>
        <v>681.86199999999997</v>
      </c>
      <c r="F252">
        <f>0</f>
        <v>0</v>
      </c>
      <c r="G252">
        <f>230486816/10^6</f>
        <v>230.486816</v>
      </c>
      <c r="H252">
        <f>0</f>
        <v>0</v>
      </c>
      <c r="I252">
        <f>-42505913/10^6</f>
        <v>-42.505913</v>
      </c>
      <c r="J252">
        <f>0</f>
        <v>0</v>
      </c>
    </row>
    <row r="253" spans="1:10" x14ac:dyDescent="0.25">
      <c r="A253" t="s">
        <v>262</v>
      </c>
      <c r="B253" t="s">
        <v>11</v>
      </c>
      <c r="C253">
        <v>115.080484375</v>
      </c>
      <c r="D253">
        <f>0</f>
        <v>0</v>
      </c>
      <c r="E253">
        <f>682380676/10^6</f>
        <v>682.38067599999999</v>
      </c>
      <c r="F253">
        <f>0</f>
        <v>0</v>
      </c>
      <c r="G253">
        <f>230349945/10^6</f>
        <v>230.34994499999999</v>
      </c>
      <c r="H253">
        <f>0</f>
        <v>0</v>
      </c>
      <c r="I253">
        <f>-4259066/10^5</f>
        <v>-42.59066</v>
      </c>
      <c r="J253">
        <f>0</f>
        <v>0</v>
      </c>
    </row>
    <row r="254" spans="1:10" x14ac:dyDescent="0.25">
      <c r="A254" t="s">
        <v>263</v>
      </c>
      <c r="B254" t="s">
        <v>11</v>
      </c>
      <c r="C254">
        <v>114.99119531300001</v>
      </c>
      <c r="D254">
        <f>0</f>
        <v>0</v>
      </c>
      <c r="E254">
        <f>682649719/10^6</f>
        <v>682.649719</v>
      </c>
      <c r="F254">
        <f>0</f>
        <v>0</v>
      </c>
      <c r="G254">
        <f>230233414/10^6</f>
        <v>230.23341400000001</v>
      </c>
      <c r="H254">
        <f>0</f>
        <v>0</v>
      </c>
      <c r="I254">
        <f>-42753792/10^6</f>
        <v>-42.753791999999997</v>
      </c>
      <c r="J254">
        <f>0</f>
        <v>0</v>
      </c>
    </row>
    <row r="255" spans="1:10" x14ac:dyDescent="0.25">
      <c r="A255" t="s">
        <v>264</v>
      </c>
      <c r="B255" t="s">
        <v>11</v>
      </c>
      <c r="C255">
        <v>114.929648438</v>
      </c>
      <c r="D255">
        <f>0</f>
        <v>0</v>
      </c>
      <c r="E255">
        <f>683259338/10^6</f>
        <v>683.25933799999996</v>
      </c>
      <c r="F255">
        <f>0</f>
        <v>0</v>
      </c>
      <c r="G255">
        <f>230245544/10^6</f>
        <v>230.245544</v>
      </c>
      <c r="H255">
        <f>0</f>
        <v>0</v>
      </c>
      <c r="I255">
        <f>-42910439/10^6</f>
        <v>-42.910438999999997</v>
      </c>
      <c r="J255">
        <f>0</f>
        <v>0</v>
      </c>
    </row>
    <row r="256" spans="1:10" x14ac:dyDescent="0.25">
      <c r="A256" t="s">
        <v>265</v>
      </c>
      <c r="B256" t="s">
        <v>11</v>
      </c>
      <c r="C256">
        <v>114.87975</v>
      </c>
      <c r="D256">
        <f>0</f>
        <v>0</v>
      </c>
      <c r="E256">
        <f>683606506/10^6</f>
        <v>683.60650599999997</v>
      </c>
      <c r="F256">
        <f>0</f>
        <v>0</v>
      </c>
      <c r="G256">
        <f>230295639/10^6</f>
        <v>230.29563899999999</v>
      </c>
      <c r="H256">
        <f>0</f>
        <v>0</v>
      </c>
      <c r="I256">
        <f>-42883717/10^6</f>
        <v>-42.883716999999997</v>
      </c>
      <c r="J256">
        <f>0</f>
        <v>0</v>
      </c>
    </row>
    <row r="257" spans="1:10" x14ac:dyDescent="0.25">
      <c r="A257" t="s">
        <v>266</v>
      </c>
      <c r="B257" t="s">
        <v>11</v>
      </c>
      <c r="C257">
        <v>114.85275781300001</v>
      </c>
      <c r="D257">
        <f>0</f>
        <v>0</v>
      </c>
      <c r="E257">
        <f>68370697/10^5</f>
        <v>683.70696999999996</v>
      </c>
      <c r="F257">
        <f>0</f>
        <v>0</v>
      </c>
      <c r="G257">
        <f>230291061/10^6</f>
        <v>230.29106100000001</v>
      </c>
      <c r="H257">
        <f>0</f>
        <v>0</v>
      </c>
      <c r="I257">
        <f>-42842033/10^6</f>
        <v>-42.842033000000001</v>
      </c>
      <c r="J257">
        <f>0</f>
        <v>0</v>
      </c>
    </row>
    <row r="258" spans="1:10" x14ac:dyDescent="0.25">
      <c r="A258" t="s">
        <v>267</v>
      </c>
      <c r="B258" t="s">
        <v>11</v>
      </c>
      <c r="C258">
        <v>114.85925</v>
      </c>
      <c r="D258">
        <f>0</f>
        <v>0</v>
      </c>
      <c r="E258">
        <f>683741882/10^6</f>
        <v>683.74188200000003</v>
      </c>
      <c r="F258">
        <f>0</f>
        <v>0</v>
      </c>
      <c r="G258">
        <f>230264526/10^6</f>
        <v>230.26452599999999</v>
      </c>
      <c r="H258">
        <f>0</f>
        <v>0</v>
      </c>
      <c r="I258">
        <f>-42971741/10^6</f>
        <v>-42.971741000000002</v>
      </c>
      <c r="J258">
        <f>0</f>
        <v>0</v>
      </c>
    </row>
    <row r="259" spans="1:10" x14ac:dyDescent="0.25">
      <c r="A259" t="s">
        <v>268</v>
      </c>
      <c r="B259" t="s">
        <v>11</v>
      </c>
      <c r="C259">
        <v>0</v>
      </c>
      <c r="D259">
        <f>2</f>
        <v>2</v>
      </c>
      <c r="F259">
        <f>2</f>
        <v>2</v>
      </c>
      <c r="H259">
        <f>2</f>
        <v>2</v>
      </c>
      <c r="J259">
        <f>2</f>
        <v>2</v>
      </c>
    </row>
    <row r="260" spans="1:10" x14ac:dyDescent="0.25">
      <c r="A260" t="s">
        <v>269</v>
      </c>
      <c r="B260" t="s">
        <v>11</v>
      </c>
      <c r="C260">
        <v>115.01610156300001</v>
      </c>
      <c r="D260">
        <f>0</f>
        <v>0</v>
      </c>
      <c r="E260">
        <f>682936279/10^6</f>
        <v>682.93627900000001</v>
      </c>
      <c r="F260">
        <f>0</f>
        <v>0</v>
      </c>
      <c r="G260">
        <f>230325729/10^6</f>
        <v>230.325729</v>
      </c>
      <c r="H260">
        <f>0</f>
        <v>0</v>
      </c>
      <c r="I260">
        <f>-42967808/10^6</f>
        <v>-42.967807999999998</v>
      </c>
      <c r="J260">
        <f>0</f>
        <v>0</v>
      </c>
    </row>
    <row r="261" spans="1:10" x14ac:dyDescent="0.25">
      <c r="A261" t="s">
        <v>270</v>
      </c>
      <c r="B261" t="s">
        <v>11</v>
      </c>
      <c r="C261">
        <v>115.12702343800001</v>
      </c>
      <c r="D261">
        <f>0</f>
        <v>0</v>
      </c>
      <c r="E261">
        <f>682314148/10^6</f>
        <v>682.31414800000005</v>
      </c>
      <c r="F261">
        <f>0</f>
        <v>0</v>
      </c>
      <c r="G261">
        <f>230368027/10^6</f>
        <v>230.36802700000001</v>
      </c>
      <c r="H261">
        <f>0</f>
        <v>0</v>
      </c>
      <c r="I261">
        <f>-42809513/10^6</f>
        <v>-42.809513000000003</v>
      </c>
      <c r="J261">
        <f>0</f>
        <v>0</v>
      </c>
    </row>
    <row r="262" spans="1:10" x14ac:dyDescent="0.25">
      <c r="A262" t="s">
        <v>271</v>
      </c>
      <c r="B262" t="s">
        <v>11</v>
      </c>
      <c r="C262">
        <v>0</v>
      </c>
      <c r="D262">
        <f>2</f>
        <v>2</v>
      </c>
      <c r="F262">
        <f>2</f>
        <v>2</v>
      </c>
      <c r="H262">
        <f>2</f>
        <v>2</v>
      </c>
      <c r="J262">
        <f>2</f>
        <v>2</v>
      </c>
    </row>
    <row r="263" spans="1:10" x14ac:dyDescent="0.25">
      <c r="A263" t="s">
        <v>272</v>
      </c>
      <c r="B263" t="s">
        <v>11</v>
      </c>
      <c r="C263">
        <v>115.390953125</v>
      </c>
      <c r="D263">
        <f>0</f>
        <v>0</v>
      </c>
      <c r="E263">
        <f>680754517/10^6</f>
        <v>680.75451699999996</v>
      </c>
      <c r="F263">
        <f>0</f>
        <v>0</v>
      </c>
      <c r="G263">
        <f>230400208/10^6</f>
        <v>230.40020799999999</v>
      </c>
      <c r="H263">
        <f>0</f>
        <v>0</v>
      </c>
      <c r="I263">
        <f>-42711185/10^6</f>
        <v>-42.711185</v>
      </c>
      <c r="J263">
        <f>0</f>
        <v>0</v>
      </c>
    </row>
    <row r="264" spans="1:10" x14ac:dyDescent="0.25">
      <c r="A264" t="s">
        <v>273</v>
      </c>
      <c r="B264" t="s">
        <v>11</v>
      </c>
      <c r="C264">
        <v>115.557734375</v>
      </c>
      <c r="D264">
        <f>0</f>
        <v>0</v>
      </c>
      <c r="E264">
        <f>679802734/10^6</f>
        <v>679.80273399999999</v>
      </c>
      <c r="F264">
        <f>0</f>
        <v>0</v>
      </c>
      <c r="G264">
        <f>230456802/10^6</f>
        <v>230.45680200000001</v>
      </c>
      <c r="H264">
        <f>0</f>
        <v>0</v>
      </c>
      <c r="I264">
        <f>-4249044/10^5</f>
        <v>-42.49044</v>
      </c>
      <c r="J264">
        <f>0</f>
        <v>0</v>
      </c>
    </row>
    <row r="265" spans="1:10" x14ac:dyDescent="0.25">
      <c r="A265" t="s">
        <v>274</v>
      </c>
      <c r="B265" t="s">
        <v>11</v>
      </c>
      <c r="C265">
        <v>115.74918750000001</v>
      </c>
      <c r="D265">
        <f>0</f>
        <v>0</v>
      </c>
      <c r="E265">
        <f>678770325/10^6</f>
        <v>678.77032499999996</v>
      </c>
      <c r="F265">
        <f>0</f>
        <v>0</v>
      </c>
      <c r="G265">
        <f>230516327/10^6</f>
        <v>230.51632699999999</v>
      </c>
      <c r="H265">
        <f>0</f>
        <v>0</v>
      </c>
      <c r="I265">
        <f>-42191212/10^6</f>
        <v>-42.191212</v>
      </c>
      <c r="J265">
        <f>0</f>
        <v>0</v>
      </c>
    </row>
    <row r="266" spans="1:10" x14ac:dyDescent="0.25">
      <c r="A266" t="s">
        <v>275</v>
      </c>
      <c r="B266" t="s">
        <v>11</v>
      </c>
      <c r="C266">
        <v>115.929976563</v>
      </c>
      <c r="D266">
        <f>0</f>
        <v>0</v>
      </c>
      <c r="E266">
        <f>677736389/10^6</f>
        <v>677.73638900000003</v>
      </c>
      <c r="F266">
        <f>0</f>
        <v>0</v>
      </c>
      <c r="G266">
        <f>2305569/10^4</f>
        <v>230.55690000000001</v>
      </c>
      <c r="H266">
        <f>0</f>
        <v>0</v>
      </c>
      <c r="I266">
        <f>-42153473/10^6</f>
        <v>-42.153472999999998</v>
      </c>
      <c r="J266">
        <f>0</f>
        <v>0</v>
      </c>
    </row>
    <row r="267" spans="1:10" x14ac:dyDescent="0.25">
      <c r="A267" t="s">
        <v>276</v>
      </c>
      <c r="B267" t="s">
        <v>11</v>
      </c>
      <c r="C267">
        <v>116.119359375</v>
      </c>
      <c r="D267">
        <f>0</f>
        <v>0</v>
      </c>
      <c r="E267">
        <f>676664612/10^6</f>
        <v>676.66461200000003</v>
      </c>
      <c r="F267">
        <f>0</f>
        <v>0</v>
      </c>
      <c r="G267">
        <f>230589096/10^6</f>
        <v>230.58909600000001</v>
      </c>
      <c r="H267">
        <f>0</f>
        <v>0</v>
      </c>
      <c r="I267">
        <f>-42127968/10^6</f>
        <v>-42.127968000000003</v>
      </c>
      <c r="J267">
        <f>0</f>
        <v>0</v>
      </c>
    </row>
    <row r="268" spans="1:10" x14ac:dyDescent="0.25">
      <c r="A268" t="s">
        <v>277</v>
      </c>
      <c r="B268" t="s">
        <v>11</v>
      </c>
      <c r="C268">
        <v>116.325148438</v>
      </c>
      <c r="D268">
        <f>0</f>
        <v>0</v>
      </c>
      <c r="E268">
        <f>675617493/10^6</f>
        <v>675.61749299999997</v>
      </c>
      <c r="F268">
        <f>0</f>
        <v>0</v>
      </c>
      <c r="G268">
        <f>230626389/10^6</f>
        <v>230.62638899999999</v>
      </c>
      <c r="H268">
        <f>0</f>
        <v>0</v>
      </c>
      <c r="I268">
        <f>-42087639/10^6</f>
        <v>-42.087639000000003</v>
      </c>
      <c r="J268">
        <f>0</f>
        <v>0</v>
      </c>
    </row>
    <row r="269" spans="1:10" x14ac:dyDescent="0.25">
      <c r="A269" t="s">
        <v>278</v>
      </c>
      <c r="B269" t="s">
        <v>11</v>
      </c>
      <c r="C269">
        <v>116.56603906300001</v>
      </c>
      <c r="D269">
        <f>0</f>
        <v>0</v>
      </c>
      <c r="E269">
        <f>674140442/10^6</f>
        <v>674.14044200000001</v>
      </c>
      <c r="F269">
        <f>0</f>
        <v>0</v>
      </c>
      <c r="G269">
        <f>230673569/10^6</f>
        <v>230.67356899999999</v>
      </c>
      <c r="H269">
        <f>0</f>
        <v>0</v>
      </c>
      <c r="I269">
        <f>-41875023/10^6</f>
        <v>-41.875022999999999</v>
      </c>
      <c r="J269">
        <f>0</f>
        <v>0</v>
      </c>
    </row>
    <row r="270" spans="1:10" x14ac:dyDescent="0.25">
      <c r="A270" t="s">
        <v>279</v>
      </c>
      <c r="B270" t="s">
        <v>11</v>
      </c>
      <c r="C270">
        <v>116.8493125</v>
      </c>
      <c r="D270">
        <f>0</f>
        <v>0</v>
      </c>
      <c r="E270">
        <f>672453125/10^6</f>
        <v>672.453125</v>
      </c>
      <c r="F270">
        <f>0</f>
        <v>0</v>
      </c>
      <c r="G270">
        <f>230725052/10^6</f>
        <v>230.72505200000001</v>
      </c>
      <c r="H270">
        <f>0</f>
        <v>0</v>
      </c>
      <c r="I270">
        <f>-41643711/10^6</f>
        <v>-41.643711000000003</v>
      </c>
      <c r="J270">
        <f>0</f>
        <v>0</v>
      </c>
    </row>
    <row r="271" spans="1:10" x14ac:dyDescent="0.25">
      <c r="A271" t="s">
        <v>280</v>
      </c>
      <c r="B271" t="s">
        <v>11</v>
      </c>
      <c r="C271">
        <v>117.15178125</v>
      </c>
      <c r="D271">
        <f>0</f>
        <v>0</v>
      </c>
      <c r="E271">
        <f>670820129/10^6</f>
        <v>670.82012899999995</v>
      </c>
      <c r="F271">
        <f>0</f>
        <v>0</v>
      </c>
      <c r="G271">
        <f>230776688/10^6</f>
        <v>230.77668800000001</v>
      </c>
      <c r="H271">
        <f>0</f>
        <v>0</v>
      </c>
      <c r="I271">
        <f>-41543861/10^6</f>
        <v>-41.543861</v>
      </c>
      <c r="J271">
        <f>0</f>
        <v>0</v>
      </c>
    </row>
    <row r="272" spans="1:10" x14ac:dyDescent="0.25">
      <c r="A272" t="s">
        <v>281</v>
      </c>
      <c r="B272" t="s">
        <v>11</v>
      </c>
      <c r="C272">
        <v>117.47024999999999</v>
      </c>
      <c r="D272">
        <f>0</f>
        <v>0</v>
      </c>
      <c r="E272">
        <f>669062561/10^6</f>
        <v>669.06256099999996</v>
      </c>
      <c r="F272">
        <f>0</f>
        <v>0</v>
      </c>
      <c r="G272">
        <f>230831818/10^6</f>
        <v>230.831818</v>
      </c>
      <c r="H272">
        <f>0</f>
        <v>0</v>
      </c>
      <c r="I272">
        <f>-41353466/10^6</f>
        <v>-41.353465999999997</v>
      </c>
      <c r="J272">
        <f>0</f>
        <v>0</v>
      </c>
    </row>
    <row r="273" spans="1:10" x14ac:dyDescent="0.25">
      <c r="A273" t="s">
        <v>282</v>
      </c>
      <c r="B273" t="s">
        <v>11</v>
      </c>
      <c r="C273">
        <v>117.79579687499999</v>
      </c>
      <c r="D273">
        <f>0</f>
        <v>0</v>
      </c>
      <c r="E273">
        <f>66724292/10^5</f>
        <v>667.24292000000003</v>
      </c>
      <c r="F273">
        <f>0</f>
        <v>0</v>
      </c>
      <c r="G273">
        <f>230877075/10^6</f>
        <v>230.87707499999999</v>
      </c>
      <c r="H273">
        <f>0</f>
        <v>0</v>
      </c>
      <c r="I273">
        <f>-41114365/10^6</f>
        <v>-41.114364999999999</v>
      </c>
      <c r="J273">
        <f>0</f>
        <v>0</v>
      </c>
    </row>
    <row r="274" spans="1:10" x14ac:dyDescent="0.25">
      <c r="A274" t="s">
        <v>283</v>
      </c>
      <c r="B274" t="s">
        <v>11</v>
      </c>
      <c r="C274">
        <v>118.13882031300001</v>
      </c>
      <c r="D274">
        <f>0</f>
        <v>0</v>
      </c>
      <c r="E274">
        <f>665336182/10^6</f>
        <v>665.33618200000001</v>
      </c>
      <c r="F274">
        <f>0</f>
        <v>0</v>
      </c>
      <c r="G274">
        <f>230924316/10^6</f>
        <v>230.924316</v>
      </c>
      <c r="H274">
        <f>0</f>
        <v>0</v>
      </c>
      <c r="I274">
        <f>-40935738/10^6</f>
        <v>-40.935738000000001</v>
      </c>
      <c r="J274">
        <f>0</f>
        <v>0</v>
      </c>
    </row>
    <row r="275" spans="1:10" x14ac:dyDescent="0.25">
      <c r="A275" t="s">
        <v>284</v>
      </c>
      <c r="B275" t="s">
        <v>11</v>
      </c>
      <c r="C275">
        <v>118.507476563</v>
      </c>
      <c r="D275">
        <f>0</f>
        <v>0</v>
      </c>
      <c r="E275">
        <f>663168579/10^6</f>
        <v>663.16857900000002</v>
      </c>
      <c r="F275">
        <f>0</f>
        <v>0</v>
      </c>
      <c r="G275">
        <f>230976486/10^6</f>
        <v>230.97648599999999</v>
      </c>
      <c r="H275">
        <f>0</f>
        <v>0</v>
      </c>
      <c r="I275">
        <f>-40605232/10^6</f>
        <v>-40.605232000000001</v>
      </c>
      <c r="J275">
        <f>0</f>
        <v>0</v>
      </c>
    </row>
    <row r="276" spans="1:10" x14ac:dyDescent="0.25">
      <c r="A276" t="s">
        <v>285</v>
      </c>
      <c r="B276" t="s">
        <v>11</v>
      </c>
      <c r="C276">
        <v>118.86578125</v>
      </c>
      <c r="D276">
        <f>0</f>
        <v>0</v>
      </c>
      <c r="E276">
        <f>661116638/10^6</f>
        <v>661.11663799999997</v>
      </c>
      <c r="F276">
        <f>0</f>
        <v>0</v>
      </c>
      <c r="G276">
        <f>231019653/10^6</f>
        <v>231.01965300000001</v>
      </c>
      <c r="H276">
        <f>0</f>
        <v>0</v>
      </c>
      <c r="I276">
        <f>-40403614/10^6</f>
        <v>-40.403613999999997</v>
      </c>
      <c r="J276">
        <f>0</f>
        <v>0</v>
      </c>
    </row>
    <row r="277" spans="1:10" x14ac:dyDescent="0.25">
      <c r="A277" t="s">
        <v>286</v>
      </c>
      <c r="B277" t="s">
        <v>11</v>
      </c>
      <c r="C277">
        <v>119.22265625</v>
      </c>
      <c r="D277">
        <f>0</f>
        <v>0</v>
      </c>
      <c r="E277">
        <f>659178345/10^6</f>
        <v>659.17834500000004</v>
      </c>
      <c r="F277">
        <f>0</f>
        <v>0</v>
      </c>
      <c r="G277">
        <f>231065018/10^6</f>
        <v>231.06501800000001</v>
      </c>
      <c r="H277">
        <f>0</f>
        <v>0</v>
      </c>
      <c r="I277">
        <f>-40374756/10^6</f>
        <v>-40.374755999999998</v>
      </c>
      <c r="J277">
        <f>0</f>
        <v>0</v>
      </c>
    </row>
    <row r="278" spans="1:10" x14ac:dyDescent="0.25">
      <c r="A278" t="s">
        <v>287</v>
      </c>
      <c r="B278" t="s">
        <v>11</v>
      </c>
      <c r="C278">
        <v>119.580375</v>
      </c>
      <c r="D278">
        <f>0</f>
        <v>0</v>
      </c>
      <c r="E278">
        <f>657101685/10^6</f>
        <v>657.10168499999997</v>
      </c>
      <c r="F278">
        <f>0</f>
        <v>0</v>
      </c>
      <c r="G278">
        <f>231100906/10^6</f>
        <v>231.10090600000001</v>
      </c>
      <c r="H278">
        <f>0</f>
        <v>0</v>
      </c>
      <c r="I278">
        <f>-40044609/10^6</f>
        <v>-40.044609000000001</v>
      </c>
      <c r="J278">
        <f>0</f>
        <v>0</v>
      </c>
    </row>
    <row r="279" spans="1:10" x14ac:dyDescent="0.25">
      <c r="A279" t="s">
        <v>288</v>
      </c>
      <c r="B279" t="s">
        <v>11</v>
      </c>
      <c r="C279">
        <v>119.91810156300001</v>
      </c>
      <c r="D279">
        <f>0</f>
        <v>0</v>
      </c>
      <c r="E279">
        <f>655177368/10^6</f>
        <v>655.177368</v>
      </c>
      <c r="F279">
        <f>0</f>
        <v>0</v>
      </c>
      <c r="G279">
        <f>231131699/10^6</f>
        <v>231.131699</v>
      </c>
      <c r="H279">
        <f>0</f>
        <v>0</v>
      </c>
      <c r="I279">
        <f>-39657528/10^6</f>
        <v>-39.657527999999999</v>
      </c>
      <c r="J279">
        <f>0</f>
        <v>0</v>
      </c>
    </row>
    <row r="280" spans="1:10" x14ac:dyDescent="0.25">
      <c r="A280" t="s">
        <v>289</v>
      </c>
      <c r="B280" t="s">
        <v>11</v>
      </c>
      <c r="C280">
        <v>120.227570313</v>
      </c>
      <c r="D280">
        <f>0</f>
        <v>0</v>
      </c>
      <c r="E280">
        <f>65352478/10^5</f>
        <v>653.52477999999996</v>
      </c>
      <c r="F280">
        <f>0</f>
        <v>0</v>
      </c>
      <c r="G280">
        <f>231190613/10^6</f>
        <v>231.19061300000001</v>
      </c>
      <c r="H280">
        <f>0</f>
        <v>0</v>
      </c>
      <c r="I280">
        <f>-39527138/10^6</f>
        <v>-39.527138000000001</v>
      </c>
      <c r="J280">
        <f>0</f>
        <v>0</v>
      </c>
    </row>
    <row r="281" spans="1:10" x14ac:dyDescent="0.25">
      <c r="A281" t="s">
        <v>290</v>
      </c>
      <c r="B281" t="s">
        <v>11</v>
      </c>
      <c r="C281">
        <v>120.50115624999999</v>
      </c>
      <c r="D281">
        <f>0</f>
        <v>0</v>
      </c>
      <c r="E281">
        <f>651919495/10^6</f>
        <v>651.91949499999998</v>
      </c>
      <c r="F281">
        <f>0</f>
        <v>0</v>
      </c>
      <c r="G281">
        <f>231228973/10^6</f>
        <v>231.228973</v>
      </c>
      <c r="H281">
        <f>0</f>
        <v>0</v>
      </c>
      <c r="I281">
        <f>-39358044/10^6</f>
        <v>-39.358044</v>
      </c>
      <c r="J281">
        <f>0</f>
        <v>0</v>
      </c>
    </row>
    <row r="282" spans="1:10" x14ac:dyDescent="0.25">
      <c r="A282" t="s">
        <v>291</v>
      </c>
      <c r="B282" t="s">
        <v>11</v>
      </c>
      <c r="C282">
        <v>120.734757813</v>
      </c>
      <c r="D282">
        <f>0</f>
        <v>0</v>
      </c>
      <c r="E282">
        <f>650624939/10^6</f>
        <v>650.62493900000004</v>
      </c>
      <c r="F282">
        <f>0</f>
        <v>0</v>
      </c>
      <c r="G282">
        <f>231239105/10^6</f>
        <v>231.239105</v>
      </c>
      <c r="H282">
        <f>0</f>
        <v>0</v>
      </c>
      <c r="I282">
        <f>-39197075/10^6</f>
        <v>-39.197074999999998</v>
      </c>
      <c r="J282">
        <f>0</f>
        <v>0</v>
      </c>
    </row>
    <row r="283" spans="1:10" x14ac:dyDescent="0.25">
      <c r="A283" t="s">
        <v>292</v>
      </c>
      <c r="B283" t="s">
        <v>11</v>
      </c>
      <c r="C283">
        <v>120.92809375</v>
      </c>
      <c r="D283">
        <f>0</f>
        <v>0</v>
      </c>
      <c r="E283">
        <f>649626526/10^6</f>
        <v>649.62652600000001</v>
      </c>
      <c r="F283">
        <f>0</f>
        <v>0</v>
      </c>
      <c r="G283">
        <f>231273636/10^6</f>
        <v>231.27363600000001</v>
      </c>
      <c r="H283">
        <f>0</f>
        <v>0</v>
      </c>
      <c r="I283">
        <f>-39021408/10^6</f>
        <v>-39.021408000000001</v>
      </c>
      <c r="J283">
        <f>0</f>
        <v>0</v>
      </c>
    </row>
    <row r="284" spans="1:10" x14ac:dyDescent="0.25">
      <c r="A284" t="s">
        <v>293</v>
      </c>
      <c r="B284" t="s">
        <v>11</v>
      </c>
      <c r="C284">
        <v>121.079273438</v>
      </c>
      <c r="D284">
        <f>0</f>
        <v>0</v>
      </c>
      <c r="E284">
        <f>648706848/10^6</f>
        <v>648.70684800000004</v>
      </c>
      <c r="F284">
        <f>0</f>
        <v>0</v>
      </c>
      <c r="G284">
        <f>231301239/10^6</f>
        <v>231.30123900000001</v>
      </c>
      <c r="H284">
        <f>0</f>
        <v>0</v>
      </c>
      <c r="I284">
        <f>-38861115/10^6</f>
        <v>-38.861114999999998</v>
      </c>
      <c r="J284">
        <f>0</f>
        <v>0</v>
      </c>
    </row>
    <row r="285" spans="1:10" x14ac:dyDescent="0.25">
      <c r="A285" t="s">
        <v>294</v>
      </c>
      <c r="B285" t="s">
        <v>11</v>
      </c>
      <c r="C285">
        <v>121.16984375</v>
      </c>
      <c r="D285">
        <f>0</f>
        <v>0</v>
      </c>
      <c r="E285">
        <f>648345886/10^6</f>
        <v>648.34588599999995</v>
      </c>
      <c r="F285">
        <f>0</f>
        <v>0</v>
      </c>
      <c r="G285">
        <f>231319489/10^6</f>
        <v>231.319489</v>
      </c>
      <c r="H285">
        <f>0</f>
        <v>0</v>
      </c>
      <c r="I285">
        <f>-39074615/10^6</f>
        <v>-39.074615000000001</v>
      </c>
      <c r="J285">
        <f>0</f>
        <v>0</v>
      </c>
    </row>
    <row r="286" spans="1:10" x14ac:dyDescent="0.25">
      <c r="A286" t="s">
        <v>295</v>
      </c>
      <c r="B286" t="s">
        <v>11</v>
      </c>
      <c r="C286">
        <v>121.22834374999999</v>
      </c>
      <c r="D286">
        <f>0</f>
        <v>0</v>
      </c>
      <c r="E286">
        <f>648110718/10^6</f>
        <v>648.11071800000002</v>
      </c>
      <c r="F286">
        <f>0</f>
        <v>0</v>
      </c>
      <c r="G286">
        <f>231344162/10^6</f>
        <v>231.34416200000001</v>
      </c>
      <c r="H286">
        <f>0</f>
        <v>0</v>
      </c>
      <c r="I286">
        <f>-39143929/10^6</f>
        <v>-39.143929</v>
      </c>
      <c r="J286">
        <f>0</f>
        <v>0</v>
      </c>
    </row>
    <row r="287" spans="1:10" x14ac:dyDescent="0.25">
      <c r="A287" t="s">
        <v>296</v>
      </c>
      <c r="B287" t="s">
        <v>11</v>
      </c>
      <c r="C287">
        <v>121.289203125</v>
      </c>
      <c r="D287">
        <f>0</f>
        <v>0</v>
      </c>
      <c r="E287">
        <f>647585266/10^6</f>
        <v>647.58526600000005</v>
      </c>
      <c r="F287">
        <f>0</f>
        <v>0</v>
      </c>
      <c r="G287">
        <f>231352112/10^6</f>
        <v>231.35211200000001</v>
      </c>
      <c r="H287">
        <f>0</f>
        <v>0</v>
      </c>
      <c r="I287">
        <f>-38795975/10^6</f>
        <v>-38.795974999999999</v>
      </c>
      <c r="J287">
        <f>0</f>
        <v>0</v>
      </c>
    </row>
    <row r="288" spans="1:10" x14ac:dyDescent="0.25">
      <c r="A288" t="s">
        <v>297</v>
      </c>
      <c r="B288" t="s">
        <v>11</v>
      </c>
      <c r="C288">
        <v>121.29678125</v>
      </c>
      <c r="D288">
        <f>0</f>
        <v>0</v>
      </c>
      <c r="E288">
        <f>64754303/10^5</f>
        <v>647.54303000000004</v>
      </c>
      <c r="F288">
        <f>0</f>
        <v>0</v>
      </c>
      <c r="G288">
        <f>231344833/10^6</f>
        <v>231.34483299999999</v>
      </c>
      <c r="H288">
        <f>0</f>
        <v>0</v>
      </c>
      <c r="I288">
        <f>-38715656/10^6</f>
        <v>-38.715656000000003</v>
      </c>
      <c r="J288">
        <f>0</f>
        <v>0</v>
      </c>
    </row>
    <row r="289" spans="1:10" x14ac:dyDescent="0.25">
      <c r="A289" t="s">
        <v>298</v>
      </c>
      <c r="B289" t="s">
        <v>11</v>
      </c>
      <c r="C289">
        <v>121.221203125</v>
      </c>
      <c r="D289">
        <f>0</f>
        <v>0</v>
      </c>
      <c r="E289">
        <f>648074951/10^6</f>
        <v>648.07495100000006</v>
      </c>
      <c r="F289">
        <f>0</f>
        <v>0</v>
      </c>
      <c r="G289">
        <f>231335388/10^6</f>
        <v>231.33538799999999</v>
      </c>
      <c r="H289">
        <f>0</f>
        <v>0</v>
      </c>
      <c r="I289">
        <f>-38928139/10^6</f>
        <v>-38.928139000000002</v>
      </c>
      <c r="J289">
        <f>0</f>
        <v>0</v>
      </c>
    </row>
    <row r="290" spans="1:10" x14ac:dyDescent="0.25">
      <c r="A290" t="s">
        <v>299</v>
      </c>
      <c r="B290" t="s">
        <v>11</v>
      </c>
      <c r="C290">
        <v>121.10882031300001</v>
      </c>
      <c r="D290">
        <f>0</f>
        <v>0</v>
      </c>
      <c r="E290">
        <f>648737671/10^6</f>
        <v>648.73767099999998</v>
      </c>
      <c r="F290">
        <f>0</f>
        <v>0</v>
      </c>
      <c r="G290">
        <f>231330643/10^6</f>
        <v>231.33064300000001</v>
      </c>
      <c r="H290">
        <f>0</f>
        <v>0</v>
      </c>
      <c r="I290">
        <f>-38928516/10^6</f>
        <v>-38.928516000000002</v>
      </c>
      <c r="J290">
        <f>0</f>
        <v>0</v>
      </c>
    </row>
    <row r="291" spans="1:10" x14ac:dyDescent="0.25">
      <c r="A291" t="s">
        <v>300</v>
      </c>
      <c r="B291" t="s">
        <v>11</v>
      </c>
      <c r="C291">
        <v>120.973960938</v>
      </c>
      <c r="D291">
        <f>0</f>
        <v>0</v>
      </c>
      <c r="E291">
        <f>649364929/10^6</f>
        <v>649.36492899999996</v>
      </c>
      <c r="F291">
        <f>0</f>
        <v>0</v>
      </c>
      <c r="G291">
        <f>23131459/10^5</f>
        <v>231.31459000000001</v>
      </c>
      <c r="H291">
        <f>0</f>
        <v>0</v>
      </c>
      <c r="I291">
        <f>-38774982/10^6</f>
        <v>-38.774982000000001</v>
      </c>
      <c r="J291">
        <f>0</f>
        <v>0</v>
      </c>
    </row>
    <row r="292" spans="1:10" x14ac:dyDescent="0.25">
      <c r="A292" t="s">
        <v>301</v>
      </c>
      <c r="B292" t="s">
        <v>11</v>
      </c>
      <c r="C292">
        <v>120.79909375</v>
      </c>
      <c r="D292">
        <f>0</f>
        <v>0</v>
      </c>
      <c r="E292">
        <f>650241455/10^6</f>
        <v>650.24145499999997</v>
      </c>
      <c r="F292">
        <f>0</f>
        <v>0</v>
      </c>
      <c r="G292">
        <f>231280457/10^6</f>
        <v>231.28045700000001</v>
      </c>
      <c r="H292">
        <f>0</f>
        <v>0</v>
      </c>
      <c r="I292">
        <f>-38864006/10^6</f>
        <v>-38.864006000000003</v>
      </c>
      <c r="J292">
        <f>0</f>
        <v>0</v>
      </c>
    </row>
    <row r="293" spans="1:10" x14ac:dyDescent="0.25">
      <c r="A293" t="s">
        <v>302</v>
      </c>
      <c r="B293" t="s">
        <v>11</v>
      </c>
      <c r="C293">
        <v>120.59367968800001</v>
      </c>
      <c r="D293">
        <f>0</f>
        <v>0</v>
      </c>
      <c r="E293">
        <f>651420776/10^6</f>
        <v>651.42077600000005</v>
      </c>
      <c r="F293">
        <f>0</f>
        <v>0</v>
      </c>
      <c r="G293">
        <f>231247345/10^6</f>
        <v>231.247345</v>
      </c>
      <c r="H293">
        <f>0</f>
        <v>0</v>
      </c>
      <c r="I293">
        <f>-39036362/10^6</f>
        <v>-39.036361999999997</v>
      </c>
      <c r="J293">
        <f>0</f>
        <v>0</v>
      </c>
    </row>
    <row r="294" spans="1:10" x14ac:dyDescent="0.25">
      <c r="A294" t="s">
        <v>303</v>
      </c>
      <c r="B294" t="s">
        <v>11</v>
      </c>
      <c r="C294">
        <v>120.390804688</v>
      </c>
      <c r="D294">
        <f>0</f>
        <v>0</v>
      </c>
      <c r="E294">
        <f>652490784/10^6</f>
        <v>652.49078399999996</v>
      </c>
      <c r="F294">
        <f>0</f>
        <v>0</v>
      </c>
      <c r="G294">
        <f>231213776/10^6</f>
        <v>231.213776</v>
      </c>
      <c r="H294">
        <f>0</f>
        <v>0</v>
      </c>
      <c r="I294">
        <f>-39056812/10^6</f>
        <v>-39.056812000000001</v>
      </c>
      <c r="J294">
        <f>0</f>
        <v>0</v>
      </c>
    </row>
    <row r="295" spans="1:10" x14ac:dyDescent="0.25">
      <c r="A295" t="s">
        <v>304</v>
      </c>
      <c r="B295" t="s">
        <v>11</v>
      </c>
      <c r="C295">
        <v>120.193796875</v>
      </c>
      <c r="D295">
        <f>0</f>
        <v>0</v>
      </c>
      <c r="E295">
        <f>653483521/10^6</f>
        <v>653.483521</v>
      </c>
      <c r="F295">
        <f>0</f>
        <v>0</v>
      </c>
      <c r="G295">
        <f>231171692/10^6</f>
        <v>231.17169200000001</v>
      </c>
      <c r="H295">
        <f>0</f>
        <v>0</v>
      </c>
      <c r="I295">
        <f>-3913744/10^5</f>
        <v>-39.137439999999998</v>
      </c>
      <c r="J295">
        <f>0</f>
        <v>0</v>
      </c>
    </row>
    <row r="296" spans="1:10" x14ac:dyDescent="0.25">
      <c r="A296" t="s">
        <v>305</v>
      </c>
      <c r="B296" t="s">
        <v>11</v>
      </c>
      <c r="C296">
        <v>119.99624218800001</v>
      </c>
      <c r="D296">
        <f>0</f>
        <v>0</v>
      </c>
      <c r="E296">
        <f>654476563/10^6</f>
        <v>654.47656300000006</v>
      </c>
      <c r="F296">
        <f>0</f>
        <v>0</v>
      </c>
      <c r="G296">
        <f>231137817/10^6</f>
        <v>231.13781700000001</v>
      </c>
      <c r="H296">
        <f>0</f>
        <v>0</v>
      </c>
      <c r="I296">
        <f>-39081501/10^6</f>
        <v>-39.081501000000003</v>
      </c>
      <c r="J296">
        <f>0</f>
        <v>0</v>
      </c>
    </row>
    <row r="297" spans="1:10" x14ac:dyDescent="0.25">
      <c r="A297" t="s">
        <v>306</v>
      </c>
      <c r="B297" t="s">
        <v>11</v>
      </c>
      <c r="C297">
        <v>119.776984375</v>
      </c>
      <c r="D297">
        <f>0</f>
        <v>0</v>
      </c>
      <c r="E297">
        <f>65564624/10^5</f>
        <v>655.64624000000003</v>
      </c>
      <c r="F297">
        <f>0</f>
        <v>0</v>
      </c>
      <c r="G297">
        <f>231100113/10^6</f>
        <v>231.10011299999999</v>
      </c>
      <c r="H297">
        <f>0</f>
        <v>0</v>
      </c>
      <c r="I297">
        <f>-39122299/10^6</f>
        <v>-39.122298999999998</v>
      </c>
      <c r="J297">
        <f>0</f>
        <v>0</v>
      </c>
    </row>
    <row r="298" spans="1:10" x14ac:dyDescent="0.25">
      <c r="A298" t="s">
        <v>307</v>
      </c>
      <c r="B298" t="s">
        <v>11</v>
      </c>
      <c r="C298">
        <v>119.54664843800001</v>
      </c>
      <c r="D298">
        <f>0</f>
        <v>0</v>
      </c>
      <c r="E298">
        <f>656948669/10^6</f>
        <v>656.948669</v>
      </c>
      <c r="F298">
        <f>0</f>
        <v>0</v>
      </c>
      <c r="G298">
        <f>231056976/10^6</f>
        <v>231.05697599999999</v>
      </c>
      <c r="H298">
        <f>0</f>
        <v>0</v>
      </c>
      <c r="I298">
        <f>-39458275/10^6</f>
        <v>-39.458275</v>
      </c>
      <c r="J298">
        <f>0</f>
        <v>0</v>
      </c>
    </row>
    <row r="299" spans="1:10" x14ac:dyDescent="0.25">
      <c r="A299" t="s">
        <v>308</v>
      </c>
      <c r="B299" t="s">
        <v>11</v>
      </c>
      <c r="C299">
        <v>0</v>
      </c>
      <c r="D299">
        <f>2</f>
        <v>2</v>
      </c>
      <c r="F299">
        <f>2</f>
        <v>2</v>
      </c>
      <c r="H299">
        <f>2</f>
        <v>2</v>
      </c>
      <c r="J299">
        <f>2</f>
        <v>2</v>
      </c>
    </row>
    <row r="300" spans="1:10" x14ac:dyDescent="0.25">
      <c r="A300" t="s">
        <v>309</v>
      </c>
      <c r="B300" t="s">
        <v>11</v>
      </c>
      <c r="C300">
        <v>119.16421875</v>
      </c>
      <c r="D300">
        <f>0</f>
        <v>0</v>
      </c>
      <c r="E300">
        <f>659086853/10^6</f>
        <v>659.08685300000002</v>
      </c>
      <c r="F300">
        <f>0</f>
        <v>0</v>
      </c>
      <c r="G300">
        <f>230978256/10^6</f>
        <v>230.97825599999999</v>
      </c>
      <c r="H300">
        <f>0</f>
        <v>0</v>
      </c>
      <c r="I300">
        <f>-39802845/10^6</f>
        <v>-39.802844999999998</v>
      </c>
      <c r="J300">
        <f>0</f>
        <v>0</v>
      </c>
    </row>
    <row r="301" spans="1:10" x14ac:dyDescent="0.25">
      <c r="A301" t="s">
        <v>310</v>
      </c>
      <c r="B301" t="s">
        <v>11</v>
      </c>
      <c r="C301">
        <v>118.92055468800001</v>
      </c>
      <c r="D301">
        <f>0</f>
        <v>0</v>
      </c>
      <c r="E301">
        <f>660241333/10^6</f>
        <v>660.24133300000005</v>
      </c>
      <c r="F301">
        <f>0</f>
        <v>0</v>
      </c>
      <c r="G301">
        <f>230939545/10^6</f>
        <v>230.93954500000001</v>
      </c>
      <c r="H301">
        <f>0</f>
        <v>0</v>
      </c>
      <c r="I301">
        <f>-39732029/10^6</f>
        <v>-39.732028999999997</v>
      </c>
      <c r="J301">
        <f>0</f>
        <v>0</v>
      </c>
    </row>
    <row r="302" spans="1:10" x14ac:dyDescent="0.25">
      <c r="A302" t="s">
        <v>311</v>
      </c>
      <c r="B302" t="s">
        <v>11</v>
      </c>
      <c r="C302">
        <v>118.644789063</v>
      </c>
      <c r="D302">
        <f>0</f>
        <v>0</v>
      </c>
      <c r="E302">
        <f>66183551/10^5</f>
        <v>661.83551</v>
      </c>
      <c r="F302">
        <f>0</f>
        <v>0</v>
      </c>
      <c r="G302">
        <f>230889725/10^6</f>
        <v>230.889725</v>
      </c>
      <c r="H302">
        <f>0</f>
        <v>0</v>
      </c>
      <c r="I302">
        <f>-40028393/10^6</f>
        <v>-40.028393000000001</v>
      </c>
      <c r="J302">
        <f>0</f>
        <v>0</v>
      </c>
    </row>
    <row r="303" spans="1:10" x14ac:dyDescent="0.25">
      <c r="A303" t="s">
        <v>312</v>
      </c>
      <c r="B303" t="s">
        <v>11</v>
      </c>
      <c r="C303">
        <v>118.34528906300001</v>
      </c>
      <c r="D303">
        <f>0</f>
        <v>0</v>
      </c>
      <c r="E303">
        <f>663609009/10^6</f>
        <v>663.60900900000001</v>
      </c>
      <c r="F303">
        <f>0</f>
        <v>0</v>
      </c>
      <c r="G303">
        <f>230831589/10^6</f>
        <v>230.83158900000001</v>
      </c>
      <c r="H303">
        <f>0</f>
        <v>0</v>
      </c>
      <c r="I303">
        <f>-40405071/10^6</f>
        <v>-40.405071</v>
      </c>
      <c r="J303">
        <f>0</f>
        <v>0</v>
      </c>
    </row>
    <row r="304" spans="1:10" x14ac:dyDescent="0.25">
      <c r="A304" t="s">
        <v>313</v>
      </c>
      <c r="B304" t="s">
        <v>11</v>
      </c>
      <c r="C304">
        <v>118.026234375</v>
      </c>
      <c r="D304">
        <f>0</f>
        <v>0</v>
      </c>
      <c r="E304">
        <f>665393738/10^6</f>
        <v>665.39373799999998</v>
      </c>
      <c r="F304">
        <f>0</f>
        <v>0</v>
      </c>
      <c r="G304">
        <f>230789658/10^6</f>
        <v>230.789658</v>
      </c>
      <c r="H304">
        <f>0</f>
        <v>0</v>
      </c>
      <c r="I304">
        <f>-40480064/10^6</f>
        <v>-40.480063999999999</v>
      </c>
      <c r="J304">
        <f>0</f>
        <v>0</v>
      </c>
    </row>
    <row r="305" spans="1:10" x14ac:dyDescent="0.25">
      <c r="A305" t="s">
        <v>314</v>
      </c>
      <c r="B305" t="s">
        <v>11</v>
      </c>
      <c r="C305">
        <v>117.669445313</v>
      </c>
      <c r="D305">
        <f>0</f>
        <v>0</v>
      </c>
      <c r="E305">
        <f>667432739/10^6</f>
        <v>667.43273899999997</v>
      </c>
      <c r="F305">
        <f>0</f>
        <v>0</v>
      </c>
      <c r="G305">
        <f>230764618/10^6</f>
        <v>230.76461800000001</v>
      </c>
      <c r="H305">
        <f>0</f>
        <v>0</v>
      </c>
      <c r="I305">
        <f>-40659817/10^6</f>
        <v>-40.659816999999997</v>
      </c>
      <c r="J305">
        <f>0</f>
        <v>0</v>
      </c>
    </row>
    <row r="306" spans="1:10" x14ac:dyDescent="0.25">
      <c r="A306" t="s">
        <v>315</v>
      </c>
      <c r="B306" t="s">
        <v>11</v>
      </c>
      <c r="C306">
        <v>117.289390625</v>
      </c>
      <c r="D306">
        <f>0</f>
        <v>0</v>
      </c>
      <c r="E306">
        <f>669516113/10^6</f>
        <v>669.51611300000002</v>
      </c>
      <c r="F306">
        <f>0</f>
        <v>0</v>
      </c>
      <c r="G306">
        <f>230724686/10^6</f>
        <v>230.72468599999999</v>
      </c>
      <c r="H306">
        <f>0</f>
        <v>0</v>
      </c>
      <c r="I306">
        <f>-40778828/10^6</f>
        <v>-40.778827999999997</v>
      </c>
      <c r="J306">
        <f>0</f>
        <v>0</v>
      </c>
    </row>
    <row r="307" spans="1:10" x14ac:dyDescent="0.25">
      <c r="A307" t="s">
        <v>316</v>
      </c>
      <c r="B307" t="s">
        <v>11</v>
      </c>
      <c r="C307">
        <v>116.89504687500001</v>
      </c>
      <c r="D307">
        <f>0</f>
        <v>0</v>
      </c>
      <c r="E307">
        <f>6717052/10^4</f>
        <v>671.70519999999999</v>
      </c>
      <c r="F307">
        <f>0</f>
        <v>0</v>
      </c>
      <c r="G307">
        <f>230649246/10^6</f>
        <v>230.64924600000001</v>
      </c>
      <c r="H307">
        <f>0</f>
        <v>0</v>
      </c>
      <c r="I307">
        <f>-4090461/10^5</f>
        <v>-40.904609999999998</v>
      </c>
      <c r="J307">
        <f>0</f>
        <v>0</v>
      </c>
    </row>
    <row r="308" spans="1:10" x14ac:dyDescent="0.25">
      <c r="A308" t="s">
        <v>317</v>
      </c>
      <c r="B308" t="s">
        <v>11</v>
      </c>
      <c r="C308">
        <v>116.44612499999999</v>
      </c>
      <c r="D308">
        <f>0</f>
        <v>0</v>
      </c>
      <c r="E308">
        <f>674386719/10^6</f>
        <v>674.38671899999997</v>
      </c>
      <c r="F308">
        <f>0</f>
        <v>0</v>
      </c>
      <c r="G308">
        <f>230570694/10^6</f>
        <v>230.570694</v>
      </c>
      <c r="H308">
        <f>0</f>
        <v>0</v>
      </c>
      <c r="I308">
        <f>-41479794/10^6</f>
        <v>-41.479793999999998</v>
      </c>
      <c r="J308">
        <f>0</f>
        <v>0</v>
      </c>
    </row>
    <row r="309" spans="1:10" x14ac:dyDescent="0.25">
      <c r="A309" t="s">
        <v>318</v>
      </c>
      <c r="B309" t="s">
        <v>11</v>
      </c>
      <c r="C309">
        <v>115.970375</v>
      </c>
      <c r="D309">
        <f>0</f>
        <v>0</v>
      </c>
      <c r="E309">
        <f>677088318/10^6</f>
        <v>677.08831799999996</v>
      </c>
      <c r="F309">
        <f>0</f>
        <v>0</v>
      </c>
      <c r="G309">
        <f>230474609/10^6</f>
        <v>230.47460899999999</v>
      </c>
      <c r="H309">
        <f>0</f>
        <v>0</v>
      </c>
      <c r="I309">
        <f>-41950817/10^6</f>
        <v>-41.950817000000001</v>
      </c>
      <c r="J309">
        <f>0</f>
        <v>0</v>
      </c>
    </row>
    <row r="310" spans="1:10" x14ac:dyDescent="0.25">
      <c r="A310" t="s">
        <v>319</v>
      </c>
      <c r="B310" t="s">
        <v>11</v>
      </c>
      <c r="C310">
        <v>0</v>
      </c>
      <c r="D310">
        <f>2</f>
        <v>2</v>
      </c>
      <c r="F310">
        <f>2</f>
        <v>2</v>
      </c>
      <c r="H310">
        <f>2</f>
        <v>2</v>
      </c>
      <c r="J310">
        <f>2</f>
        <v>2</v>
      </c>
    </row>
    <row r="311" spans="1:10" x14ac:dyDescent="0.25">
      <c r="A311" t="s">
        <v>320</v>
      </c>
      <c r="B311" t="s">
        <v>11</v>
      </c>
      <c r="C311">
        <v>115.276742188</v>
      </c>
      <c r="D311">
        <f>0</f>
        <v>0</v>
      </c>
      <c r="E311">
        <f>68089624/10^5</f>
        <v>680.89624000000003</v>
      </c>
      <c r="F311">
        <f>0</f>
        <v>0</v>
      </c>
      <c r="G311">
        <f>230271637/10^6</f>
        <v>230.271637</v>
      </c>
      <c r="H311">
        <f>0</f>
        <v>0</v>
      </c>
      <c r="I311">
        <f>-42291492/10^6</f>
        <v>-42.291491999999998</v>
      </c>
      <c r="J311">
        <f>0</f>
        <v>0</v>
      </c>
    </row>
    <row r="312" spans="1:10" x14ac:dyDescent="0.25">
      <c r="A312" t="s">
        <v>321</v>
      </c>
      <c r="B312" t="s">
        <v>11</v>
      </c>
      <c r="C312">
        <v>115.03065625000001</v>
      </c>
      <c r="D312">
        <f>0</f>
        <v>0</v>
      </c>
      <c r="E312">
        <f>682237488/10^6</f>
        <v>682.23748799999998</v>
      </c>
      <c r="F312">
        <f>0</f>
        <v>0</v>
      </c>
      <c r="G312">
        <f>230193726/10^6</f>
        <v>230.193726</v>
      </c>
      <c r="H312">
        <f>0</f>
        <v>0</v>
      </c>
      <c r="I312">
        <f>-42560497/10^6</f>
        <v>-42.560496999999998</v>
      </c>
      <c r="J312">
        <f>0</f>
        <v>0</v>
      </c>
    </row>
    <row r="313" spans="1:10" x14ac:dyDescent="0.25">
      <c r="A313" t="s">
        <v>322</v>
      </c>
      <c r="B313" t="s">
        <v>11</v>
      </c>
      <c r="C313">
        <v>114.821585938</v>
      </c>
      <c r="D313">
        <f>0</f>
        <v>0</v>
      </c>
      <c r="E313">
        <f>683309326/10^6</f>
        <v>683.30932600000006</v>
      </c>
      <c r="F313">
        <f>0</f>
        <v>0</v>
      </c>
      <c r="G313">
        <f>230119644/10^6</f>
        <v>230.11964399999999</v>
      </c>
      <c r="H313">
        <f>0</f>
        <v>0</v>
      </c>
      <c r="I313">
        <f>-42558296/10^6</f>
        <v>-42.558295999999999</v>
      </c>
      <c r="J313">
        <f>0</f>
        <v>0</v>
      </c>
    </row>
    <row r="314" spans="1:10" x14ac:dyDescent="0.25">
      <c r="A314" t="s">
        <v>323</v>
      </c>
      <c r="B314" t="s">
        <v>11</v>
      </c>
      <c r="C314">
        <v>114.68353125</v>
      </c>
      <c r="D314">
        <f>0</f>
        <v>0</v>
      </c>
      <c r="E314">
        <f>68382135/10^5</f>
        <v>683.82135000000005</v>
      </c>
      <c r="F314">
        <f>0</f>
        <v>0</v>
      </c>
      <c r="G314">
        <f>229998123/10^6</f>
        <v>229.99812299999999</v>
      </c>
      <c r="H314">
        <f>0</f>
        <v>0</v>
      </c>
      <c r="I314">
        <f>-4266515/10^5</f>
        <v>-42.665149999999997</v>
      </c>
      <c r="J314">
        <f>0</f>
        <v>0</v>
      </c>
    </row>
    <row r="315" spans="1:10" x14ac:dyDescent="0.25">
      <c r="A315" t="s">
        <v>324</v>
      </c>
      <c r="B315" t="s">
        <v>11</v>
      </c>
      <c r="C315">
        <v>114.582835938</v>
      </c>
      <c r="D315">
        <f>0</f>
        <v>0</v>
      </c>
      <c r="E315">
        <f>684203308/10^6</f>
        <v>684.20330799999999</v>
      </c>
      <c r="F315">
        <f>0</f>
        <v>0</v>
      </c>
      <c r="G315">
        <f>229888916/10^6</f>
        <v>229.88891599999999</v>
      </c>
      <c r="H315">
        <f>0</f>
        <v>0</v>
      </c>
      <c r="I315">
        <f>-42918423/10^6</f>
        <v>-42.918422999999997</v>
      </c>
      <c r="J315">
        <f>0</f>
        <v>0</v>
      </c>
    </row>
    <row r="316" spans="1:10" x14ac:dyDescent="0.25">
      <c r="A316" t="s">
        <v>325</v>
      </c>
      <c r="B316" t="s">
        <v>11</v>
      </c>
      <c r="C316">
        <v>114.42849218800001</v>
      </c>
      <c r="D316">
        <f>0</f>
        <v>0</v>
      </c>
      <c r="E316">
        <f>685240845/10^6</f>
        <v>685.24084500000004</v>
      </c>
      <c r="F316">
        <f>0</f>
        <v>0</v>
      </c>
      <c r="G316">
        <f>229863922/10^6</f>
        <v>229.863922</v>
      </c>
      <c r="H316">
        <f>0</f>
        <v>0</v>
      </c>
      <c r="I316">
        <f>-43131847/10^6</f>
        <v>-43.131847</v>
      </c>
      <c r="J316">
        <f>0</f>
        <v>0</v>
      </c>
    </row>
    <row r="317" spans="1:10" x14ac:dyDescent="0.25">
      <c r="A317" t="s">
        <v>326</v>
      </c>
      <c r="B317" t="s">
        <v>11</v>
      </c>
      <c r="C317">
        <v>114.295304688</v>
      </c>
      <c r="D317">
        <f>0</f>
        <v>0</v>
      </c>
      <c r="E317">
        <f>686197205/10^6</f>
        <v>686.19720500000005</v>
      </c>
      <c r="F317">
        <f>0</f>
        <v>0</v>
      </c>
      <c r="G317">
        <f>229898285/10^6</f>
        <v>229.89828499999999</v>
      </c>
      <c r="H317">
        <f>0</f>
        <v>0</v>
      </c>
      <c r="I317">
        <f>-43181324/10^6</f>
        <v>-43.181323999999996</v>
      </c>
      <c r="J317">
        <f>0</f>
        <v>0</v>
      </c>
    </row>
    <row r="318" spans="1:10" x14ac:dyDescent="0.25">
      <c r="A318" t="s">
        <v>327</v>
      </c>
      <c r="B318" t="s">
        <v>11</v>
      </c>
      <c r="C318">
        <v>114.28581250000001</v>
      </c>
      <c r="D318">
        <f>0</f>
        <v>0</v>
      </c>
      <c r="E318">
        <f>686255005/10^6</f>
        <v>686.25500499999998</v>
      </c>
      <c r="F318">
        <f>0</f>
        <v>0</v>
      </c>
      <c r="G318">
        <f>229895081/10^6</f>
        <v>229.895081</v>
      </c>
      <c r="H318">
        <f>0</f>
        <v>0</v>
      </c>
      <c r="I318">
        <f>-43258305/10^6</f>
        <v>-43.258305</v>
      </c>
      <c r="J318">
        <f>0</f>
        <v>0</v>
      </c>
    </row>
    <row r="319" spans="1:10" x14ac:dyDescent="0.25">
      <c r="A319" t="s">
        <v>328</v>
      </c>
      <c r="B319" t="s">
        <v>11</v>
      </c>
      <c r="C319">
        <v>0</v>
      </c>
      <c r="D319">
        <f>2</f>
        <v>2</v>
      </c>
      <c r="F319">
        <f>2</f>
        <v>2</v>
      </c>
      <c r="H319">
        <f>2</f>
        <v>2</v>
      </c>
      <c r="J319">
        <f>2</f>
        <v>2</v>
      </c>
    </row>
    <row r="320" spans="1:10" x14ac:dyDescent="0.25">
      <c r="A320" t="s">
        <v>329</v>
      </c>
      <c r="B320" t="s">
        <v>11</v>
      </c>
      <c r="C320">
        <v>114.381921875</v>
      </c>
      <c r="D320">
        <f>0</f>
        <v>0</v>
      </c>
      <c r="E320">
        <f>685526123/10^6</f>
        <v>685.52612299999998</v>
      </c>
      <c r="F320">
        <f>0</f>
        <v>0</v>
      </c>
      <c r="G320">
        <f>229857407/10^6</f>
        <v>229.85740699999999</v>
      </c>
      <c r="H320">
        <f>0</f>
        <v>0</v>
      </c>
      <c r="I320">
        <f>-43202175/10^6</f>
        <v>-43.202174999999997</v>
      </c>
      <c r="J320">
        <f>0</f>
        <v>0</v>
      </c>
    </row>
    <row r="321" spans="1:10" x14ac:dyDescent="0.25">
      <c r="A321" t="s">
        <v>330</v>
      </c>
      <c r="B321" t="s">
        <v>11</v>
      </c>
      <c r="C321">
        <v>114.400453125</v>
      </c>
      <c r="D321">
        <f>0</f>
        <v>0</v>
      </c>
      <c r="E321">
        <f>685827515/10^6</f>
        <v>685.82751499999995</v>
      </c>
      <c r="F321">
        <f>0</f>
        <v>0</v>
      </c>
      <c r="G321">
        <f>229976761/10^6</f>
        <v>229.97676100000001</v>
      </c>
      <c r="H321">
        <f>0</f>
        <v>0</v>
      </c>
      <c r="I321">
        <f>-43281849/10^6</f>
        <v>-43.281849000000001</v>
      </c>
      <c r="J321">
        <f>0</f>
        <v>0</v>
      </c>
    </row>
    <row r="322" spans="1:10" x14ac:dyDescent="0.25">
      <c r="A322" t="s">
        <v>331</v>
      </c>
      <c r="B322" t="s">
        <v>11</v>
      </c>
      <c r="C322">
        <v>114.432046875</v>
      </c>
      <c r="D322">
        <f>0</f>
        <v>0</v>
      </c>
      <c r="E322">
        <f>685631042/10^6</f>
        <v>685.63104199999998</v>
      </c>
      <c r="F322">
        <f>0</f>
        <v>0</v>
      </c>
      <c r="G322">
        <f>23000737/10^5</f>
        <v>230.00737000000001</v>
      </c>
      <c r="H322">
        <f>0</f>
        <v>0</v>
      </c>
      <c r="I322">
        <f>-43173664/10^6</f>
        <v>-43.173664000000002</v>
      </c>
      <c r="J322">
        <f>0</f>
        <v>0</v>
      </c>
    </row>
    <row r="323" spans="1:10" x14ac:dyDescent="0.25">
      <c r="A323" t="s">
        <v>332</v>
      </c>
      <c r="B323" t="s">
        <v>11</v>
      </c>
      <c r="C323">
        <v>114.49390624999999</v>
      </c>
      <c r="D323">
        <f>0</f>
        <v>0</v>
      </c>
      <c r="E323">
        <f>685097656/10^6</f>
        <v>685.09765600000003</v>
      </c>
      <c r="F323">
        <f>0</f>
        <v>0</v>
      </c>
      <c r="G323">
        <f>229972092/10^6</f>
        <v>229.972092</v>
      </c>
      <c r="H323">
        <f>0</f>
        <v>0</v>
      </c>
      <c r="I323">
        <f>-43098/10^3</f>
        <v>-43.097999999999999</v>
      </c>
      <c r="J323">
        <f>0</f>
        <v>0</v>
      </c>
    </row>
    <row r="324" spans="1:10" x14ac:dyDescent="0.25">
      <c r="A324" t="s">
        <v>333</v>
      </c>
      <c r="B324" t="s">
        <v>11</v>
      </c>
      <c r="C324">
        <v>114.60362499999999</v>
      </c>
      <c r="D324">
        <f>0</f>
        <v>0</v>
      </c>
      <c r="E324">
        <f>684669189/10^6</f>
        <v>684.66918899999996</v>
      </c>
      <c r="F324">
        <f>0</f>
        <v>0</v>
      </c>
      <c r="G324">
        <f>230018448/10^6</f>
        <v>230.01844800000001</v>
      </c>
      <c r="H324">
        <f>0</f>
        <v>0</v>
      </c>
      <c r="I324">
        <f>-43243801/10^6</f>
        <v>-43.243800999999998</v>
      </c>
      <c r="J324">
        <f>0</f>
        <v>0</v>
      </c>
    </row>
    <row r="325" spans="1:10" x14ac:dyDescent="0.25">
      <c r="A325" t="s">
        <v>334</v>
      </c>
      <c r="B325" t="s">
        <v>11</v>
      </c>
      <c r="C325">
        <v>0</v>
      </c>
      <c r="D325">
        <f>2</f>
        <v>2</v>
      </c>
      <c r="F325">
        <f>2</f>
        <v>2</v>
      </c>
      <c r="H325">
        <f>2</f>
        <v>2</v>
      </c>
      <c r="J325">
        <f>2</f>
        <v>2</v>
      </c>
    </row>
    <row r="326" spans="1:10" x14ac:dyDescent="0.25">
      <c r="A326" t="s">
        <v>335</v>
      </c>
      <c r="B326" t="s">
        <v>11</v>
      </c>
      <c r="C326">
        <v>114.94983593800001</v>
      </c>
      <c r="D326">
        <f>0</f>
        <v>0</v>
      </c>
      <c r="E326">
        <f>683180359/10^6</f>
        <v>683.18035899999995</v>
      </c>
      <c r="F326">
        <f>0</f>
        <v>0</v>
      </c>
      <c r="G326">
        <f>230273483/10^6</f>
        <v>230.273483</v>
      </c>
      <c r="H326">
        <f>0</f>
        <v>0</v>
      </c>
      <c r="I326">
        <f>-42954308/10^6</f>
        <v>-42.954307999999997</v>
      </c>
      <c r="J326">
        <f>0</f>
        <v>0</v>
      </c>
    </row>
    <row r="327" spans="1:10" x14ac:dyDescent="0.25">
      <c r="A327" t="s">
        <v>336</v>
      </c>
      <c r="B327" t="s">
        <v>11</v>
      </c>
      <c r="C327">
        <v>115.18127343800001</v>
      </c>
      <c r="D327">
        <f>0</f>
        <v>0</v>
      </c>
      <c r="E327">
        <f>681937439/10^6</f>
        <v>681.93743900000004</v>
      </c>
      <c r="F327">
        <f>0</f>
        <v>0</v>
      </c>
      <c r="G327">
        <f>230328857/10^6</f>
        <v>230.328857</v>
      </c>
      <c r="H327">
        <f>0</f>
        <v>0</v>
      </c>
      <c r="I327">
        <f>-42954777/10^6</f>
        <v>-42.954777</v>
      </c>
      <c r="J327">
        <f>0</f>
        <v>0</v>
      </c>
    </row>
    <row r="328" spans="1:10" x14ac:dyDescent="0.25">
      <c r="A328" t="s">
        <v>337</v>
      </c>
      <c r="B328" t="s">
        <v>11</v>
      </c>
      <c r="C328">
        <v>115.50039062499999</v>
      </c>
      <c r="D328">
        <f>0</f>
        <v>0</v>
      </c>
      <c r="E328">
        <f>680073853/10^6</f>
        <v>680.07385299999999</v>
      </c>
      <c r="F328">
        <f>0</f>
        <v>0</v>
      </c>
      <c r="G328">
        <f>230417328/10^6</f>
        <v>230.417328</v>
      </c>
      <c r="H328">
        <f>0</f>
        <v>0</v>
      </c>
      <c r="I328">
        <f>-42659931/10^6</f>
        <v>-42.659931</v>
      </c>
      <c r="J328">
        <f>0</f>
        <v>0</v>
      </c>
    </row>
    <row r="329" spans="1:10" x14ac:dyDescent="0.25">
      <c r="A329" t="s">
        <v>338</v>
      </c>
      <c r="B329" t="s">
        <v>11</v>
      </c>
      <c r="C329">
        <v>115.85038281300001</v>
      </c>
      <c r="D329">
        <f>0</f>
        <v>0</v>
      </c>
      <c r="E329">
        <f>678051086/10^6</f>
        <v>678.05108600000005</v>
      </c>
      <c r="F329">
        <f>0</f>
        <v>0</v>
      </c>
      <c r="G329">
        <f>230506348/10^6</f>
        <v>230.506348</v>
      </c>
      <c r="H329">
        <f>0</f>
        <v>0</v>
      </c>
      <c r="I329">
        <f>-42213615/10^6</f>
        <v>-42.213614999999997</v>
      </c>
      <c r="J329">
        <f>0</f>
        <v>0</v>
      </c>
    </row>
    <row r="330" spans="1:10" x14ac:dyDescent="0.25">
      <c r="A330" t="s">
        <v>339</v>
      </c>
      <c r="B330" t="s">
        <v>11</v>
      </c>
      <c r="C330">
        <v>116.17646875</v>
      </c>
      <c r="D330">
        <f>0</f>
        <v>0</v>
      </c>
      <c r="E330">
        <f>676075745/10^6</f>
        <v>676.07574499999998</v>
      </c>
      <c r="F330">
        <f>0</f>
        <v>0</v>
      </c>
      <c r="G330">
        <f>230560684/10^6</f>
        <v>230.56068400000001</v>
      </c>
      <c r="H330">
        <f>0</f>
        <v>0</v>
      </c>
      <c r="I330">
        <f>-41840755/10^6</f>
        <v>-41.840755000000001</v>
      </c>
      <c r="J330">
        <f>0</f>
        <v>0</v>
      </c>
    </row>
    <row r="331" spans="1:10" x14ac:dyDescent="0.25">
      <c r="A331" t="s">
        <v>340</v>
      </c>
      <c r="B331" t="s">
        <v>11</v>
      </c>
      <c r="C331">
        <v>116.49843749999999</v>
      </c>
      <c r="D331">
        <f>0</f>
        <v>0</v>
      </c>
      <c r="E331">
        <f>674285767/10^6</f>
        <v>674.28576699999996</v>
      </c>
      <c r="F331">
        <f>0</f>
        <v>0</v>
      </c>
      <c r="G331">
        <f>230600037/10^6</f>
        <v>230.60003699999999</v>
      </c>
      <c r="H331">
        <f>0</f>
        <v>0</v>
      </c>
      <c r="I331">
        <f>-41814533/10^6</f>
        <v>-41.814532999999997</v>
      </c>
      <c r="J331">
        <f>0</f>
        <v>0</v>
      </c>
    </row>
    <row r="332" spans="1:10" x14ac:dyDescent="0.25">
      <c r="A332" t="s">
        <v>341</v>
      </c>
      <c r="B332" t="s">
        <v>11</v>
      </c>
      <c r="C332">
        <v>116.859601563</v>
      </c>
      <c r="D332">
        <f>0</f>
        <v>0</v>
      </c>
      <c r="E332">
        <f>672515137/10^6</f>
        <v>672.51513699999998</v>
      </c>
      <c r="F332">
        <f>0</f>
        <v>0</v>
      </c>
      <c r="G332">
        <f>230663162/10^6</f>
        <v>230.663162</v>
      </c>
      <c r="H332">
        <f>0</f>
        <v>0</v>
      </c>
      <c r="I332">
        <f>-41953033/10^6</f>
        <v>-41.953032999999998</v>
      </c>
      <c r="J332">
        <f>0</f>
        <v>0</v>
      </c>
    </row>
    <row r="333" spans="1:10" x14ac:dyDescent="0.25">
      <c r="A333" t="s">
        <v>342</v>
      </c>
      <c r="B333" t="s">
        <v>11</v>
      </c>
      <c r="C333">
        <v>0</v>
      </c>
      <c r="D333">
        <f>2</f>
        <v>2</v>
      </c>
      <c r="F333">
        <f>2</f>
        <v>2</v>
      </c>
      <c r="H333">
        <f>2</f>
        <v>2</v>
      </c>
      <c r="J333">
        <f>2</f>
        <v>2</v>
      </c>
    </row>
    <row r="334" spans="1:10" x14ac:dyDescent="0.25">
      <c r="A334" t="s">
        <v>343</v>
      </c>
      <c r="B334" t="s">
        <v>11</v>
      </c>
      <c r="C334">
        <v>0</v>
      </c>
      <c r="D334">
        <f>2</f>
        <v>2</v>
      </c>
      <c r="F334">
        <f>2</f>
        <v>2</v>
      </c>
      <c r="H334">
        <f>2</f>
        <v>2</v>
      </c>
      <c r="J334">
        <f>2</f>
        <v>2</v>
      </c>
    </row>
    <row r="335" spans="1:10" x14ac:dyDescent="0.25">
      <c r="A335" t="s">
        <v>344</v>
      </c>
      <c r="B335" t="s">
        <v>11</v>
      </c>
      <c r="C335">
        <v>118.380804688</v>
      </c>
      <c r="D335">
        <f>0</f>
        <v>0</v>
      </c>
      <c r="E335">
        <f>663755554/10^6</f>
        <v>663.75555399999996</v>
      </c>
      <c r="F335">
        <f>0</f>
        <v>0</v>
      </c>
      <c r="G335">
        <f>230878357/10^6</f>
        <v>230.87835699999999</v>
      </c>
      <c r="H335">
        <f>0</f>
        <v>0</v>
      </c>
      <c r="I335">
        <f>-41021839/10^6</f>
        <v>-41.021839</v>
      </c>
      <c r="J335">
        <f>0</f>
        <v>0</v>
      </c>
    </row>
    <row r="336" spans="1:10" x14ac:dyDescent="0.25">
      <c r="A336" t="s">
        <v>345</v>
      </c>
      <c r="B336" t="s">
        <v>11</v>
      </c>
      <c r="C336">
        <v>118.98128906300001</v>
      </c>
      <c r="D336">
        <f>0</f>
        <v>0</v>
      </c>
      <c r="E336">
        <f>660366089/10^6</f>
        <v>660.36608899999999</v>
      </c>
      <c r="F336">
        <f>0</f>
        <v>0</v>
      </c>
      <c r="G336">
        <f>230963577/10^6</f>
        <v>230.96357699999999</v>
      </c>
      <c r="H336">
        <f>0</f>
        <v>0</v>
      </c>
      <c r="I336">
        <f>-40522053/10^6</f>
        <v>-40.522053</v>
      </c>
      <c r="J336">
        <f>0</f>
        <v>0</v>
      </c>
    </row>
    <row r="337" spans="1:10" x14ac:dyDescent="0.25">
      <c r="A337" t="s">
        <v>346</v>
      </c>
      <c r="B337" t="s">
        <v>11</v>
      </c>
      <c r="C337">
        <v>119.5786875</v>
      </c>
      <c r="D337">
        <f>0</f>
        <v>0</v>
      </c>
      <c r="E337">
        <f>656883789/10^6</f>
        <v>656.88378899999998</v>
      </c>
      <c r="F337">
        <f>0</f>
        <v>0</v>
      </c>
      <c r="G337">
        <f>231038544/10^6</f>
        <v>231.038544</v>
      </c>
      <c r="H337">
        <f>0</f>
        <v>0</v>
      </c>
      <c r="I337">
        <f>-40025772/10^6</f>
        <v>-40.025772000000003</v>
      </c>
      <c r="J337">
        <f>0</f>
        <v>0</v>
      </c>
    </row>
    <row r="338" spans="1:10" x14ac:dyDescent="0.25">
      <c r="A338" t="s">
        <v>347</v>
      </c>
      <c r="B338" t="s">
        <v>11</v>
      </c>
      <c r="C338">
        <v>120.17853125000001</v>
      </c>
      <c r="D338">
        <f>0</f>
        <v>0</v>
      </c>
      <c r="E338">
        <f>653320313/10^6</f>
        <v>653.32031300000006</v>
      </c>
      <c r="F338">
        <f>0</f>
        <v>0</v>
      </c>
      <c r="G338">
        <f>231050629/10^6</f>
        <v>231.05062899999999</v>
      </c>
      <c r="H338">
        <f>0</f>
        <v>0</v>
      </c>
      <c r="I338">
        <f>-39615486/10^6</f>
        <v>-39.615485999999997</v>
      </c>
      <c r="J338">
        <f>0</f>
        <v>0</v>
      </c>
    </row>
    <row r="339" spans="1:10" x14ac:dyDescent="0.25">
      <c r="A339" t="s">
        <v>348</v>
      </c>
      <c r="B339" t="s">
        <v>11</v>
      </c>
      <c r="C339">
        <v>120.733671875</v>
      </c>
      <c r="D339">
        <f>0</f>
        <v>0</v>
      </c>
      <c r="E339">
        <f>64997876/10^5</f>
        <v>649.97875999999997</v>
      </c>
      <c r="F339">
        <f>0</f>
        <v>0</v>
      </c>
      <c r="G339">
        <f>230987427/10^6</f>
        <v>230.987427</v>
      </c>
      <c r="H339">
        <f>0</f>
        <v>0</v>
      </c>
      <c r="I339">
        <f>-39315517/10^6</f>
        <v>-39.315517</v>
      </c>
      <c r="J339">
        <f>0</f>
        <v>0</v>
      </c>
    </row>
    <row r="340" spans="1:10" x14ac:dyDescent="0.25">
      <c r="A340" t="s">
        <v>349</v>
      </c>
      <c r="B340" t="s">
        <v>11</v>
      </c>
      <c r="C340">
        <v>0</v>
      </c>
      <c r="D340">
        <f>2</f>
        <v>2</v>
      </c>
      <c r="F340">
        <f>2</f>
        <v>2</v>
      </c>
      <c r="H340">
        <f>2</f>
        <v>2</v>
      </c>
      <c r="J340">
        <f>2</f>
        <v>2</v>
      </c>
    </row>
    <row r="341" spans="1:10" x14ac:dyDescent="0.25">
      <c r="A341" t="s">
        <v>350</v>
      </c>
      <c r="B341" t="s">
        <v>11</v>
      </c>
      <c r="C341">
        <v>121.34494531300001</v>
      </c>
      <c r="D341">
        <f>0</f>
        <v>0</v>
      </c>
      <c r="E341">
        <f>646593384/10^6</f>
        <v>646.59338400000001</v>
      </c>
      <c r="F341">
        <f>0</f>
        <v>0</v>
      </c>
      <c r="G341">
        <f>23108725/10^5</f>
        <v>231.08725000000001</v>
      </c>
      <c r="H341">
        <f>0</f>
        <v>0</v>
      </c>
      <c r="I341">
        <f>-38923336/10^6</f>
        <v>-38.923335999999999</v>
      </c>
      <c r="J341">
        <f>0</f>
        <v>0</v>
      </c>
    </row>
    <row r="342" spans="1:10" x14ac:dyDescent="0.25">
      <c r="A342" t="s">
        <v>351</v>
      </c>
      <c r="B342" t="s">
        <v>11</v>
      </c>
      <c r="C342">
        <v>121.47446093800001</v>
      </c>
      <c r="D342">
        <f>0</f>
        <v>0</v>
      </c>
      <c r="E342">
        <f>646303711/10^6</f>
        <v>646.30371100000002</v>
      </c>
      <c r="F342">
        <f>0</f>
        <v>0</v>
      </c>
      <c r="G342">
        <f>231214966/10^6</f>
        <v>231.214966</v>
      </c>
      <c r="H342">
        <f>0</f>
        <v>0</v>
      </c>
      <c r="I342">
        <f>-38908367/10^6</f>
        <v>-38.908366999999998</v>
      </c>
      <c r="J342">
        <f>0</f>
        <v>0</v>
      </c>
    </row>
    <row r="343" spans="1:10" x14ac:dyDescent="0.25">
      <c r="A343" t="s">
        <v>352</v>
      </c>
      <c r="B343" t="s">
        <v>11</v>
      </c>
      <c r="C343">
        <v>121.577929688</v>
      </c>
      <c r="D343">
        <f>0</f>
        <v>0</v>
      </c>
      <c r="E343">
        <f>645898071/10^6</f>
        <v>645.89807099999996</v>
      </c>
      <c r="F343">
        <f>0</f>
        <v>0</v>
      </c>
      <c r="G343">
        <f>23130011/10^5</f>
        <v>231.30010999999999</v>
      </c>
      <c r="H343">
        <f>0</f>
        <v>0</v>
      </c>
      <c r="I343">
        <f>-38857349/10^6</f>
        <v>-38.857348999999999</v>
      </c>
      <c r="J343">
        <f>0</f>
        <v>0</v>
      </c>
    </row>
    <row r="344" spans="1:10" x14ac:dyDescent="0.25">
      <c r="A344" t="s">
        <v>353</v>
      </c>
      <c r="B344" t="s">
        <v>11</v>
      </c>
      <c r="C344">
        <v>121.669875</v>
      </c>
      <c r="D344">
        <f>0</f>
        <v>0</v>
      </c>
      <c r="E344">
        <f>645438354/10^6</f>
        <v>645.438354</v>
      </c>
      <c r="F344">
        <f>0</f>
        <v>0</v>
      </c>
      <c r="G344">
        <f>231347595/10^6</f>
        <v>231.34759500000001</v>
      </c>
      <c r="H344">
        <f>0</f>
        <v>0</v>
      </c>
      <c r="I344">
        <f>-38703014/10^6</f>
        <v>-38.703014000000003</v>
      </c>
      <c r="J344">
        <f>0</f>
        <v>0</v>
      </c>
    </row>
    <row r="345" spans="1:10" x14ac:dyDescent="0.25">
      <c r="A345" t="s">
        <v>354</v>
      </c>
      <c r="B345" t="s">
        <v>11</v>
      </c>
      <c r="C345">
        <v>121.736789063</v>
      </c>
      <c r="D345">
        <f>0</f>
        <v>0</v>
      </c>
      <c r="E345">
        <f>645272583/10^6</f>
        <v>645.27258300000005</v>
      </c>
      <c r="F345">
        <f>0</f>
        <v>0</v>
      </c>
      <c r="G345">
        <f>231382706/10^6</f>
        <v>231.38270600000001</v>
      </c>
      <c r="H345">
        <f>0</f>
        <v>0</v>
      </c>
      <c r="I345">
        <f>-38699604/10^6</f>
        <v>-38.699604000000001</v>
      </c>
      <c r="J345">
        <f>0</f>
        <v>0</v>
      </c>
    </row>
    <row r="346" spans="1:10" x14ac:dyDescent="0.25">
      <c r="A346" t="s">
        <v>355</v>
      </c>
      <c r="B346" t="s">
        <v>11</v>
      </c>
      <c r="C346">
        <v>121.767195313</v>
      </c>
      <c r="D346">
        <f>0</f>
        <v>0</v>
      </c>
      <c r="E346">
        <f>645007507/10^6</f>
        <v>645.00750700000003</v>
      </c>
      <c r="F346">
        <f>0</f>
        <v>0</v>
      </c>
      <c r="G346">
        <f>23139975/10^5</f>
        <v>231.39975000000001</v>
      </c>
      <c r="H346">
        <f>0</f>
        <v>0</v>
      </c>
      <c r="I346">
        <f>-38439281/10^6</f>
        <v>-38.439281000000001</v>
      </c>
      <c r="J346">
        <f>0</f>
        <v>0</v>
      </c>
    </row>
    <row r="347" spans="1:10" x14ac:dyDescent="0.25">
      <c r="A347" t="s">
        <v>356</v>
      </c>
      <c r="B347" t="s">
        <v>11</v>
      </c>
      <c r="C347">
        <v>121.72689843800001</v>
      </c>
      <c r="D347">
        <f>0</f>
        <v>0</v>
      </c>
      <c r="E347">
        <f>645189941/10^6</f>
        <v>645.18994099999998</v>
      </c>
      <c r="F347">
        <f>0</f>
        <v>0</v>
      </c>
      <c r="G347">
        <f>2314039/10^4</f>
        <v>231.40389999999999</v>
      </c>
      <c r="H347">
        <f>0</f>
        <v>0</v>
      </c>
      <c r="I347">
        <f>-38284576/10^6</f>
        <v>-38.284576000000001</v>
      </c>
      <c r="J347">
        <f>0</f>
        <v>0</v>
      </c>
    </row>
    <row r="348" spans="1:10" x14ac:dyDescent="0.25">
      <c r="A348" t="s">
        <v>357</v>
      </c>
      <c r="B348" t="s">
        <v>11</v>
      </c>
      <c r="C348">
        <v>121.603578125</v>
      </c>
      <c r="D348">
        <f>0</f>
        <v>0</v>
      </c>
      <c r="E348">
        <f>646036377/10^6</f>
        <v>646.03637700000002</v>
      </c>
      <c r="F348">
        <f>0</f>
        <v>0</v>
      </c>
      <c r="G348">
        <f>231406509/10^6</f>
        <v>231.406509</v>
      </c>
      <c r="H348">
        <f>0</f>
        <v>0</v>
      </c>
      <c r="I348">
        <f>-38593361/10^6</f>
        <v>-38.593361000000002</v>
      </c>
      <c r="J348">
        <f>0</f>
        <v>0</v>
      </c>
    </row>
    <row r="349" spans="1:10" x14ac:dyDescent="0.25">
      <c r="A349" t="s">
        <v>358</v>
      </c>
      <c r="B349" t="s">
        <v>11</v>
      </c>
      <c r="C349">
        <v>121.433054688</v>
      </c>
      <c r="D349">
        <f>0</f>
        <v>0</v>
      </c>
      <c r="E349">
        <f>64701825/10^5</f>
        <v>647.01824999999997</v>
      </c>
      <c r="F349">
        <f>0</f>
        <v>0</v>
      </c>
      <c r="G349">
        <f>231395981/10^6</f>
        <v>231.39598100000001</v>
      </c>
      <c r="H349">
        <f>0</f>
        <v>0</v>
      </c>
      <c r="I349">
        <f>-3873333/10^5</f>
        <v>-38.733330000000002</v>
      </c>
      <c r="J349">
        <f>0</f>
        <v>0</v>
      </c>
    </row>
    <row r="350" spans="1:10" x14ac:dyDescent="0.25">
      <c r="A350" t="s">
        <v>359</v>
      </c>
      <c r="B350" t="s">
        <v>11</v>
      </c>
      <c r="C350">
        <v>121.234132813</v>
      </c>
      <c r="D350">
        <f>0</f>
        <v>0</v>
      </c>
      <c r="E350">
        <f>648094482/10^6</f>
        <v>648.09448199999997</v>
      </c>
      <c r="F350">
        <f>0</f>
        <v>0</v>
      </c>
      <c r="G350">
        <f>23136972/10^5</f>
        <v>231.36972</v>
      </c>
      <c r="H350">
        <f>0</f>
        <v>0</v>
      </c>
      <c r="I350">
        <f>-38771889/10^6</f>
        <v>-38.771889000000002</v>
      </c>
      <c r="J350">
        <f>0</f>
        <v>0</v>
      </c>
    </row>
    <row r="351" spans="1:10" x14ac:dyDescent="0.25">
      <c r="A351" t="s">
        <v>360</v>
      </c>
      <c r="B351" t="s">
        <v>11</v>
      </c>
      <c r="C351">
        <v>121.012429688</v>
      </c>
      <c r="D351">
        <f>0</f>
        <v>0</v>
      </c>
      <c r="E351">
        <f>649251282/10^6</f>
        <v>649.25128199999995</v>
      </c>
      <c r="F351">
        <f>0</f>
        <v>0</v>
      </c>
      <c r="G351">
        <f>231339523/10^6</f>
        <v>231.33952300000001</v>
      </c>
      <c r="H351">
        <f>0</f>
        <v>0</v>
      </c>
      <c r="I351">
        <f>-38846073/10^6</f>
        <v>-38.846072999999997</v>
      </c>
      <c r="J351">
        <f>0</f>
        <v>0</v>
      </c>
    </row>
    <row r="352" spans="1:10" x14ac:dyDescent="0.25">
      <c r="A352" t="s">
        <v>361</v>
      </c>
      <c r="B352" t="s">
        <v>11</v>
      </c>
      <c r="C352">
        <v>120.773921875</v>
      </c>
      <c r="D352">
        <f>0</f>
        <v>0</v>
      </c>
      <c r="E352">
        <f>650559326/10^6</f>
        <v>650.55932600000006</v>
      </c>
      <c r="F352">
        <f>0</f>
        <v>0</v>
      </c>
      <c r="G352">
        <f>231296417/10^6</f>
        <v>231.29641699999999</v>
      </c>
      <c r="H352">
        <f>0</f>
        <v>0</v>
      </c>
      <c r="I352">
        <f>-38949757/10^6</f>
        <v>-38.949756999999998</v>
      </c>
      <c r="J352">
        <f>0</f>
        <v>0</v>
      </c>
    </row>
    <row r="353" spans="1:10" x14ac:dyDescent="0.25">
      <c r="A353" t="s">
        <v>362</v>
      </c>
      <c r="B353" t="s">
        <v>11</v>
      </c>
      <c r="C353">
        <v>120.514273438</v>
      </c>
      <c r="D353">
        <f>0</f>
        <v>0</v>
      </c>
      <c r="E353">
        <f>651956848/10^6</f>
        <v>651.95684800000004</v>
      </c>
      <c r="F353">
        <f>0</f>
        <v>0</v>
      </c>
      <c r="G353">
        <f>231252823/10^6</f>
        <v>231.25282300000001</v>
      </c>
      <c r="H353">
        <f>0</f>
        <v>0</v>
      </c>
      <c r="I353">
        <f>-39102806/10^6</f>
        <v>-39.102806000000001</v>
      </c>
      <c r="J353">
        <f>0</f>
        <v>0</v>
      </c>
    </row>
    <row r="354" spans="1:10" x14ac:dyDescent="0.25">
      <c r="A354" t="s">
        <v>363</v>
      </c>
      <c r="B354" t="s">
        <v>11</v>
      </c>
      <c r="C354">
        <v>120.255078125</v>
      </c>
      <c r="D354">
        <f>0</f>
        <v>0</v>
      </c>
      <c r="E354">
        <f>653286438/10^6</f>
        <v>653.28643799999998</v>
      </c>
      <c r="F354">
        <f>0</f>
        <v>0</v>
      </c>
      <c r="G354">
        <f>231211456/10^6</f>
        <v>231.211456</v>
      </c>
      <c r="H354">
        <f>0</f>
        <v>0</v>
      </c>
      <c r="I354">
        <f>-39157021/10^6</f>
        <v>-39.157021</v>
      </c>
      <c r="J354">
        <f>0</f>
        <v>0</v>
      </c>
    </row>
    <row r="355" spans="1:10" x14ac:dyDescent="0.25">
      <c r="A355" t="s">
        <v>364</v>
      </c>
      <c r="B355" t="s">
        <v>11</v>
      </c>
      <c r="C355">
        <v>120.00558593800001</v>
      </c>
      <c r="D355">
        <f>0</f>
        <v>0</v>
      </c>
      <c r="E355">
        <f>654609741/10^6</f>
        <v>654.60974099999999</v>
      </c>
      <c r="F355">
        <f>0</f>
        <v>0</v>
      </c>
      <c r="G355">
        <f>231163055/10^6</f>
        <v>231.16305500000001</v>
      </c>
      <c r="H355">
        <f>0</f>
        <v>0</v>
      </c>
      <c r="I355">
        <f>-39243721/10^6</f>
        <v>-39.243721000000001</v>
      </c>
      <c r="J355">
        <f>0</f>
        <v>0</v>
      </c>
    </row>
    <row r="356" spans="1:10" x14ac:dyDescent="0.25">
      <c r="A356" t="s">
        <v>365</v>
      </c>
      <c r="B356" t="s">
        <v>11</v>
      </c>
      <c r="C356">
        <v>119.762445313</v>
      </c>
      <c r="D356">
        <f>0</f>
        <v>0</v>
      </c>
      <c r="E356">
        <f>655933411/10^6</f>
        <v>655.93341099999998</v>
      </c>
      <c r="F356">
        <f>0</f>
        <v>0</v>
      </c>
      <c r="G356">
        <f>231120865/10^6</f>
        <v>231.12086500000001</v>
      </c>
      <c r="H356">
        <f>0</f>
        <v>0</v>
      </c>
      <c r="I356">
        <f>-39375408/10^6</f>
        <v>-39.375408</v>
      </c>
      <c r="J356">
        <f>0</f>
        <v>0</v>
      </c>
    </row>
    <row r="357" spans="1:10" x14ac:dyDescent="0.25">
      <c r="A357" t="s">
        <v>366</v>
      </c>
      <c r="B357" t="s">
        <v>11</v>
      </c>
      <c r="C357">
        <v>119.51901562499999</v>
      </c>
      <c r="D357">
        <f>0</f>
        <v>0</v>
      </c>
      <c r="E357">
        <f>657312073/10^6</f>
        <v>657.31207300000005</v>
      </c>
      <c r="F357">
        <f>0</f>
        <v>0</v>
      </c>
      <c r="G357">
        <f>231078445/10^6</f>
        <v>231.07844499999999</v>
      </c>
      <c r="H357">
        <f>0</f>
        <v>0</v>
      </c>
      <c r="I357">
        <f>-39599304/10^6</f>
        <v>-39.599303999999997</v>
      </c>
      <c r="J357">
        <f>0</f>
        <v>0</v>
      </c>
    </row>
    <row r="358" spans="1:10" x14ac:dyDescent="0.25">
      <c r="A358" t="s">
        <v>367</v>
      </c>
      <c r="B358" t="s">
        <v>11</v>
      </c>
      <c r="C358">
        <v>119.267335938</v>
      </c>
      <c r="D358">
        <f>0</f>
        <v>0</v>
      </c>
      <c r="E358">
        <f>658719604/10^6</f>
        <v>658.719604</v>
      </c>
      <c r="F358">
        <f>0</f>
        <v>0</v>
      </c>
      <c r="G358">
        <f>231038132/10^6</f>
        <v>231.03813199999999</v>
      </c>
      <c r="H358">
        <f>0</f>
        <v>0</v>
      </c>
      <c r="I358">
        <f>-39842899/10^6</f>
        <v>-39.842899000000003</v>
      </c>
      <c r="J358">
        <f>0</f>
        <v>0</v>
      </c>
    </row>
    <row r="359" spans="1:10" x14ac:dyDescent="0.25">
      <c r="A359" t="s">
        <v>368</v>
      </c>
      <c r="B359" t="s">
        <v>11</v>
      </c>
      <c r="C359">
        <v>119.02084375</v>
      </c>
      <c r="D359">
        <f>0</f>
        <v>0</v>
      </c>
      <c r="E359">
        <f>66000531/10^5</f>
        <v>660.00531000000001</v>
      </c>
      <c r="F359">
        <f>0</f>
        <v>0</v>
      </c>
      <c r="G359">
        <f>23099971/10^5</f>
        <v>230.99970999999999</v>
      </c>
      <c r="H359">
        <f>0</f>
        <v>0</v>
      </c>
      <c r="I359">
        <f>-3986533/10^5</f>
        <v>-39.86533</v>
      </c>
      <c r="J359">
        <f>0</f>
        <v>0</v>
      </c>
    </row>
    <row r="360" spans="1:10" x14ac:dyDescent="0.25">
      <c r="A360" t="s">
        <v>369</v>
      </c>
      <c r="B360" t="s">
        <v>11</v>
      </c>
      <c r="C360">
        <v>118.778554688</v>
      </c>
      <c r="D360">
        <f>0</f>
        <v>0</v>
      </c>
      <c r="E360">
        <f>661237366/10^6</f>
        <v>661.23736599999995</v>
      </c>
      <c r="F360">
        <f>0</f>
        <v>0</v>
      </c>
      <c r="G360">
        <f>230953705/10^6</f>
        <v>230.95370500000001</v>
      </c>
      <c r="H360">
        <f>0</f>
        <v>0</v>
      </c>
      <c r="I360">
        <f>-39884323/10^6</f>
        <v>-39.884323000000002</v>
      </c>
      <c r="J360">
        <f>0</f>
        <v>0</v>
      </c>
    </row>
    <row r="361" spans="1:10" x14ac:dyDescent="0.25">
      <c r="A361" t="s">
        <v>370</v>
      </c>
      <c r="B361" t="s">
        <v>11</v>
      </c>
      <c r="C361">
        <v>118.538039063</v>
      </c>
      <c r="D361">
        <f>0</f>
        <v>0</v>
      </c>
      <c r="E361">
        <f>662488159/10^6</f>
        <v>662.488159</v>
      </c>
      <c r="F361">
        <f>0</f>
        <v>0</v>
      </c>
      <c r="G361">
        <f>230902191/10^6</f>
        <v>230.90219099999999</v>
      </c>
      <c r="H361">
        <f>0</f>
        <v>0</v>
      </c>
      <c r="I361">
        <f>-39909225/10^6</f>
        <v>-39.909224999999999</v>
      </c>
      <c r="J361">
        <f>0</f>
        <v>0</v>
      </c>
    </row>
    <row r="362" spans="1:10" x14ac:dyDescent="0.25">
      <c r="A362" t="s">
        <v>371</v>
      </c>
      <c r="B362" t="s">
        <v>11</v>
      </c>
      <c r="C362">
        <v>118.306039063</v>
      </c>
      <c r="D362">
        <f>0</f>
        <v>0</v>
      </c>
      <c r="E362">
        <f>663818665/10^6</f>
        <v>663.81866500000001</v>
      </c>
      <c r="F362">
        <f>0</f>
        <v>0</v>
      </c>
      <c r="G362">
        <f>230865921/10^6</f>
        <v>230.86592099999999</v>
      </c>
      <c r="H362">
        <f>0</f>
        <v>0</v>
      </c>
      <c r="I362">
        <f>-40075768/10^6</f>
        <v>-40.075767999999997</v>
      </c>
      <c r="J362">
        <f>0</f>
        <v>0</v>
      </c>
    </row>
    <row r="363" spans="1:10" x14ac:dyDescent="0.25">
      <c r="A363" t="s">
        <v>372</v>
      </c>
      <c r="B363" t="s">
        <v>11</v>
      </c>
      <c r="C363">
        <v>118.079109375</v>
      </c>
      <c r="D363">
        <f>0</f>
        <v>0</v>
      </c>
      <c r="E363">
        <f>665221985/10^6</f>
        <v>665.22198500000002</v>
      </c>
      <c r="F363">
        <f>0</f>
        <v>0</v>
      </c>
      <c r="G363">
        <f>230839783/10^6</f>
        <v>230.83978300000001</v>
      </c>
      <c r="H363">
        <f>0</f>
        <v>0</v>
      </c>
      <c r="I363">
        <f>-40506374/10^6</f>
        <v>-40.506374000000001</v>
      </c>
      <c r="J363">
        <f>0</f>
        <v>0</v>
      </c>
    </row>
    <row r="364" spans="1:10" x14ac:dyDescent="0.25">
      <c r="A364" t="s">
        <v>373</v>
      </c>
      <c r="B364" t="s">
        <v>11</v>
      </c>
      <c r="C364">
        <v>117.85930468800001</v>
      </c>
      <c r="D364">
        <f>0</f>
        <v>0</v>
      </c>
      <c r="E364">
        <f>666479919/10^6</f>
        <v>666.479919</v>
      </c>
      <c r="F364">
        <f>0</f>
        <v>0</v>
      </c>
      <c r="G364">
        <f>230803558/10^6</f>
        <v>230.80355800000001</v>
      </c>
      <c r="H364">
        <f>0</f>
        <v>0</v>
      </c>
      <c r="I364">
        <f>-40687496/10^6</f>
        <v>-40.687496000000003</v>
      </c>
      <c r="J364">
        <f>0</f>
        <v>0</v>
      </c>
    </row>
    <row r="365" spans="1:10" x14ac:dyDescent="0.25">
      <c r="A365" t="s">
        <v>374</v>
      </c>
      <c r="B365" t="s">
        <v>11</v>
      </c>
      <c r="C365">
        <v>117.65721093800001</v>
      </c>
      <c r="D365">
        <f>0</f>
        <v>0</v>
      </c>
      <c r="E365">
        <f>667542725/10^6</f>
        <v>667.54272500000002</v>
      </c>
      <c r="F365">
        <f>0</f>
        <v>0</v>
      </c>
      <c r="G365">
        <f>230774582/10^6</f>
        <v>230.77458200000001</v>
      </c>
      <c r="H365">
        <f>0</f>
        <v>0</v>
      </c>
      <c r="I365">
        <f>-40696537/10^6</f>
        <v>-40.696536999999999</v>
      </c>
      <c r="J365">
        <f>0</f>
        <v>0</v>
      </c>
    </row>
    <row r="366" spans="1:10" x14ac:dyDescent="0.25">
      <c r="A366" t="s">
        <v>375</v>
      </c>
      <c r="B366" t="s">
        <v>11</v>
      </c>
      <c r="C366">
        <v>117.46048437499999</v>
      </c>
      <c r="D366">
        <f>0</f>
        <v>0</v>
      </c>
      <c r="E366">
        <f>668674866/10^6</f>
        <v>668.67486599999995</v>
      </c>
      <c r="F366">
        <f>0</f>
        <v>0</v>
      </c>
      <c r="G366">
        <f>230745514/10^6</f>
        <v>230.74551399999999</v>
      </c>
      <c r="H366">
        <f>0</f>
        <v>0</v>
      </c>
      <c r="I366">
        <f>-40905777/10^6</f>
        <v>-40.905777</v>
      </c>
      <c r="J366">
        <f>0</f>
        <v>0</v>
      </c>
    </row>
    <row r="367" spans="1:10" x14ac:dyDescent="0.25">
      <c r="A367" t="s">
        <v>376</v>
      </c>
      <c r="B367" t="s">
        <v>11</v>
      </c>
      <c r="C367">
        <v>0</v>
      </c>
      <c r="D367">
        <f>2</f>
        <v>2</v>
      </c>
      <c r="F367">
        <f>2</f>
        <v>2</v>
      </c>
      <c r="H367">
        <f>2</f>
        <v>2</v>
      </c>
      <c r="J367">
        <f>2</f>
        <v>2</v>
      </c>
    </row>
    <row r="368" spans="1:10" x14ac:dyDescent="0.25">
      <c r="A368" t="s">
        <v>377</v>
      </c>
      <c r="B368" t="s">
        <v>11</v>
      </c>
      <c r="C368">
        <v>117.143382813</v>
      </c>
      <c r="D368">
        <f>0</f>
        <v>0</v>
      </c>
      <c r="E368">
        <f>670578918/10^6</f>
        <v>670.57891800000004</v>
      </c>
      <c r="F368">
        <f>0</f>
        <v>0</v>
      </c>
      <c r="G368">
        <f>230706024/10^6</f>
        <v>230.70602400000001</v>
      </c>
      <c r="H368">
        <f>0</f>
        <v>0</v>
      </c>
      <c r="I368">
        <f>-41188549/10^6</f>
        <v>-41.188549000000002</v>
      </c>
      <c r="J368">
        <f>0</f>
        <v>0</v>
      </c>
    </row>
    <row r="369" spans="1:10" x14ac:dyDescent="0.25">
      <c r="A369" t="s">
        <v>378</v>
      </c>
      <c r="B369" t="s">
        <v>11</v>
      </c>
      <c r="C369">
        <v>117.00236718800001</v>
      </c>
      <c r="D369">
        <f>0</f>
        <v>0</v>
      </c>
      <c r="E369">
        <f>671633667/10^6</f>
        <v>671.63366699999995</v>
      </c>
      <c r="F369">
        <f>0</f>
        <v>0</v>
      </c>
      <c r="G369">
        <f>230715805/10^6</f>
        <v>230.71580499999999</v>
      </c>
      <c r="H369">
        <f>0</f>
        <v>0</v>
      </c>
      <c r="I369">
        <f>-4147208/10^5</f>
        <v>-41.472079999999998</v>
      </c>
      <c r="J369">
        <f>0</f>
        <v>0</v>
      </c>
    </row>
    <row r="370" spans="1:10" x14ac:dyDescent="0.25">
      <c r="A370" t="s">
        <v>379</v>
      </c>
      <c r="B370" t="s">
        <v>11</v>
      </c>
      <c r="C370">
        <v>116.86865625</v>
      </c>
      <c r="D370">
        <f>0</f>
        <v>0</v>
      </c>
      <c r="E370">
        <f>672232361/10^6</f>
        <v>672.23236099999997</v>
      </c>
      <c r="F370">
        <f>0</f>
        <v>0</v>
      </c>
      <c r="G370">
        <f>230718948/10^6</f>
        <v>230.71894800000001</v>
      </c>
      <c r="H370">
        <f>0</f>
        <v>0</v>
      </c>
      <c r="I370">
        <f>-41321404/10^6</f>
        <v>-41.321404000000001</v>
      </c>
      <c r="J370">
        <f>0</f>
        <v>0</v>
      </c>
    </row>
    <row r="371" spans="1:10" x14ac:dyDescent="0.25">
      <c r="A371" t="s">
        <v>380</v>
      </c>
      <c r="B371" t="s">
        <v>11</v>
      </c>
      <c r="C371">
        <v>116.74286718800001</v>
      </c>
      <c r="D371">
        <f>0</f>
        <v>0</v>
      </c>
      <c r="E371">
        <f>672824463/10^6</f>
        <v>672.82446300000004</v>
      </c>
      <c r="F371">
        <f>0</f>
        <v>0</v>
      </c>
      <c r="G371">
        <f>230701721/10^6</f>
        <v>230.70172099999999</v>
      </c>
      <c r="H371">
        <f>0</f>
        <v>0</v>
      </c>
      <c r="I371">
        <f>-41200108/10^6</f>
        <v>-41.200108</v>
      </c>
      <c r="J371">
        <f>0</f>
        <v>0</v>
      </c>
    </row>
    <row r="372" spans="1:10" x14ac:dyDescent="0.25">
      <c r="A372" t="s">
        <v>381</v>
      </c>
      <c r="B372" t="s">
        <v>11</v>
      </c>
      <c r="C372">
        <v>0</v>
      </c>
      <c r="D372">
        <f>2</f>
        <v>2</v>
      </c>
      <c r="F372">
        <f>2</f>
        <v>2</v>
      </c>
      <c r="H372">
        <f>2</f>
        <v>2</v>
      </c>
      <c r="J372">
        <f>2</f>
        <v>2</v>
      </c>
    </row>
    <row r="373" spans="1:10" x14ac:dyDescent="0.25">
      <c r="A373" t="s">
        <v>382</v>
      </c>
      <c r="B373" t="s">
        <v>11</v>
      </c>
      <c r="C373">
        <v>116.468445313</v>
      </c>
      <c r="D373">
        <f>0</f>
        <v>0</v>
      </c>
      <c r="E373">
        <f>67458783/10^5</f>
        <v>674.58783000000005</v>
      </c>
      <c r="F373">
        <f>0</f>
        <v>0</v>
      </c>
      <c r="G373">
        <f>230665695/10^6</f>
        <v>230.665695</v>
      </c>
      <c r="H373">
        <f>0</f>
        <v>0</v>
      </c>
      <c r="I373">
        <f>-41595985/10^6</f>
        <v>-41.595984999999999</v>
      </c>
      <c r="J373">
        <f>0</f>
        <v>0</v>
      </c>
    </row>
    <row r="374" spans="1:10" x14ac:dyDescent="0.25">
      <c r="A374" t="s">
        <v>383</v>
      </c>
      <c r="B374" t="s">
        <v>11</v>
      </c>
      <c r="C374">
        <v>116.341453125</v>
      </c>
      <c r="D374">
        <f>0</f>
        <v>0</v>
      </c>
      <c r="E374">
        <f>675270325/10^6</f>
        <v>675.27032499999996</v>
      </c>
      <c r="F374">
        <f>0</f>
        <v>0</v>
      </c>
      <c r="G374">
        <f>230648621/10^6</f>
        <v>230.64862099999999</v>
      </c>
      <c r="H374">
        <f>0</f>
        <v>0</v>
      </c>
      <c r="I374">
        <f>-41670929/10^6</f>
        <v>-41.670929000000001</v>
      </c>
      <c r="J374">
        <f>0</f>
        <v>0</v>
      </c>
    </row>
    <row r="375" spans="1:10" x14ac:dyDescent="0.25">
      <c r="A375" t="s">
        <v>384</v>
      </c>
      <c r="B375" t="s">
        <v>11</v>
      </c>
      <c r="C375">
        <v>116.2225</v>
      </c>
      <c r="D375">
        <f>0</f>
        <v>0</v>
      </c>
      <c r="E375">
        <f>67601947/10^5</f>
        <v>676.01946999999996</v>
      </c>
      <c r="F375">
        <f>0</f>
        <v>0</v>
      </c>
      <c r="G375">
        <f>230634125/10^6</f>
        <v>230.63412500000001</v>
      </c>
      <c r="H375">
        <f>0</f>
        <v>0</v>
      </c>
      <c r="I375">
        <f>-41877285/10^6</f>
        <v>-41.877285000000001</v>
      </c>
      <c r="J375">
        <f>0</f>
        <v>0</v>
      </c>
    </row>
    <row r="376" spans="1:10" x14ac:dyDescent="0.25">
      <c r="A376" t="s">
        <v>385</v>
      </c>
      <c r="B376" t="s">
        <v>11</v>
      </c>
      <c r="C376">
        <v>116.08880468800001</v>
      </c>
      <c r="D376">
        <f>0</f>
        <v>0</v>
      </c>
      <c r="E376">
        <f>676891785/10^6</f>
        <v>676.89178500000003</v>
      </c>
      <c r="F376">
        <f>0</f>
        <v>0</v>
      </c>
      <c r="G376">
        <f>230608948/10^6</f>
        <v>230.608948</v>
      </c>
      <c r="H376">
        <f>0</f>
        <v>0</v>
      </c>
      <c r="I376">
        <f>-4199078/10^5</f>
        <v>-41.990780000000001</v>
      </c>
      <c r="J376">
        <f>0</f>
        <v>0</v>
      </c>
    </row>
    <row r="377" spans="1:10" x14ac:dyDescent="0.25">
      <c r="A377" t="s">
        <v>386</v>
      </c>
      <c r="B377" t="s">
        <v>11</v>
      </c>
      <c r="C377">
        <v>115.935492188</v>
      </c>
      <c r="D377">
        <f>0</f>
        <v>0</v>
      </c>
      <c r="E377">
        <f>677759094/10^6</f>
        <v>677.759094</v>
      </c>
      <c r="F377">
        <f>0</f>
        <v>0</v>
      </c>
      <c r="G377">
        <f>230592331/10^6</f>
        <v>230.592331</v>
      </c>
      <c r="H377">
        <f>0</f>
        <v>0</v>
      </c>
      <c r="I377">
        <f>-42018574/10^6</f>
        <v>-42.018574000000001</v>
      </c>
      <c r="J377">
        <f>0</f>
        <v>0</v>
      </c>
    </row>
    <row r="378" spans="1:10" x14ac:dyDescent="0.25">
      <c r="A378" t="s">
        <v>387</v>
      </c>
      <c r="B378" t="s">
        <v>11</v>
      </c>
      <c r="C378">
        <v>115.800875</v>
      </c>
      <c r="D378">
        <f>0</f>
        <v>0</v>
      </c>
      <c r="E378">
        <f>678402039/10^6</f>
        <v>678.40203899999995</v>
      </c>
      <c r="F378">
        <f>0</f>
        <v>0</v>
      </c>
      <c r="G378">
        <f>230570694/10^6</f>
        <v>230.570694</v>
      </c>
      <c r="H378">
        <f>0</f>
        <v>0</v>
      </c>
      <c r="I378">
        <f>-41883617/10^6</f>
        <v>-41.883617000000001</v>
      </c>
      <c r="J378">
        <f>0</f>
        <v>0</v>
      </c>
    </row>
    <row r="379" spans="1:10" x14ac:dyDescent="0.25">
      <c r="A379" t="s">
        <v>388</v>
      </c>
      <c r="B379" t="s">
        <v>11</v>
      </c>
      <c r="C379">
        <v>115.688429688</v>
      </c>
      <c r="D379">
        <f>0</f>
        <v>0</v>
      </c>
      <c r="E379">
        <f>679096619/10^6</f>
        <v>679.09661900000003</v>
      </c>
      <c r="F379">
        <f>0</f>
        <v>0</v>
      </c>
      <c r="G379">
        <f>230560516/10^6</f>
        <v>230.56051600000001</v>
      </c>
      <c r="H379">
        <f>0</f>
        <v>0</v>
      </c>
      <c r="I379">
        <f>-4202319/10^5</f>
        <v>-42.02319</v>
      </c>
      <c r="J379">
        <f>0</f>
        <v>0</v>
      </c>
    </row>
    <row r="380" spans="1:10" x14ac:dyDescent="0.25">
      <c r="A380" t="s">
        <v>389</v>
      </c>
      <c r="B380" t="s">
        <v>11</v>
      </c>
      <c r="C380">
        <v>0</v>
      </c>
      <c r="D380">
        <f>2</f>
        <v>2</v>
      </c>
      <c r="F380">
        <f>2</f>
        <v>2</v>
      </c>
      <c r="H380">
        <f>2</f>
        <v>2</v>
      </c>
      <c r="J380">
        <f>2</f>
        <v>2</v>
      </c>
    </row>
    <row r="381" spans="1:10" x14ac:dyDescent="0.25">
      <c r="A381" t="s">
        <v>390</v>
      </c>
      <c r="B381" t="s">
        <v>11</v>
      </c>
      <c r="C381">
        <v>115.513375</v>
      </c>
      <c r="D381">
        <f>0</f>
        <v>0</v>
      </c>
      <c r="E381">
        <f>679988647/10^6</f>
        <v>679.98864700000001</v>
      </c>
      <c r="F381">
        <f>0</f>
        <v>0</v>
      </c>
      <c r="G381">
        <f>230432358/10^6</f>
        <v>230.43235799999999</v>
      </c>
      <c r="H381">
        <f>0</f>
        <v>0</v>
      </c>
      <c r="I381">
        <f>-4249799/10^5</f>
        <v>-42.497990000000001</v>
      </c>
      <c r="J381">
        <f>0</f>
        <v>0</v>
      </c>
    </row>
    <row r="382" spans="1:10" x14ac:dyDescent="0.25">
      <c r="A382" t="s">
        <v>391</v>
      </c>
      <c r="B382" t="s">
        <v>11</v>
      </c>
      <c r="C382">
        <v>0</v>
      </c>
      <c r="D382">
        <f>2</f>
        <v>2</v>
      </c>
      <c r="F382">
        <f>2</f>
        <v>2</v>
      </c>
      <c r="H382">
        <f>2</f>
        <v>2</v>
      </c>
      <c r="J382">
        <f>2</f>
        <v>2</v>
      </c>
    </row>
    <row r="383" spans="1:10" x14ac:dyDescent="0.25">
      <c r="A383" t="s">
        <v>392</v>
      </c>
      <c r="B383" t="s">
        <v>11</v>
      </c>
      <c r="C383">
        <v>115.38020312499999</v>
      </c>
      <c r="D383">
        <f>0</f>
        <v>0</v>
      </c>
      <c r="E383">
        <f>680850647/10^6</f>
        <v>680.85064699999998</v>
      </c>
      <c r="F383">
        <f>0</f>
        <v>0</v>
      </c>
      <c r="G383">
        <f>230455643/10^6</f>
        <v>230.45564300000001</v>
      </c>
      <c r="H383">
        <f>0</f>
        <v>0</v>
      </c>
      <c r="I383">
        <f>-42390308/10^6</f>
        <v>-42.390307999999997</v>
      </c>
      <c r="J383">
        <f>0</f>
        <v>0</v>
      </c>
    </row>
    <row r="384" spans="1:10" x14ac:dyDescent="0.25">
      <c r="A384" t="s">
        <v>393</v>
      </c>
      <c r="B384" t="s">
        <v>11</v>
      </c>
      <c r="C384">
        <v>115.302125</v>
      </c>
      <c r="D384">
        <f>0</f>
        <v>0</v>
      </c>
      <c r="E384">
        <f>681221802/10^6</f>
        <v>681.22180200000003</v>
      </c>
      <c r="F384">
        <f>0</f>
        <v>0</v>
      </c>
      <c r="G384">
        <f>230409241/10^6</f>
        <v>230.40924100000001</v>
      </c>
      <c r="H384">
        <f>0</f>
        <v>0</v>
      </c>
      <c r="I384">
        <f>-42561394/10^6</f>
        <v>-42.561394</v>
      </c>
      <c r="J384">
        <f>0</f>
        <v>0</v>
      </c>
    </row>
    <row r="385" spans="1:10" x14ac:dyDescent="0.25">
      <c r="A385" t="s">
        <v>394</v>
      </c>
      <c r="B385" t="s">
        <v>11</v>
      </c>
      <c r="C385">
        <v>0</v>
      </c>
      <c r="D385">
        <f>2</f>
        <v>2</v>
      </c>
      <c r="F385">
        <f>2</f>
        <v>2</v>
      </c>
      <c r="H385">
        <f>2</f>
        <v>2</v>
      </c>
      <c r="J385">
        <f>2</f>
        <v>2</v>
      </c>
    </row>
    <row r="386" spans="1:10" x14ac:dyDescent="0.25">
      <c r="A386" t="s">
        <v>395</v>
      </c>
      <c r="B386" t="s">
        <v>11</v>
      </c>
      <c r="C386">
        <v>115.20890625</v>
      </c>
      <c r="D386">
        <f>0</f>
        <v>0</v>
      </c>
      <c r="E386">
        <f>681928406/10^6</f>
        <v>681.928406</v>
      </c>
      <c r="F386">
        <f>0</f>
        <v>0</v>
      </c>
      <c r="G386">
        <f>230409225/10^6</f>
        <v>230.40922499999999</v>
      </c>
      <c r="H386">
        <f>0</f>
        <v>0</v>
      </c>
      <c r="I386">
        <f>-42699429/10^6</f>
        <v>-42.699429000000002</v>
      </c>
      <c r="J386">
        <f>0</f>
        <v>0</v>
      </c>
    </row>
    <row r="387" spans="1:10" x14ac:dyDescent="0.25">
      <c r="A387" t="s">
        <v>396</v>
      </c>
      <c r="B387" t="s">
        <v>11</v>
      </c>
      <c r="C387">
        <v>115.21796875</v>
      </c>
      <c r="D387">
        <f>0</f>
        <v>0</v>
      </c>
      <c r="E387">
        <f>681899841/10^6</f>
        <v>681.89984100000004</v>
      </c>
      <c r="F387">
        <f>0</f>
        <v>0</v>
      </c>
      <c r="G387">
        <f>230436203/10^6</f>
        <v>230.43620300000001</v>
      </c>
      <c r="H387">
        <f>0</f>
        <v>0</v>
      </c>
      <c r="I387">
        <f>-42649712/10^6</f>
        <v>-42.649712000000001</v>
      </c>
      <c r="J387">
        <f>0</f>
        <v>0</v>
      </c>
    </row>
    <row r="388" spans="1:10" x14ac:dyDescent="0.25">
      <c r="A388" t="s">
        <v>397</v>
      </c>
      <c r="B388" t="s">
        <v>11</v>
      </c>
      <c r="C388">
        <v>115.2279375</v>
      </c>
      <c r="D388">
        <f>0</f>
        <v>0</v>
      </c>
      <c r="E388">
        <f>681721069/10^6</f>
        <v>681.72106900000006</v>
      </c>
      <c r="F388">
        <f>0</f>
        <v>0</v>
      </c>
      <c r="G388">
        <f>230402939/10^6</f>
        <v>230.402939</v>
      </c>
      <c r="H388">
        <f>0</f>
        <v>0</v>
      </c>
      <c r="I388">
        <f>-42685211/10^6</f>
        <v>-42.685211000000002</v>
      </c>
      <c r="J388">
        <f>0</f>
        <v>0</v>
      </c>
    </row>
    <row r="389" spans="1:10" x14ac:dyDescent="0.25">
      <c r="A389" t="s">
        <v>398</v>
      </c>
      <c r="B389" t="s">
        <v>11</v>
      </c>
      <c r="C389">
        <v>115.247789063</v>
      </c>
      <c r="D389">
        <f>0</f>
        <v>0</v>
      </c>
      <c r="E389">
        <f>681646057/10^6</f>
        <v>681.64605700000004</v>
      </c>
      <c r="F389">
        <f>0</f>
        <v>0</v>
      </c>
      <c r="G389">
        <f>230398758/10^6</f>
        <v>230.39875799999999</v>
      </c>
      <c r="H389">
        <f>0</f>
        <v>0</v>
      </c>
      <c r="I389">
        <f>-4276907/10^5</f>
        <v>-42.769069999999999</v>
      </c>
      <c r="J389">
        <f>0</f>
        <v>0</v>
      </c>
    </row>
    <row r="390" spans="1:10" x14ac:dyDescent="0.25">
      <c r="A390" t="s">
        <v>399</v>
      </c>
      <c r="B390" t="s">
        <v>11</v>
      </c>
      <c r="C390">
        <v>115.30125</v>
      </c>
      <c r="D390">
        <f>0</f>
        <v>0</v>
      </c>
      <c r="E390">
        <f>681325378/10^6</f>
        <v>681.325378</v>
      </c>
      <c r="F390">
        <f>0</f>
        <v>0</v>
      </c>
      <c r="G390">
        <f>230434341/10^6</f>
        <v>230.43434099999999</v>
      </c>
      <c r="H390">
        <f>0</f>
        <v>0</v>
      </c>
      <c r="I390">
        <f>-42650047/10^6</f>
        <v>-42.650047000000001</v>
      </c>
      <c r="J390">
        <f>0</f>
        <v>0</v>
      </c>
    </row>
    <row r="391" spans="1:10" x14ac:dyDescent="0.25">
      <c r="A391" t="s">
        <v>400</v>
      </c>
      <c r="B391" t="s">
        <v>11</v>
      </c>
      <c r="C391">
        <v>115.380109375</v>
      </c>
      <c r="D391">
        <f>0</f>
        <v>0</v>
      </c>
      <c r="E391">
        <f>680822937/10^6</f>
        <v>680.82293700000002</v>
      </c>
      <c r="F391">
        <f>0</f>
        <v>0</v>
      </c>
      <c r="G391">
        <f>230443497/10^6</f>
        <v>230.44349700000001</v>
      </c>
      <c r="H391">
        <f>0</f>
        <v>0</v>
      </c>
      <c r="I391">
        <f>-42548813/10^6</f>
        <v>-42.548813000000003</v>
      </c>
      <c r="J391">
        <f>0</f>
        <v>0</v>
      </c>
    </row>
    <row r="392" spans="1:10" x14ac:dyDescent="0.25">
      <c r="A392" t="s">
        <v>401</v>
      </c>
      <c r="B392" t="s">
        <v>11</v>
      </c>
      <c r="C392">
        <v>115.46966406300001</v>
      </c>
      <c r="D392">
        <f>0</f>
        <v>0</v>
      </c>
      <c r="E392">
        <f>680298279/10^6</f>
        <v>680.29827899999998</v>
      </c>
      <c r="F392">
        <f>0</f>
        <v>0</v>
      </c>
      <c r="G392">
        <f>230439713/10^6</f>
        <v>230.43971300000001</v>
      </c>
      <c r="H392">
        <f>0</f>
        <v>0</v>
      </c>
      <c r="I392">
        <f>-42650555/10^6</f>
        <v>-42.650554999999997</v>
      </c>
      <c r="J392">
        <f>0</f>
        <v>0</v>
      </c>
    </row>
    <row r="393" spans="1:10" x14ac:dyDescent="0.25">
      <c r="A393" t="s">
        <v>402</v>
      </c>
      <c r="B393" t="s">
        <v>11</v>
      </c>
      <c r="C393">
        <v>115.564015625</v>
      </c>
      <c r="D393">
        <f>0</f>
        <v>0</v>
      </c>
      <c r="E393">
        <f>67970166/10^5</f>
        <v>679.70165999999995</v>
      </c>
      <c r="F393">
        <f>0</f>
        <v>0</v>
      </c>
      <c r="G393">
        <f>230474319/10^6</f>
        <v>230.47431900000001</v>
      </c>
      <c r="H393">
        <f>0</f>
        <v>0</v>
      </c>
      <c r="I393">
        <f>-42407974/10^6</f>
        <v>-42.407974000000003</v>
      </c>
      <c r="J393">
        <f>0</f>
        <v>0</v>
      </c>
    </row>
    <row r="394" spans="1:10" x14ac:dyDescent="0.25">
      <c r="A394" t="s">
        <v>403</v>
      </c>
      <c r="B394" t="s">
        <v>11</v>
      </c>
      <c r="C394">
        <v>115.65517187499999</v>
      </c>
      <c r="D394">
        <f>0</f>
        <v>0</v>
      </c>
      <c r="E394">
        <f>679258728/10^6</f>
        <v>679.25872800000002</v>
      </c>
      <c r="F394">
        <f>0</f>
        <v>0</v>
      </c>
      <c r="G394">
        <f>230530075/10^6</f>
        <v>230.53007500000001</v>
      </c>
      <c r="H394">
        <f>0</f>
        <v>0</v>
      </c>
      <c r="I394">
        <f>-42133537/10^6</f>
        <v>-42.133536999999997</v>
      </c>
      <c r="J394">
        <f>0</f>
        <v>0</v>
      </c>
    </row>
    <row r="395" spans="1:10" x14ac:dyDescent="0.25">
      <c r="A395" t="s">
        <v>404</v>
      </c>
      <c r="B395" t="s">
        <v>11</v>
      </c>
      <c r="C395">
        <v>115.754171875</v>
      </c>
      <c r="D395">
        <f>0</f>
        <v>0</v>
      </c>
      <c r="E395">
        <f>678810303/10^6</f>
        <v>678.81030299999998</v>
      </c>
      <c r="F395">
        <f>0</f>
        <v>0</v>
      </c>
      <c r="G395">
        <f>230555664/10^6</f>
        <v>230.55566400000001</v>
      </c>
      <c r="H395">
        <f>0</f>
        <v>0</v>
      </c>
      <c r="I395">
        <f>-42318569/10^6</f>
        <v>-42.318568999999997</v>
      </c>
      <c r="J395">
        <f>0</f>
        <v>0</v>
      </c>
    </row>
    <row r="396" spans="1:10" x14ac:dyDescent="0.25">
      <c r="A396" t="s">
        <v>405</v>
      </c>
      <c r="B396" t="s">
        <v>11</v>
      </c>
      <c r="C396">
        <v>115.88999218800001</v>
      </c>
      <c r="D396">
        <f>0</f>
        <v>0</v>
      </c>
      <c r="E396">
        <f>678042175/10^6</f>
        <v>678.04217500000004</v>
      </c>
      <c r="F396">
        <f>0</f>
        <v>0</v>
      </c>
      <c r="G396">
        <f>230564499/10^6</f>
        <v>230.56449900000001</v>
      </c>
      <c r="H396">
        <f>0</f>
        <v>0</v>
      </c>
      <c r="I396">
        <f>-42381012/10^6</f>
        <v>-42.381011999999998</v>
      </c>
      <c r="J396">
        <f>0</f>
        <v>0</v>
      </c>
    </row>
    <row r="397" spans="1:10" x14ac:dyDescent="0.25">
      <c r="A397" t="s">
        <v>406</v>
      </c>
      <c r="B397" t="s">
        <v>11</v>
      </c>
      <c r="C397">
        <v>116.0693125</v>
      </c>
      <c r="D397">
        <f>0</f>
        <v>0</v>
      </c>
      <c r="E397">
        <f>677058533/10^6</f>
        <v>677.05853300000001</v>
      </c>
      <c r="F397">
        <f>0</f>
        <v>0</v>
      </c>
      <c r="G397">
        <f>230596512/10^6</f>
        <v>230.59651199999999</v>
      </c>
      <c r="H397">
        <f>0</f>
        <v>0</v>
      </c>
      <c r="I397">
        <f>-42257408/10^6</f>
        <v>-42.257407999999998</v>
      </c>
      <c r="J397">
        <f>0</f>
        <v>0</v>
      </c>
    </row>
    <row r="398" spans="1:10" x14ac:dyDescent="0.25">
      <c r="A398" t="s">
        <v>407</v>
      </c>
      <c r="B398" t="s">
        <v>11</v>
      </c>
      <c r="C398">
        <v>116.277726563</v>
      </c>
      <c r="D398">
        <f>0</f>
        <v>0</v>
      </c>
      <c r="E398">
        <f>675805298/10^6</f>
        <v>675.80529799999999</v>
      </c>
      <c r="F398">
        <f>0</f>
        <v>0</v>
      </c>
      <c r="G398">
        <f>23065506/10^5</f>
        <v>230.65505999999999</v>
      </c>
      <c r="H398">
        <f>0</f>
        <v>0</v>
      </c>
      <c r="I398">
        <f>-420168/10^4</f>
        <v>-42.016800000000003</v>
      </c>
      <c r="J398">
        <f>0</f>
        <v>0</v>
      </c>
    </row>
    <row r="399" spans="1:10" x14ac:dyDescent="0.25">
      <c r="A399" t="s">
        <v>408</v>
      </c>
      <c r="B399" t="s">
        <v>11</v>
      </c>
      <c r="C399">
        <v>116.496351563</v>
      </c>
      <c r="D399">
        <f>0</f>
        <v>0</v>
      </c>
      <c r="E399">
        <f>674585571/10^6</f>
        <v>674.58557099999996</v>
      </c>
      <c r="F399">
        <f>0</f>
        <v>0</v>
      </c>
      <c r="G399">
        <f>23070195/10^5</f>
        <v>230.70195000000001</v>
      </c>
      <c r="H399">
        <f>0</f>
        <v>0</v>
      </c>
      <c r="I399">
        <f>-41863251/10^6</f>
        <v>-41.863250999999998</v>
      </c>
      <c r="J399">
        <f>0</f>
        <v>0</v>
      </c>
    </row>
    <row r="400" spans="1:10" x14ac:dyDescent="0.25">
      <c r="A400" t="s">
        <v>409</v>
      </c>
      <c r="B400" t="s">
        <v>11</v>
      </c>
      <c r="C400">
        <v>116.74775</v>
      </c>
      <c r="D400">
        <f>0</f>
        <v>0</v>
      </c>
      <c r="E400">
        <f>673330994/10^6</f>
        <v>673.33099400000003</v>
      </c>
      <c r="F400">
        <f>0</f>
        <v>0</v>
      </c>
      <c r="G400">
        <f>230742767/10^6</f>
        <v>230.74276699999999</v>
      </c>
      <c r="H400">
        <f>0</f>
        <v>0</v>
      </c>
      <c r="I400">
        <f>-41970577/10^6</f>
        <v>-41.970576999999999</v>
      </c>
      <c r="J400">
        <f>0</f>
        <v>0</v>
      </c>
    </row>
    <row r="401" spans="1:10" x14ac:dyDescent="0.25">
      <c r="A401" t="s">
        <v>410</v>
      </c>
      <c r="B401" t="s">
        <v>11</v>
      </c>
      <c r="C401">
        <v>117.06109375</v>
      </c>
      <c r="D401">
        <f>0</f>
        <v>0</v>
      </c>
      <c r="E401">
        <f>671533813/10^6</f>
        <v>671.53381300000001</v>
      </c>
      <c r="F401">
        <f>0</f>
        <v>0</v>
      </c>
      <c r="G401">
        <f>230801682/10^6</f>
        <v>230.801682</v>
      </c>
      <c r="H401">
        <f>0</f>
        <v>0</v>
      </c>
      <c r="I401">
        <f>-41772602/10^6</f>
        <v>-41.772601999999999</v>
      </c>
      <c r="J401">
        <f>0</f>
        <v>0</v>
      </c>
    </row>
    <row r="402" spans="1:10" x14ac:dyDescent="0.25">
      <c r="A402" t="s">
        <v>411</v>
      </c>
      <c r="B402" t="s">
        <v>11</v>
      </c>
      <c r="C402">
        <v>117.426046875</v>
      </c>
      <c r="D402">
        <f>0</f>
        <v>0</v>
      </c>
      <c r="E402">
        <f>669397827/10^6</f>
        <v>669.39782700000001</v>
      </c>
      <c r="F402">
        <f>0</f>
        <v>0</v>
      </c>
      <c r="G402">
        <f>23086232/10^5</f>
        <v>230.86232000000001</v>
      </c>
      <c r="H402">
        <f>0</f>
        <v>0</v>
      </c>
      <c r="I402">
        <f>-41402279/10^6</f>
        <v>-41.402279</v>
      </c>
      <c r="J402">
        <f>0</f>
        <v>0</v>
      </c>
    </row>
    <row r="403" spans="1:10" x14ac:dyDescent="0.25">
      <c r="A403" t="s">
        <v>412</v>
      </c>
      <c r="B403" t="s">
        <v>11</v>
      </c>
      <c r="C403">
        <v>117.868039063</v>
      </c>
      <c r="D403">
        <f>0</f>
        <v>0</v>
      </c>
      <c r="E403">
        <f>666940125/10^6</f>
        <v>666.94012499999997</v>
      </c>
      <c r="F403">
        <f>0</f>
        <v>0</v>
      </c>
      <c r="G403">
        <f>230932831/10^6</f>
        <v>230.93283099999999</v>
      </c>
      <c r="H403">
        <f>0</f>
        <v>0</v>
      </c>
      <c r="I403">
        <f>-41146221/10^6</f>
        <v>-41.146220999999997</v>
      </c>
      <c r="J403">
        <f>0</f>
        <v>0</v>
      </c>
    </row>
    <row r="404" spans="1:10" x14ac:dyDescent="0.25">
      <c r="A404" t="s">
        <v>413</v>
      </c>
      <c r="B404" t="s">
        <v>11</v>
      </c>
      <c r="C404">
        <v>118.389664063</v>
      </c>
      <c r="D404">
        <f>0</f>
        <v>0</v>
      </c>
      <c r="E404">
        <f>6640047/10^4</f>
        <v>664.00469999999996</v>
      </c>
      <c r="F404">
        <f>0</f>
        <v>0</v>
      </c>
      <c r="G404">
        <f>231004257/10^6</f>
        <v>231.004257</v>
      </c>
      <c r="H404">
        <f>0</f>
        <v>0</v>
      </c>
      <c r="I404">
        <f>-40928719/10^6</f>
        <v>-40.928719000000001</v>
      </c>
      <c r="J404">
        <f>0</f>
        <v>0</v>
      </c>
    </row>
    <row r="405" spans="1:10" x14ac:dyDescent="0.25">
      <c r="A405" t="s">
        <v>414</v>
      </c>
      <c r="B405" t="s">
        <v>11</v>
      </c>
      <c r="C405">
        <v>0</v>
      </c>
      <c r="D405">
        <f>2</f>
        <v>2</v>
      </c>
      <c r="F405">
        <f>2</f>
        <v>2</v>
      </c>
      <c r="H405">
        <f>2</f>
        <v>2</v>
      </c>
      <c r="J405">
        <f>2</f>
        <v>2</v>
      </c>
    </row>
    <row r="406" spans="1:10" x14ac:dyDescent="0.25">
      <c r="A406" t="s">
        <v>415</v>
      </c>
      <c r="B406" t="s">
        <v>11</v>
      </c>
      <c r="C406">
        <v>119.55782031300001</v>
      </c>
      <c r="D406">
        <f>0</f>
        <v>0</v>
      </c>
      <c r="E406">
        <f>657303955/10^6</f>
        <v>657.30395499999997</v>
      </c>
      <c r="F406">
        <f>0</f>
        <v>0</v>
      </c>
      <c r="G406">
        <f>231121078/10^6</f>
        <v>231.12107800000001</v>
      </c>
      <c r="H406">
        <f>0</f>
        <v>0</v>
      </c>
      <c r="I406">
        <f>-40184433/10^6</f>
        <v>-40.184432999999999</v>
      </c>
      <c r="J406">
        <f>0</f>
        <v>0</v>
      </c>
    </row>
    <row r="407" spans="1:10" x14ac:dyDescent="0.25">
      <c r="A407" t="s">
        <v>416</v>
      </c>
      <c r="B407" t="s">
        <v>11</v>
      </c>
      <c r="C407">
        <v>120.142109375</v>
      </c>
      <c r="D407">
        <f>0</f>
        <v>0</v>
      </c>
      <c r="E407">
        <f>654141846/10^6</f>
        <v>654.14184599999999</v>
      </c>
      <c r="F407">
        <f>0</f>
        <v>0</v>
      </c>
      <c r="G407">
        <f>231201019/10^6</f>
        <v>231.201019</v>
      </c>
      <c r="H407">
        <f>0</f>
        <v>0</v>
      </c>
      <c r="I407">
        <f>-39892754/10^6</f>
        <v>-39.892753999999996</v>
      </c>
      <c r="J407">
        <f>0</f>
        <v>0</v>
      </c>
    </row>
    <row r="408" spans="1:10" x14ac:dyDescent="0.25">
      <c r="A408" t="s">
        <v>417</v>
      </c>
      <c r="B408" t="s">
        <v>11</v>
      </c>
      <c r="C408">
        <v>120.663578125</v>
      </c>
      <c r="D408">
        <f>0</f>
        <v>0</v>
      </c>
      <c r="E408">
        <f>65116156/10^5</f>
        <v>651.16156000000001</v>
      </c>
      <c r="F408">
        <f>0</f>
        <v>0</v>
      </c>
      <c r="G408">
        <f>231247604/10^6</f>
        <v>231.247604</v>
      </c>
      <c r="H408">
        <f>0</f>
        <v>0</v>
      </c>
      <c r="I408">
        <f>-39609203/10^6</f>
        <v>-39.609203000000001</v>
      </c>
      <c r="J408">
        <f>0</f>
        <v>0</v>
      </c>
    </row>
    <row r="409" spans="1:10" x14ac:dyDescent="0.25">
      <c r="A409" t="s">
        <v>418</v>
      </c>
      <c r="B409" t="s">
        <v>11</v>
      </c>
      <c r="C409">
        <v>121.08728125</v>
      </c>
      <c r="D409">
        <f>0</f>
        <v>0</v>
      </c>
      <c r="E409">
        <f>648600342/10^6</f>
        <v>648.60034199999996</v>
      </c>
      <c r="F409">
        <f>0</f>
        <v>0</v>
      </c>
      <c r="G409">
        <f>231274139/10^6</f>
        <v>231.27413899999999</v>
      </c>
      <c r="H409">
        <f>0</f>
        <v>0</v>
      </c>
      <c r="I409">
        <f>-39039646/10^6</f>
        <v>-39.039645999999998</v>
      </c>
      <c r="J409">
        <f>0</f>
        <v>0</v>
      </c>
    </row>
    <row r="410" spans="1:10" x14ac:dyDescent="0.25">
      <c r="A410" t="s">
        <v>419</v>
      </c>
      <c r="B410" t="s">
        <v>11</v>
      </c>
      <c r="C410">
        <v>121.3666875</v>
      </c>
      <c r="D410">
        <f>0</f>
        <v>0</v>
      </c>
      <c r="E410">
        <f>647020752/10^6</f>
        <v>647.02075200000002</v>
      </c>
      <c r="F410">
        <f>0</f>
        <v>0</v>
      </c>
      <c r="G410">
        <f>231309875/10^6</f>
        <v>231.30987500000001</v>
      </c>
      <c r="H410">
        <f>0</f>
        <v>0</v>
      </c>
      <c r="I410">
        <f>-38797089/10^6</f>
        <v>-38.797089</v>
      </c>
      <c r="J410">
        <f>0</f>
        <v>0</v>
      </c>
    </row>
    <row r="411" spans="1:10" x14ac:dyDescent="0.25">
      <c r="A411" t="s">
        <v>420</v>
      </c>
      <c r="B411" t="s">
        <v>11</v>
      </c>
      <c r="C411">
        <v>121.51157031300001</v>
      </c>
      <c r="D411">
        <f>0</f>
        <v>0</v>
      </c>
      <c r="E411">
        <f>646248169/10^6</f>
        <v>646.24816899999996</v>
      </c>
      <c r="F411">
        <f>0</f>
        <v>0</v>
      </c>
      <c r="G411">
        <f>231305222/10^6</f>
        <v>231.30522199999999</v>
      </c>
      <c r="H411">
        <f>0</f>
        <v>0</v>
      </c>
      <c r="I411">
        <f>-38928337/10^6</f>
        <v>-38.928336999999999</v>
      </c>
      <c r="J411">
        <f>0</f>
        <v>0</v>
      </c>
    </row>
    <row r="412" spans="1:10" x14ac:dyDescent="0.25">
      <c r="A412" t="s">
        <v>421</v>
      </c>
      <c r="B412" t="s">
        <v>11</v>
      </c>
      <c r="C412">
        <v>121.58628125</v>
      </c>
      <c r="D412">
        <f>0</f>
        <v>0</v>
      </c>
      <c r="E412">
        <f>645880432/10^6</f>
        <v>645.88043200000004</v>
      </c>
      <c r="F412">
        <f>0</f>
        <v>0</v>
      </c>
      <c r="G412">
        <f>231308243/10^6</f>
        <v>231.308243</v>
      </c>
      <c r="H412">
        <f>0</f>
        <v>0</v>
      </c>
      <c r="I412">
        <f>-38936985/10^6</f>
        <v>-38.936985</v>
      </c>
      <c r="J412">
        <f>0</f>
        <v>0</v>
      </c>
    </row>
    <row r="413" spans="1:10" x14ac:dyDescent="0.25">
      <c r="A413" t="s">
        <v>422</v>
      </c>
      <c r="B413" t="s">
        <v>11</v>
      </c>
      <c r="C413">
        <v>121.630375</v>
      </c>
      <c r="D413">
        <f>0</f>
        <v>0</v>
      </c>
      <c r="E413">
        <f>645751831/10^6</f>
        <v>645.75183100000004</v>
      </c>
      <c r="F413">
        <f>0</f>
        <v>0</v>
      </c>
      <c r="G413">
        <f>231369247/10^6</f>
        <v>231.369247</v>
      </c>
      <c r="H413">
        <f>0</f>
        <v>0</v>
      </c>
      <c r="I413">
        <f>-38796391/10^6</f>
        <v>-38.796391</v>
      </c>
      <c r="J413">
        <f>0</f>
        <v>0</v>
      </c>
    </row>
    <row r="414" spans="1:10" x14ac:dyDescent="0.25">
      <c r="A414" t="s">
        <v>423</v>
      </c>
      <c r="B414" t="s">
        <v>11</v>
      </c>
      <c r="C414">
        <v>121.657984375</v>
      </c>
      <c r="D414">
        <f>0</f>
        <v>0</v>
      </c>
      <c r="E414">
        <f>645725586/10^6</f>
        <v>645.72558600000002</v>
      </c>
      <c r="F414">
        <f>0</f>
        <v>0</v>
      </c>
      <c r="G414">
        <f>231421051/10^6</f>
        <v>231.42105100000001</v>
      </c>
      <c r="H414">
        <f>0</f>
        <v>0</v>
      </c>
      <c r="I414">
        <f>-38656178/10^6</f>
        <v>-38.656177999999997</v>
      </c>
      <c r="J414">
        <f>0</f>
        <v>0</v>
      </c>
    </row>
    <row r="415" spans="1:10" x14ac:dyDescent="0.25">
      <c r="A415" t="s">
        <v>424</v>
      </c>
      <c r="B415" t="s">
        <v>11</v>
      </c>
      <c r="C415">
        <v>121.668679688</v>
      </c>
      <c r="D415">
        <f>0</f>
        <v>0</v>
      </c>
      <c r="E415">
        <f>645820068/10^6</f>
        <v>645.82006799999999</v>
      </c>
      <c r="F415">
        <f>0</f>
        <v>0</v>
      </c>
      <c r="G415">
        <f>231448395/10^6</f>
        <v>231.448395</v>
      </c>
      <c r="H415">
        <f>0</f>
        <v>0</v>
      </c>
      <c r="I415">
        <f>-38716583/10^6</f>
        <v>-38.716583</v>
      </c>
      <c r="J415">
        <f>0</f>
        <v>0</v>
      </c>
    </row>
    <row r="416" spans="1:10" x14ac:dyDescent="0.25">
      <c r="A416" t="s">
        <v>425</v>
      </c>
      <c r="B416" t="s">
        <v>11</v>
      </c>
      <c r="C416">
        <v>121.63008593800001</v>
      </c>
      <c r="D416">
        <f>0</f>
        <v>0</v>
      </c>
      <c r="E416">
        <f>646030334/10^6</f>
        <v>646.03033400000004</v>
      </c>
      <c r="F416">
        <f>0</f>
        <v>0</v>
      </c>
      <c r="G416">
        <f>231460388/10^6</f>
        <v>231.46038799999999</v>
      </c>
      <c r="H416">
        <f>0</f>
        <v>0</v>
      </c>
      <c r="I416">
        <f>-38735619/10^6</f>
        <v>-38.735619</v>
      </c>
      <c r="J416">
        <f>0</f>
        <v>0</v>
      </c>
    </row>
    <row r="417" spans="1:10" x14ac:dyDescent="0.25">
      <c r="A417" t="s">
        <v>426</v>
      </c>
      <c r="B417" t="s">
        <v>11</v>
      </c>
      <c r="C417">
        <v>121.528617188</v>
      </c>
      <c r="D417">
        <f>0</f>
        <v>0</v>
      </c>
      <c r="E417">
        <f>646529724/10^6</f>
        <v>646.52972399999999</v>
      </c>
      <c r="F417">
        <f>0</f>
        <v>0</v>
      </c>
      <c r="G417">
        <f>231454025/10^6</f>
        <v>231.454025</v>
      </c>
      <c r="H417">
        <f>0</f>
        <v>0</v>
      </c>
      <c r="I417">
        <f>-38615505/10^6</f>
        <v>-38.615504999999999</v>
      </c>
      <c r="J417">
        <f>0</f>
        <v>0</v>
      </c>
    </row>
    <row r="418" spans="1:10" x14ac:dyDescent="0.25">
      <c r="A418" t="s">
        <v>427</v>
      </c>
      <c r="B418" t="s">
        <v>11</v>
      </c>
      <c r="C418">
        <v>121.389140625</v>
      </c>
      <c r="D418">
        <f>0</f>
        <v>0</v>
      </c>
      <c r="E418">
        <f>647250549/10^6</f>
        <v>647.25054899999998</v>
      </c>
      <c r="F418">
        <f>0</f>
        <v>0</v>
      </c>
      <c r="G418">
        <f>23143486/10^5</f>
        <v>231.43485999999999</v>
      </c>
      <c r="H418">
        <f>0</f>
        <v>0</v>
      </c>
      <c r="I418">
        <f>-38594418/10^6</f>
        <v>-38.594417999999997</v>
      </c>
      <c r="J418">
        <f>0</f>
        <v>0</v>
      </c>
    </row>
    <row r="419" spans="1:10" x14ac:dyDescent="0.25">
      <c r="A419" t="s">
        <v>428</v>
      </c>
      <c r="B419" t="s">
        <v>11</v>
      </c>
      <c r="C419">
        <v>121.210640625</v>
      </c>
      <c r="D419">
        <f>0</f>
        <v>0</v>
      </c>
      <c r="E419">
        <f>648245239/10^6</f>
        <v>648.24523899999997</v>
      </c>
      <c r="F419">
        <f>0</f>
        <v>0</v>
      </c>
      <c r="G419">
        <f>231411255/10^6</f>
        <v>231.41125500000001</v>
      </c>
      <c r="H419">
        <f>0</f>
        <v>0</v>
      </c>
      <c r="I419">
        <f>-38764145/10^6</f>
        <v>-38.764144999999999</v>
      </c>
      <c r="J419">
        <f>0</f>
        <v>0</v>
      </c>
    </row>
    <row r="420" spans="1:10" x14ac:dyDescent="0.25">
      <c r="A420" t="s">
        <v>429</v>
      </c>
      <c r="B420" t="s">
        <v>11</v>
      </c>
      <c r="C420">
        <v>120.99117187500001</v>
      </c>
      <c r="D420">
        <f>0</f>
        <v>0</v>
      </c>
      <c r="E420">
        <f>649547485/10^6</f>
        <v>649.54748500000005</v>
      </c>
      <c r="F420">
        <f>0</f>
        <v>0</v>
      </c>
      <c r="G420">
        <f>231384338/10^6</f>
        <v>231.38433800000001</v>
      </c>
      <c r="H420">
        <f>0</f>
        <v>0</v>
      </c>
      <c r="I420">
        <f>-38922581/10^6</f>
        <v>-38.922581000000001</v>
      </c>
      <c r="J420">
        <f>0</f>
        <v>0</v>
      </c>
    </row>
    <row r="421" spans="1:10" x14ac:dyDescent="0.25">
      <c r="A421" t="s">
        <v>430</v>
      </c>
      <c r="B421" t="s">
        <v>11</v>
      </c>
      <c r="C421">
        <v>120.75640625</v>
      </c>
      <c r="D421">
        <f>0</f>
        <v>0</v>
      </c>
      <c r="E421">
        <f>650773254/10^6</f>
        <v>650.77325399999995</v>
      </c>
      <c r="F421">
        <f>0</f>
        <v>0</v>
      </c>
      <c r="G421">
        <f>231351822/10^6</f>
        <v>231.351822</v>
      </c>
      <c r="H421">
        <f>0</f>
        <v>0</v>
      </c>
      <c r="I421">
        <f>-38931118/10^6</f>
        <v>-38.931117999999998</v>
      </c>
      <c r="J421">
        <f>0</f>
        <v>0</v>
      </c>
    </row>
    <row r="422" spans="1:10" x14ac:dyDescent="0.25">
      <c r="A422" t="s">
        <v>431</v>
      </c>
      <c r="B422" t="s">
        <v>11</v>
      </c>
      <c r="C422">
        <v>120.516890625</v>
      </c>
      <c r="D422">
        <f>0</f>
        <v>0</v>
      </c>
      <c r="E422">
        <f>652047974/10^6</f>
        <v>652.04797399999995</v>
      </c>
      <c r="F422">
        <f>0</f>
        <v>0</v>
      </c>
      <c r="G422">
        <f>231309692/10^6</f>
        <v>231.30969200000001</v>
      </c>
      <c r="H422">
        <f>0</f>
        <v>0</v>
      </c>
      <c r="I422">
        <f>-39020191/10^6</f>
        <v>-39.020190999999997</v>
      </c>
      <c r="J422">
        <f>0</f>
        <v>0</v>
      </c>
    </row>
    <row r="423" spans="1:10" x14ac:dyDescent="0.25">
      <c r="A423" t="s">
        <v>432</v>
      </c>
      <c r="B423" t="s">
        <v>11</v>
      </c>
      <c r="C423">
        <v>120.261414063</v>
      </c>
      <c r="D423">
        <f>0</f>
        <v>0</v>
      </c>
      <c r="E423">
        <f>65346936/10^5</f>
        <v>653.46936000000005</v>
      </c>
      <c r="F423">
        <f>0</f>
        <v>0</v>
      </c>
      <c r="G423">
        <f>231264648/10^6</f>
        <v>231.26464799999999</v>
      </c>
      <c r="H423">
        <f>0</f>
        <v>0</v>
      </c>
      <c r="I423">
        <f>-39269207/10^6</f>
        <v>-39.269207000000002</v>
      </c>
      <c r="J423">
        <f>0</f>
        <v>0</v>
      </c>
    </row>
    <row r="424" spans="1:10" x14ac:dyDescent="0.25">
      <c r="A424" t="s">
        <v>433</v>
      </c>
      <c r="B424" t="s">
        <v>11</v>
      </c>
      <c r="C424">
        <v>119.996953125</v>
      </c>
      <c r="D424">
        <f>0</f>
        <v>0</v>
      </c>
      <c r="E424">
        <f>654791687/10^6</f>
        <v>654.79168700000002</v>
      </c>
      <c r="F424">
        <f>0</f>
        <v>0</v>
      </c>
      <c r="G424">
        <f>231221786/10^6</f>
        <v>231.22178600000001</v>
      </c>
      <c r="H424">
        <f>0</f>
        <v>0</v>
      </c>
      <c r="I424">
        <f>-39367813/10^6</f>
        <v>-39.367812999999998</v>
      </c>
      <c r="J424">
        <f>0</f>
        <v>0</v>
      </c>
    </row>
    <row r="425" spans="1:10" x14ac:dyDescent="0.25">
      <c r="A425" t="s">
        <v>434</v>
      </c>
      <c r="B425" t="s">
        <v>11</v>
      </c>
      <c r="C425">
        <v>119.73215625</v>
      </c>
      <c r="D425">
        <f>0</f>
        <v>0</v>
      </c>
      <c r="E425">
        <f>656251953/10^6</f>
        <v>656.25195299999996</v>
      </c>
      <c r="F425">
        <f>0</f>
        <v>0</v>
      </c>
      <c r="G425">
        <f>231176102/10^6</f>
        <v>231.17610199999999</v>
      </c>
      <c r="H425">
        <f>0</f>
        <v>0</v>
      </c>
      <c r="I425">
        <f>-39305847/10^6</f>
        <v>-39.305847</v>
      </c>
      <c r="J425">
        <f>0</f>
        <v>0</v>
      </c>
    </row>
    <row r="426" spans="1:10" x14ac:dyDescent="0.25">
      <c r="A426" t="s">
        <v>435</v>
      </c>
      <c r="B426" t="s">
        <v>11</v>
      </c>
      <c r="C426">
        <v>119.45378125000001</v>
      </c>
      <c r="D426">
        <f>0</f>
        <v>0</v>
      </c>
      <c r="E426">
        <f>657843079/10^6</f>
        <v>657.84307899999999</v>
      </c>
      <c r="F426">
        <f>0</f>
        <v>0</v>
      </c>
      <c r="G426">
        <f>231137955/10^6</f>
        <v>231.13795500000001</v>
      </c>
      <c r="H426">
        <f>0</f>
        <v>0</v>
      </c>
      <c r="I426">
        <f>-39431679/10^6</f>
        <v>-39.431679000000003</v>
      </c>
      <c r="J426">
        <f>0</f>
        <v>0</v>
      </c>
    </row>
    <row r="427" spans="1:10" x14ac:dyDescent="0.25">
      <c r="A427" t="s">
        <v>436</v>
      </c>
      <c r="B427" t="s">
        <v>11</v>
      </c>
      <c r="C427">
        <v>119.184054688</v>
      </c>
      <c r="D427">
        <f>0</f>
        <v>0</v>
      </c>
      <c r="E427">
        <f>659290649/10^6</f>
        <v>659.29064900000003</v>
      </c>
      <c r="F427">
        <f>0</f>
        <v>0</v>
      </c>
      <c r="G427">
        <f>231105698/10^6</f>
        <v>231.10569799999999</v>
      </c>
      <c r="H427">
        <f>0</f>
        <v>0</v>
      </c>
      <c r="I427">
        <f>-39684872/10^6</f>
        <v>-39.684871999999999</v>
      </c>
      <c r="J427">
        <f>0</f>
        <v>0</v>
      </c>
    </row>
    <row r="428" spans="1:10" x14ac:dyDescent="0.25">
      <c r="A428" t="s">
        <v>437</v>
      </c>
      <c r="B428" t="s">
        <v>11</v>
      </c>
      <c r="C428">
        <v>118.924695313</v>
      </c>
      <c r="D428">
        <f>0</f>
        <v>0</v>
      </c>
      <c r="E428">
        <f>66067511/10^5</f>
        <v>660.67511000000002</v>
      </c>
      <c r="F428">
        <f>0</f>
        <v>0</v>
      </c>
      <c r="G428">
        <f>231049103/10^6</f>
        <v>231.049103</v>
      </c>
      <c r="H428">
        <f>0</f>
        <v>0</v>
      </c>
      <c r="I428">
        <f>-39898937/10^6</f>
        <v>-39.898936999999997</v>
      </c>
      <c r="J428">
        <f>0</f>
        <v>0</v>
      </c>
    </row>
    <row r="429" spans="1:10" x14ac:dyDescent="0.25">
      <c r="A429" t="s">
        <v>438</v>
      </c>
      <c r="B429" t="s">
        <v>11</v>
      </c>
      <c r="C429">
        <v>118.65016406300001</v>
      </c>
      <c r="D429">
        <f>0</f>
        <v>0</v>
      </c>
      <c r="E429">
        <f>662104126/10^6</f>
        <v>662.10412599999995</v>
      </c>
      <c r="F429">
        <f>0</f>
        <v>0</v>
      </c>
      <c r="G429">
        <f>230986511/10^6</f>
        <v>230.98651100000001</v>
      </c>
      <c r="H429">
        <f>0</f>
        <v>0</v>
      </c>
      <c r="I429">
        <f>-39992558/10^6</f>
        <v>-39.992558000000002</v>
      </c>
      <c r="J429">
        <f>0</f>
        <v>0</v>
      </c>
    </row>
    <row r="430" spans="1:10" x14ac:dyDescent="0.25">
      <c r="A430" t="s">
        <v>439</v>
      </c>
      <c r="B430" t="s">
        <v>11</v>
      </c>
      <c r="C430">
        <v>118.350257813</v>
      </c>
      <c r="D430">
        <f>0</f>
        <v>0</v>
      </c>
      <c r="E430">
        <f>66386853/10^5</f>
        <v>663.86852999999996</v>
      </c>
      <c r="F430">
        <f>0</f>
        <v>0</v>
      </c>
      <c r="G430">
        <f>230949539/10^6</f>
        <v>230.94953899999999</v>
      </c>
      <c r="H430">
        <f>0</f>
        <v>0</v>
      </c>
      <c r="I430">
        <f>-40297947/10^6</f>
        <v>-40.297947000000001</v>
      </c>
      <c r="J430">
        <f>0</f>
        <v>0</v>
      </c>
    </row>
    <row r="431" spans="1:10" x14ac:dyDescent="0.25">
      <c r="A431" t="s">
        <v>440</v>
      </c>
      <c r="B431" t="s">
        <v>11</v>
      </c>
      <c r="C431">
        <v>118.04134375</v>
      </c>
      <c r="D431">
        <f>0</f>
        <v>0</v>
      </c>
      <c r="E431">
        <f>665730469/10^6</f>
        <v>665.73046899999997</v>
      </c>
      <c r="F431">
        <f>0</f>
        <v>0</v>
      </c>
      <c r="G431">
        <f>230922516/10^6</f>
        <v>230.922516</v>
      </c>
      <c r="H431">
        <f>0</f>
        <v>0</v>
      </c>
      <c r="I431">
        <f>-40638931/10^6</f>
        <v>-40.638930999999999</v>
      </c>
      <c r="J431">
        <f>0</f>
        <v>0</v>
      </c>
    </row>
    <row r="432" spans="1:10" x14ac:dyDescent="0.25">
      <c r="A432" t="s">
        <v>441</v>
      </c>
      <c r="B432" t="s">
        <v>11</v>
      </c>
      <c r="C432">
        <v>117.74584375000001</v>
      </c>
      <c r="D432">
        <f>0</f>
        <v>0</v>
      </c>
      <c r="E432">
        <f>667369995/10^6</f>
        <v>667.36999500000002</v>
      </c>
      <c r="F432">
        <f>0</f>
        <v>0</v>
      </c>
      <c r="G432">
        <f>230885681/10^6</f>
        <v>230.88568100000001</v>
      </c>
      <c r="H432">
        <f>0</f>
        <v>0</v>
      </c>
      <c r="I432">
        <f>-40687538/10^6</f>
        <v>-40.687538000000004</v>
      </c>
      <c r="J432">
        <f>0</f>
        <v>0</v>
      </c>
    </row>
    <row r="433" spans="1:10" x14ac:dyDescent="0.25">
      <c r="A433" t="s">
        <v>442</v>
      </c>
      <c r="B433" t="s">
        <v>11</v>
      </c>
      <c r="C433">
        <v>117.461546875</v>
      </c>
      <c r="D433">
        <f>0</f>
        <v>0</v>
      </c>
      <c r="E433">
        <f>668919312/10^6</f>
        <v>668.91931199999999</v>
      </c>
      <c r="F433">
        <f>0</f>
        <v>0</v>
      </c>
      <c r="G433">
        <f>23083194/10^5</f>
        <v>230.83194</v>
      </c>
      <c r="H433">
        <f>0</f>
        <v>0</v>
      </c>
      <c r="I433">
        <f>-40832294/10^6</f>
        <v>-40.832293999999997</v>
      </c>
      <c r="J433">
        <f>0</f>
        <v>0</v>
      </c>
    </row>
    <row r="434" spans="1:10" x14ac:dyDescent="0.25">
      <c r="A434" t="s">
        <v>443</v>
      </c>
      <c r="B434" t="s">
        <v>11</v>
      </c>
      <c r="C434">
        <v>117.17661718800001</v>
      </c>
      <c r="D434">
        <f>0</f>
        <v>0</v>
      </c>
      <c r="E434">
        <f>670556152/10^6</f>
        <v>670.556152</v>
      </c>
      <c r="F434">
        <f>0</f>
        <v>0</v>
      </c>
      <c r="G434">
        <f>230782471/10^6</f>
        <v>230.78247099999999</v>
      </c>
      <c r="H434">
        <f>0</f>
        <v>0</v>
      </c>
      <c r="I434">
        <f>-41122761/10^6</f>
        <v>-41.122760999999997</v>
      </c>
      <c r="J434">
        <f>0</f>
        <v>0</v>
      </c>
    </row>
    <row r="435" spans="1:10" x14ac:dyDescent="0.25">
      <c r="A435" t="s">
        <v>444</v>
      </c>
      <c r="B435" t="s">
        <v>11</v>
      </c>
      <c r="C435">
        <v>0</v>
      </c>
      <c r="D435">
        <f>2</f>
        <v>2</v>
      </c>
      <c r="F435">
        <f>2</f>
        <v>2</v>
      </c>
      <c r="H435">
        <f>2</f>
        <v>2</v>
      </c>
      <c r="J435">
        <f>2</f>
        <v>2</v>
      </c>
    </row>
    <row r="436" spans="1:10" x14ac:dyDescent="0.25">
      <c r="A436" t="s">
        <v>445</v>
      </c>
      <c r="B436" t="s">
        <v>11</v>
      </c>
      <c r="C436">
        <v>116.58081249999999</v>
      </c>
      <c r="D436">
        <f>0</f>
        <v>0</v>
      </c>
      <c r="E436">
        <f>67399762/10^5</f>
        <v>673.99761999999998</v>
      </c>
      <c r="F436">
        <f>0</f>
        <v>0</v>
      </c>
      <c r="G436">
        <f>230706772/10^6</f>
        <v>230.706772</v>
      </c>
      <c r="H436">
        <f>0</f>
        <v>0</v>
      </c>
      <c r="I436">
        <f>-41382656/10^6</f>
        <v>-41.382655999999997</v>
      </c>
      <c r="J436">
        <f>0</f>
        <v>0</v>
      </c>
    </row>
    <row r="437" spans="1:10" x14ac:dyDescent="0.25">
      <c r="A437" t="s">
        <v>446</v>
      </c>
      <c r="B437" t="s">
        <v>11</v>
      </c>
      <c r="C437">
        <v>116.26700781300001</v>
      </c>
      <c r="D437">
        <f>0</f>
        <v>0</v>
      </c>
      <c r="E437">
        <f>675841797/10^6</f>
        <v>675.84179700000004</v>
      </c>
      <c r="F437">
        <f>0</f>
        <v>0</v>
      </c>
      <c r="G437">
        <f>230664154/10^6</f>
        <v>230.664154</v>
      </c>
      <c r="H437">
        <f>0</f>
        <v>0</v>
      </c>
      <c r="I437">
        <f>-41750965/10^6</f>
        <v>-41.750965000000001</v>
      </c>
      <c r="J437">
        <f>0</f>
        <v>0</v>
      </c>
    </row>
    <row r="438" spans="1:10" x14ac:dyDescent="0.25">
      <c r="A438" t="s">
        <v>447</v>
      </c>
      <c r="B438" t="s">
        <v>11</v>
      </c>
      <c r="C438">
        <v>116.000203125</v>
      </c>
      <c r="D438">
        <f>0</f>
        <v>0</v>
      </c>
      <c r="E438">
        <f>677265503/10^6</f>
        <v>677.26550299999997</v>
      </c>
      <c r="F438">
        <f>0</f>
        <v>0</v>
      </c>
      <c r="G438">
        <f>230605057/10^6</f>
        <v>230.60505699999999</v>
      </c>
      <c r="H438">
        <f>0</f>
        <v>0</v>
      </c>
      <c r="I438">
        <f>-41937737/10^6</f>
        <v>-41.937736999999998</v>
      </c>
      <c r="J438">
        <f>0</f>
        <v>0</v>
      </c>
    </row>
    <row r="439" spans="1:10" x14ac:dyDescent="0.25">
      <c r="A439" t="s">
        <v>448</v>
      </c>
      <c r="B439" t="s">
        <v>11</v>
      </c>
      <c r="C439">
        <v>115.77318750000001</v>
      </c>
      <c r="D439">
        <f>0</f>
        <v>0</v>
      </c>
      <c r="E439">
        <f>678634338/10^6</f>
        <v>678.63433799999996</v>
      </c>
      <c r="F439">
        <f>0</f>
        <v>0</v>
      </c>
      <c r="G439">
        <f>23055661/10^5</f>
        <v>230.55661000000001</v>
      </c>
      <c r="H439">
        <f>0</f>
        <v>0</v>
      </c>
      <c r="I439">
        <f>-42113842/10^6</f>
        <v>-42.113841999999998</v>
      </c>
      <c r="J439">
        <f>0</f>
        <v>0</v>
      </c>
    </row>
    <row r="440" spans="1:10" x14ac:dyDescent="0.25">
      <c r="A440" t="s">
        <v>449</v>
      </c>
      <c r="B440" t="s">
        <v>11</v>
      </c>
      <c r="C440">
        <v>115.55834375000001</v>
      </c>
      <c r="D440">
        <f>0</f>
        <v>0</v>
      </c>
      <c r="E440">
        <f>68002179/10^5</f>
        <v>680.02179000000001</v>
      </c>
      <c r="F440">
        <f>0</f>
        <v>0</v>
      </c>
      <c r="G440">
        <f>230544479/10^6</f>
        <v>230.544479</v>
      </c>
      <c r="H440">
        <f>0</f>
        <v>0</v>
      </c>
      <c r="I440">
        <f>-42363522/10^6</f>
        <v>-42.363522000000003</v>
      </c>
      <c r="J440">
        <f>0</f>
        <v>0</v>
      </c>
    </row>
    <row r="441" spans="1:10" x14ac:dyDescent="0.25">
      <c r="A441" t="s">
        <v>450</v>
      </c>
      <c r="B441" t="s">
        <v>11</v>
      </c>
      <c r="C441">
        <v>115.41461718800001</v>
      </c>
      <c r="D441">
        <f>0</f>
        <v>0</v>
      </c>
      <c r="E441">
        <f>680727966/10^6</f>
        <v>680.72796600000004</v>
      </c>
      <c r="F441">
        <f>0</f>
        <v>0</v>
      </c>
      <c r="G441">
        <f>230496017/10^6</f>
        <v>230.49601699999999</v>
      </c>
      <c r="H441">
        <f>0</f>
        <v>0</v>
      </c>
      <c r="I441">
        <f>-42353329/10^6</f>
        <v>-42.353329000000002</v>
      </c>
      <c r="J441">
        <f>0</f>
        <v>0</v>
      </c>
    </row>
    <row r="442" spans="1:10" x14ac:dyDescent="0.25">
      <c r="A442" t="s">
        <v>451</v>
      </c>
      <c r="B442" t="s">
        <v>11</v>
      </c>
      <c r="C442">
        <v>115.330445313</v>
      </c>
      <c r="D442">
        <f>0</f>
        <v>0</v>
      </c>
      <c r="E442">
        <f>68105072/10^5</f>
        <v>681.05071999999996</v>
      </c>
      <c r="F442">
        <f>0</f>
        <v>0</v>
      </c>
      <c r="G442">
        <f>230454376/10^6</f>
        <v>230.454376</v>
      </c>
      <c r="H442">
        <f>0</f>
        <v>0</v>
      </c>
      <c r="I442">
        <f>-42268269/10^6</f>
        <v>-42.268268999999997</v>
      </c>
      <c r="J442">
        <f>0</f>
        <v>0</v>
      </c>
    </row>
    <row r="443" spans="1:10" x14ac:dyDescent="0.25">
      <c r="A443" t="s">
        <v>452</v>
      </c>
      <c r="B443" t="s">
        <v>11</v>
      </c>
      <c r="C443">
        <v>115.21453124999999</v>
      </c>
      <c r="D443">
        <f>0</f>
        <v>0</v>
      </c>
      <c r="E443">
        <f>681636902/10^6</f>
        <v>681.63690199999996</v>
      </c>
      <c r="F443">
        <f>0</f>
        <v>0</v>
      </c>
      <c r="G443">
        <f>230427628/10^6</f>
        <v>230.427628</v>
      </c>
      <c r="H443">
        <f>0</f>
        <v>0</v>
      </c>
      <c r="I443">
        <f>-42317299/10^6</f>
        <v>-42.317298999999998</v>
      </c>
      <c r="J443">
        <f>0</f>
        <v>0</v>
      </c>
    </row>
    <row r="444" spans="1:10" x14ac:dyDescent="0.25">
      <c r="A444" t="s">
        <v>453</v>
      </c>
      <c r="B444" t="s">
        <v>11</v>
      </c>
      <c r="C444">
        <v>115.04421093800001</v>
      </c>
      <c r="D444">
        <f>0</f>
        <v>0</v>
      </c>
      <c r="E444">
        <f>682678467/10^6</f>
        <v>682.67846699999996</v>
      </c>
      <c r="F444">
        <f>0</f>
        <v>0</v>
      </c>
      <c r="G444">
        <f>230370804/10^6</f>
        <v>230.37080399999999</v>
      </c>
      <c r="H444">
        <f>0</f>
        <v>0</v>
      </c>
      <c r="I444">
        <f>-4266774/10^5</f>
        <v>-42.667740000000002</v>
      </c>
      <c r="J444">
        <f>0</f>
        <v>0</v>
      </c>
    </row>
    <row r="445" spans="1:10" x14ac:dyDescent="0.25">
      <c r="A445" t="s">
        <v>454</v>
      </c>
      <c r="B445" t="s">
        <v>11</v>
      </c>
      <c r="C445">
        <v>114.880242188</v>
      </c>
      <c r="D445">
        <f>0</f>
        <v>0</v>
      </c>
      <c r="E445">
        <f>683418884/10^6</f>
        <v>683.41888400000005</v>
      </c>
      <c r="F445">
        <f>0</f>
        <v>0</v>
      </c>
      <c r="G445">
        <f>230264847/10^6</f>
        <v>230.264847</v>
      </c>
      <c r="H445">
        <f>0</f>
        <v>0</v>
      </c>
      <c r="I445">
        <f>-42876598/10^6</f>
        <v>-42.876598000000001</v>
      </c>
      <c r="J445">
        <f>0</f>
        <v>0</v>
      </c>
    </row>
    <row r="446" spans="1:10" x14ac:dyDescent="0.25">
      <c r="A446" t="s">
        <v>455</v>
      </c>
      <c r="B446" t="s">
        <v>11</v>
      </c>
      <c r="C446">
        <v>114.786945313</v>
      </c>
      <c r="D446">
        <f>0</f>
        <v>0</v>
      </c>
      <c r="E446">
        <f>683764587/10^6</f>
        <v>683.76458700000001</v>
      </c>
      <c r="F446">
        <f>0</f>
        <v>0</v>
      </c>
      <c r="G446">
        <f>230203934/10^6</f>
        <v>230.203934</v>
      </c>
      <c r="H446">
        <f>0</f>
        <v>0</v>
      </c>
      <c r="I446">
        <f>-42795547/10^6</f>
        <v>-42.795546999999999</v>
      </c>
      <c r="J446">
        <f>0</f>
        <v>0</v>
      </c>
    </row>
    <row r="447" spans="1:10" x14ac:dyDescent="0.25">
      <c r="A447" t="s">
        <v>456</v>
      </c>
      <c r="B447" t="s">
        <v>11</v>
      </c>
      <c r="C447">
        <v>114.73108593800001</v>
      </c>
      <c r="D447">
        <f>0</f>
        <v>0</v>
      </c>
      <c r="E447">
        <f>684288147/10^6</f>
        <v>684.28814699999998</v>
      </c>
      <c r="F447">
        <f>0</f>
        <v>0</v>
      </c>
      <c r="G447">
        <f>230231461/10^6</f>
        <v>230.231461</v>
      </c>
      <c r="H447">
        <f>0</f>
        <v>0</v>
      </c>
      <c r="I447">
        <f>-42897156/10^6</f>
        <v>-42.897156000000003</v>
      </c>
      <c r="J447">
        <f>0</f>
        <v>0</v>
      </c>
    </row>
    <row r="448" spans="1:10" x14ac:dyDescent="0.25">
      <c r="A448" t="s">
        <v>457</v>
      </c>
      <c r="B448" t="s">
        <v>11</v>
      </c>
      <c r="C448">
        <v>114.66493749999999</v>
      </c>
      <c r="D448">
        <f>0</f>
        <v>0</v>
      </c>
      <c r="E448">
        <f>684690796/10^6</f>
        <v>684.69079599999998</v>
      </c>
      <c r="F448">
        <f>0</f>
        <v>0</v>
      </c>
      <c r="G448">
        <f>230211411/10^6</f>
        <v>230.211411</v>
      </c>
      <c r="H448">
        <f>0</f>
        <v>0</v>
      </c>
      <c r="I448">
        <f>-43104736/10^6</f>
        <v>-43.104736000000003</v>
      </c>
      <c r="J448">
        <f>0</f>
        <v>0</v>
      </c>
    </row>
    <row r="449" spans="1:10" x14ac:dyDescent="0.25">
      <c r="A449" t="s">
        <v>458</v>
      </c>
      <c r="B449" t="s">
        <v>11</v>
      </c>
      <c r="C449">
        <v>114.608570313</v>
      </c>
      <c r="D449">
        <f>0</f>
        <v>0</v>
      </c>
      <c r="E449">
        <f>684925049/10^6</f>
        <v>684.92504899999994</v>
      </c>
      <c r="F449">
        <f>0</f>
        <v>0</v>
      </c>
      <c r="G449">
        <f>230161072/10^6</f>
        <v>230.16107199999999</v>
      </c>
      <c r="H449">
        <f>0</f>
        <v>0</v>
      </c>
      <c r="I449">
        <f>-43077526/10^6</f>
        <v>-43.077525999999999</v>
      </c>
      <c r="J449">
        <f>0</f>
        <v>0</v>
      </c>
    </row>
    <row r="450" spans="1:10" x14ac:dyDescent="0.25">
      <c r="A450" t="s">
        <v>459</v>
      </c>
      <c r="B450" t="s">
        <v>11</v>
      </c>
      <c r="C450">
        <v>114.5588125</v>
      </c>
      <c r="D450">
        <f>0</f>
        <v>0</v>
      </c>
      <c r="E450">
        <f>684998413/10^6</f>
        <v>684.99841300000003</v>
      </c>
      <c r="F450">
        <f>0</f>
        <v>0</v>
      </c>
      <c r="G450">
        <f>230102142/10^6</f>
        <v>230.10214199999999</v>
      </c>
      <c r="H450">
        <f>0</f>
        <v>0</v>
      </c>
      <c r="I450">
        <f>-42934711/10^6</f>
        <v>-42.934711</v>
      </c>
      <c r="J450">
        <f>0</f>
        <v>0</v>
      </c>
    </row>
    <row r="451" spans="1:10" x14ac:dyDescent="0.25">
      <c r="A451" t="s">
        <v>460</v>
      </c>
      <c r="B451" t="s">
        <v>11</v>
      </c>
      <c r="C451">
        <v>0</v>
      </c>
      <c r="D451">
        <f>2</f>
        <v>2</v>
      </c>
      <c r="F451">
        <f>2</f>
        <v>2</v>
      </c>
      <c r="H451">
        <f>2</f>
        <v>2</v>
      </c>
      <c r="J451">
        <f>2</f>
        <v>2</v>
      </c>
    </row>
    <row r="452" spans="1:10" x14ac:dyDescent="0.25">
      <c r="A452" t="s">
        <v>461</v>
      </c>
      <c r="B452" t="s">
        <v>11</v>
      </c>
      <c r="C452">
        <v>114.47089843800001</v>
      </c>
      <c r="D452">
        <f>0</f>
        <v>0</v>
      </c>
      <c r="E452">
        <f>685835876/10^6</f>
        <v>685.83587599999998</v>
      </c>
      <c r="F452">
        <f>0</f>
        <v>0</v>
      </c>
      <c r="G452">
        <f>230174438/10^6</f>
        <v>230.17443800000001</v>
      </c>
      <c r="H452">
        <f>0</f>
        <v>0</v>
      </c>
      <c r="I452">
        <f>-43190933/10^6</f>
        <v>-43.190933000000001</v>
      </c>
      <c r="J452">
        <f>0</f>
        <v>0</v>
      </c>
    </row>
    <row r="453" spans="1:10" x14ac:dyDescent="0.25">
      <c r="A453" t="s">
        <v>462</v>
      </c>
      <c r="B453" t="s">
        <v>11</v>
      </c>
      <c r="C453">
        <v>0</v>
      </c>
      <c r="D453">
        <f>2</f>
        <v>2</v>
      </c>
      <c r="F453">
        <f>2</f>
        <v>2</v>
      </c>
      <c r="H453">
        <f>2</f>
        <v>2</v>
      </c>
      <c r="J453">
        <f>2</f>
        <v>2</v>
      </c>
    </row>
    <row r="454" spans="1:10" x14ac:dyDescent="0.25">
      <c r="A454" t="s">
        <v>463</v>
      </c>
      <c r="B454" t="s">
        <v>11</v>
      </c>
      <c r="C454">
        <v>114.52397656300001</v>
      </c>
      <c r="D454">
        <f>0</f>
        <v>0</v>
      </c>
      <c r="E454">
        <f>685634155/10^6</f>
        <v>685.63415499999996</v>
      </c>
      <c r="F454">
        <f>0</f>
        <v>0</v>
      </c>
      <c r="G454">
        <f>230222/10^3</f>
        <v>230.22200000000001</v>
      </c>
      <c r="H454">
        <f>0</f>
        <v>0</v>
      </c>
      <c r="I454">
        <f>-43173397/10^6</f>
        <v>-43.173397000000001</v>
      </c>
      <c r="J454">
        <f>0</f>
        <v>0</v>
      </c>
    </row>
    <row r="455" spans="1:10" x14ac:dyDescent="0.25">
      <c r="A455" t="s">
        <v>464</v>
      </c>
      <c r="B455" t="s">
        <v>11</v>
      </c>
      <c r="C455">
        <v>114.615140625</v>
      </c>
      <c r="D455">
        <f>0</f>
        <v>0</v>
      </c>
      <c r="E455">
        <f>684945679/10^6</f>
        <v>684.94567900000004</v>
      </c>
      <c r="F455">
        <f>0</f>
        <v>0</v>
      </c>
      <c r="G455">
        <f>230203934/10^6</f>
        <v>230.203934</v>
      </c>
      <c r="H455">
        <f>0</f>
        <v>0</v>
      </c>
      <c r="I455">
        <f>-42973663/10^6</f>
        <v>-42.973663000000002</v>
      </c>
      <c r="J455">
        <f>0</f>
        <v>0</v>
      </c>
    </row>
    <row r="456" spans="1:10" x14ac:dyDescent="0.25">
      <c r="A456" t="s">
        <v>465</v>
      </c>
      <c r="B456" t="s">
        <v>11</v>
      </c>
      <c r="C456">
        <v>0</v>
      </c>
      <c r="D456">
        <f>2</f>
        <v>2</v>
      </c>
      <c r="F456">
        <f>2</f>
        <v>2</v>
      </c>
      <c r="H456">
        <f>2</f>
        <v>2</v>
      </c>
      <c r="J456">
        <f>2</f>
        <v>2</v>
      </c>
    </row>
    <row r="457" spans="1:10" x14ac:dyDescent="0.25">
      <c r="A457" t="s">
        <v>466</v>
      </c>
      <c r="B457" t="s">
        <v>11</v>
      </c>
      <c r="C457">
        <v>114.934445313</v>
      </c>
      <c r="D457">
        <f>0</f>
        <v>0</v>
      </c>
      <c r="E457">
        <f>683338745/10^6</f>
        <v>683.33874500000002</v>
      </c>
      <c r="F457">
        <f>0</f>
        <v>0</v>
      </c>
      <c r="G457">
        <f>230337845/10^6</f>
        <v>230.33784499999999</v>
      </c>
      <c r="H457">
        <f>0</f>
        <v>0</v>
      </c>
      <c r="I457">
        <f>-42943172/10^6</f>
        <v>-42.943171999999997</v>
      </c>
      <c r="J457">
        <f>0</f>
        <v>0</v>
      </c>
    </row>
    <row r="458" spans="1:10" x14ac:dyDescent="0.25">
      <c r="A458" t="s">
        <v>467</v>
      </c>
      <c r="B458" t="s">
        <v>11</v>
      </c>
      <c r="C458">
        <v>115.17301562500001</v>
      </c>
      <c r="D458">
        <f>0</f>
        <v>0</v>
      </c>
      <c r="E458">
        <f>682102966/10^6</f>
        <v>682.10296600000004</v>
      </c>
      <c r="F458">
        <f>0</f>
        <v>0</v>
      </c>
      <c r="G458">
        <f>230443878/10^6</f>
        <v>230.44387800000001</v>
      </c>
      <c r="H458">
        <f>0</f>
        <v>0</v>
      </c>
      <c r="I458">
        <f>-4267569/10^5</f>
        <v>-42.675690000000003</v>
      </c>
      <c r="J458">
        <f>0</f>
        <v>0</v>
      </c>
    </row>
    <row r="459" spans="1:10" x14ac:dyDescent="0.25">
      <c r="A459" t="s">
        <v>468</v>
      </c>
      <c r="B459" t="s">
        <v>11</v>
      </c>
      <c r="C459">
        <v>115.4424375</v>
      </c>
      <c r="D459">
        <f>0</f>
        <v>0</v>
      </c>
      <c r="E459">
        <f>680718445/10^6</f>
        <v>680.71844499999997</v>
      </c>
      <c r="F459">
        <f>0</f>
        <v>0</v>
      </c>
      <c r="G459">
        <f>230562653/10^6</f>
        <v>230.56265300000001</v>
      </c>
      <c r="H459">
        <f>0</f>
        <v>0</v>
      </c>
      <c r="I459">
        <f>-42499546/10^6</f>
        <v>-42.499546000000002</v>
      </c>
      <c r="J459">
        <f>0</f>
        <v>0</v>
      </c>
    </row>
    <row r="460" spans="1:10" x14ac:dyDescent="0.25">
      <c r="A460" t="s">
        <v>469</v>
      </c>
      <c r="B460" t="s">
        <v>11</v>
      </c>
      <c r="C460">
        <v>115.714117188</v>
      </c>
      <c r="D460">
        <f>0</f>
        <v>0</v>
      </c>
      <c r="E460">
        <f>679423401/10^6</f>
        <v>679.42340100000001</v>
      </c>
      <c r="F460">
        <f>0</f>
        <v>0</v>
      </c>
      <c r="G460">
        <f>230655518/10^6</f>
        <v>230.655518</v>
      </c>
      <c r="H460">
        <f>0</f>
        <v>0</v>
      </c>
      <c r="I460">
        <f>-42512199/10^6</f>
        <v>-42.512199000000003</v>
      </c>
      <c r="J460">
        <f>0</f>
        <v>0</v>
      </c>
    </row>
    <row r="461" spans="1:10" x14ac:dyDescent="0.25">
      <c r="A461" t="s">
        <v>470</v>
      </c>
      <c r="B461" t="s">
        <v>11</v>
      </c>
      <c r="C461">
        <v>116.024726563</v>
      </c>
      <c r="D461">
        <f>0</f>
        <v>0</v>
      </c>
      <c r="E461">
        <f>67774939/10^5</f>
        <v>677.74938999999995</v>
      </c>
      <c r="F461">
        <f>0</f>
        <v>0</v>
      </c>
      <c r="G461">
        <f>230733749/10^6</f>
        <v>230.73374899999999</v>
      </c>
      <c r="H461">
        <f>0</f>
        <v>0</v>
      </c>
      <c r="I461">
        <f>-42422855/10^6</f>
        <v>-42.422854999999998</v>
      </c>
      <c r="J461">
        <f>0</f>
        <v>0</v>
      </c>
    </row>
    <row r="462" spans="1:10" x14ac:dyDescent="0.25">
      <c r="A462" t="s">
        <v>471</v>
      </c>
      <c r="B462" t="s">
        <v>11</v>
      </c>
      <c r="C462">
        <v>116.45015625000001</v>
      </c>
      <c r="D462">
        <f>0</f>
        <v>0</v>
      </c>
      <c r="E462">
        <f>674997314/10^6</f>
        <v>674.99731399999996</v>
      </c>
      <c r="F462">
        <f>0</f>
        <v>0</v>
      </c>
      <c r="G462">
        <f>230789261/10^6</f>
        <v>230.78926100000001</v>
      </c>
      <c r="H462">
        <f>0</f>
        <v>0</v>
      </c>
      <c r="I462">
        <f>-41875278/10^6</f>
        <v>-41.875278000000002</v>
      </c>
      <c r="J462">
        <f>0</f>
        <v>0</v>
      </c>
    </row>
    <row r="463" spans="1:10" x14ac:dyDescent="0.25">
      <c r="A463" t="s">
        <v>472</v>
      </c>
      <c r="B463" t="s">
        <v>11</v>
      </c>
      <c r="C463">
        <v>116.991140625</v>
      </c>
      <c r="D463">
        <f>0</f>
        <v>0</v>
      </c>
      <c r="E463">
        <f>671880493/10^6</f>
        <v>671.880493</v>
      </c>
      <c r="F463">
        <f>0</f>
        <v>0</v>
      </c>
      <c r="G463">
        <f>230863937/10^6</f>
        <v>230.86393699999999</v>
      </c>
      <c r="H463">
        <f>0</f>
        <v>0</v>
      </c>
      <c r="I463">
        <f>-41603615/10^6</f>
        <v>-41.603614999999998</v>
      </c>
      <c r="J463">
        <f>0</f>
        <v>0</v>
      </c>
    </row>
    <row r="464" spans="1:10" x14ac:dyDescent="0.25">
      <c r="A464" t="s">
        <v>473</v>
      </c>
      <c r="B464" t="s">
        <v>11</v>
      </c>
      <c r="C464">
        <v>117.61433593800001</v>
      </c>
      <c r="D464">
        <f>0</f>
        <v>0</v>
      </c>
      <c r="E464">
        <f>668590332/10^6</f>
        <v>668.59033199999999</v>
      </c>
      <c r="F464">
        <f>0</f>
        <v>0</v>
      </c>
      <c r="G464">
        <f>230951553/10^6</f>
        <v>230.95155299999999</v>
      </c>
      <c r="H464">
        <f>0</f>
        <v>0</v>
      </c>
      <c r="I464">
        <f>-41661873/10^6</f>
        <v>-41.661873</v>
      </c>
      <c r="J464">
        <f>0</f>
        <v>0</v>
      </c>
    </row>
    <row r="465" spans="1:10" x14ac:dyDescent="0.25">
      <c r="A465" t="s">
        <v>474</v>
      </c>
      <c r="B465" t="s">
        <v>11</v>
      </c>
      <c r="C465">
        <v>118.31227343800001</v>
      </c>
      <c r="D465">
        <f>0</f>
        <v>0</v>
      </c>
      <c r="E465">
        <f>664713562/10^6</f>
        <v>664.71356200000002</v>
      </c>
      <c r="F465">
        <f>0</f>
        <v>0</v>
      </c>
      <c r="G465">
        <f>231045883/10^6</f>
        <v>231.045883</v>
      </c>
      <c r="H465">
        <f>0</f>
        <v>0</v>
      </c>
      <c r="I465">
        <f>-41321007/10^6</f>
        <v>-41.321007000000002</v>
      </c>
      <c r="J465">
        <f>0</f>
        <v>0</v>
      </c>
    </row>
    <row r="466" spans="1:10" x14ac:dyDescent="0.25">
      <c r="A466" t="s">
        <v>475</v>
      </c>
      <c r="B466" t="s">
        <v>11</v>
      </c>
      <c r="C466">
        <v>119.07501562500001</v>
      </c>
      <c r="D466">
        <f>0</f>
        <v>0</v>
      </c>
      <c r="E466">
        <f>660215332/10^6</f>
        <v>660.21533199999999</v>
      </c>
      <c r="F466">
        <f>0</f>
        <v>0</v>
      </c>
      <c r="G466">
        <f>231131714/10^6</f>
        <v>231.13171399999999</v>
      </c>
      <c r="H466">
        <f>0</f>
        <v>0</v>
      </c>
      <c r="I466">
        <f>-4067112/10^5</f>
        <v>-40.671120000000002</v>
      </c>
      <c r="J466">
        <f>0</f>
        <v>0</v>
      </c>
    </row>
    <row r="467" spans="1:10" x14ac:dyDescent="0.25">
      <c r="A467" t="s">
        <v>476</v>
      </c>
      <c r="B467" t="s">
        <v>11</v>
      </c>
      <c r="C467">
        <v>119.86815625</v>
      </c>
      <c r="D467">
        <f>0</f>
        <v>0</v>
      </c>
      <c r="E467">
        <f>655587463/10^6</f>
        <v>655.58746299999996</v>
      </c>
      <c r="F467">
        <f>0</f>
        <v>0</v>
      </c>
      <c r="G467">
        <f>231201523/10^6</f>
        <v>231.20152300000001</v>
      </c>
      <c r="H467">
        <f>0</f>
        <v>0</v>
      </c>
      <c r="I467">
        <f>-39996296/10^6</f>
        <v>-39.996296000000001</v>
      </c>
      <c r="J467">
        <f>0</f>
        <v>0</v>
      </c>
    </row>
    <row r="468" spans="1:10" x14ac:dyDescent="0.25">
      <c r="A468" t="s">
        <v>477</v>
      </c>
      <c r="B468" t="s">
        <v>11</v>
      </c>
      <c r="C468">
        <v>120.63365625</v>
      </c>
      <c r="D468">
        <f>0</f>
        <v>0</v>
      </c>
      <c r="E468">
        <f>651362549/10^6</f>
        <v>651.36254899999994</v>
      </c>
      <c r="F468">
        <f>0</f>
        <v>0</v>
      </c>
      <c r="G468">
        <f>231245834/10^6</f>
        <v>231.245834</v>
      </c>
      <c r="H468">
        <f>0</f>
        <v>0</v>
      </c>
      <c r="I468">
        <f>-39680199/10^6</f>
        <v>-39.680199000000002</v>
      </c>
      <c r="J468">
        <f>0</f>
        <v>0</v>
      </c>
    </row>
    <row r="469" spans="1:10" x14ac:dyDescent="0.25">
      <c r="A469" t="s">
        <v>478</v>
      </c>
      <c r="B469" t="s">
        <v>11</v>
      </c>
      <c r="C469">
        <v>121.25934375</v>
      </c>
      <c r="D469">
        <f>0</f>
        <v>0</v>
      </c>
      <c r="E469">
        <f>647610168/10^6</f>
        <v>647.61016800000004</v>
      </c>
      <c r="F469">
        <f>0</f>
        <v>0</v>
      </c>
      <c r="G469">
        <f>231264862/10^6</f>
        <v>231.26486199999999</v>
      </c>
      <c r="H469">
        <f>0</f>
        <v>0</v>
      </c>
      <c r="I469">
        <f>-39188473/10^6</f>
        <v>-39.188473000000002</v>
      </c>
      <c r="J469">
        <f>0</f>
        <v>0</v>
      </c>
    </row>
    <row r="470" spans="1:10" x14ac:dyDescent="0.25">
      <c r="A470" t="s">
        <v>479</v>
      </c>
      <c r="B470" t="s">
        <v>11</v>
      </c>
      <c r="C470">
        <v>121.655</v>
      </c>
      <c r="D470">
        <f>0</f>
        <v>0</v>
      </c>
      <c r="E470">
        <f>645186707/10^6</f>
        <v>645.18670699999996</v>
      </c>
      <c r="F470">
        <f>0</f>
        <v>0</v>
      </c>
      <c r="G470">
        <f>231297211/10^6</f>
        <v>231.297211</v>
      </c>
      <c r="H470">
        <f>0</f>
        <v>0</v>
      </c>
      <c r="I470">
        <f>-38692577/10^6</f>
        <v>-38.692577</v>
      </c>
      <c r="J470">
        <f>0</f>
        <v>0</v>
      </c>
    </row>
    <row r="471" spans="1:10" x14ac:dyDescent="0.25">
      <c r="A471" t="s">
        <v>480</v>
      </c>
      <c r="B471" t="s">
        <v>11</v>
      </c>
      <c r="C471">
        <v>121.839164063</v>
      </c>
      <c r="D471">
        <f>0</f>
        <v>0</v>
      </c>
      <c r="E471">
        <f>644406494/10^6</f>
        <v>644.40649399999995</v>
      </c>
      <c r="F471">
        <f>0</f>
        <v>0</v>
      </c>
      <c r="G471">
        <f>231341583/10^6</f>
        <v>231.34158300000001</v>
      </c>
      <c r="H471">
        <f>0</f>
        <v>0</v>
      </c>
      <c r="I471">
        <f>-38749008/10^6</f>
        <v>-38.749008000000003</v>
      </c>
      <c r="J471">
        <f>0</f>
        <v>0</v>
      </c>
    </row>
    <row r="472" spans="1:10" x14ac:dyDescent="0.25">
      <c r="A472" t="s">
        <v>481</v>
      </c>
      <c r="B472" t="s">
        <v>11</v>
      </c>
      <c r="C472">
        <v>121.90972656300001</v>
      </c>
      <c r="D472">
        <f>0</f>
        <v>0</v>
      </c>
      <c r="E472">
        <f>644179688/10^6</f>
        <v>644.17968800000006</v>
      </c>
      <c r="F472">
        <f>0</f>
        <v>0</v>
      </c>
      <c r="G472">
        <f>231389633/10^6</f>
        <v>231.389633</v>
      </c>
      <c r="H472">
        <f>0</f>
        <v>0</v>
      </c>
      <c r="I472">
        <f>-38643829/10^6</f>
        <v>-38.643828999999997</v>
      </c>
      <c r="J472">
        <f>0</f>
        <v>0</v>
      </c>
    </row>
    <row r="473" spans="1:10" x14ac:dyDescent="0.25">
      <c r="A473" t="s">
        <v>482</v>
      </c>
      <c r="B473" t="s">
        <v>11</v>
      </c>
      <c r="C473">
        <v>121.96749218800001</v>
      </c>
      <c r="D473">
        <f>0</f>
        <v>0</v>
      </c>
      <c r="E473">
        <f>64388208/10^5</f>
        <v>643.88207999999997</v>
      </c>
      <c r="F473">
        <f>0</f>
        <v>0</v>
      </c>
      <c r="G473">
        <f>231440308/10^6</f>
        <v>231.44030799999999</v>
      </c>
      <c r="H473">
        <f>0</f>
        <v>0</v>
      </c>
      <c r="I473">
        <f>-3838752/10^5</f>
        <v>-38.387520000000002</v>
      </c>
      <c r="J473">
        <f>0</f>
        <v>0</v>
      </c>
    </row>
    <row r="474" spans="1:10" x14ac:dyDescent="0.25">
      <c r="A474" t="s">
        <v>483</v>
      </c>
      <c r="B474" t="s">
        <v>11</v>
      </c>
      <c r="C474">
        <v>0</v>
      </c>
      <c r="D474">
        <f>2</f>
        <v>2</v>
      </c>
      <c r="F474">
        <f>2</f>
        <v>2</v>
      </c>
      <c r="H474">
        <f>2</f>
        <v>2</v>
      </c>
      <c r="J474">
        <f>2</f>
        <v>2</v>
      </c>
    </row>
    <row r="475" spans="1:10" x14ac:dyDescent="0.25">
      <c r="A475" t="s">
        <v>484</v>
      </c>
      <c r="B475" t="s">
        <v>11</v>
      </c>
      <c r="C475">
        <v>122.011734375</v>
      </c>
      <c r="D475">
        <f>0</f>
        <v>0</v>
      </c>
      <c r="E475">
        <f>64396106/10^5</f>
        <v>643.96105999999997</v>
      </c>
      <c r="F475">
        <f>0</f>
        <v>0</v>
      </c>
      <c r="G475">
        <f>231510452/10^6</f>
        <v>231.51045199999999</v>
      </c>
      <c r="H475">
        <f>0</f>
        <v>0</v>
      </c>
      <c r="I475">
        <f>-38639137/10^6</f>
        <v>-38.639136999999998</v>
      </c>
      <c r="J475">
        <f>0</f>
        <v>0</v>
      </c>
    </row>
    <row r="476" spans="1:10" x14ac:dyDescent="0.25">
      <c r="A476" t="s">
        <v>485</v>
      </c>
      <c r="B476" t="s">
        <v>11</v>
      </c>
      <c r="C476">
        <v>121.970078125</v>
      </c>
      <c r="D476">
        <f>0</f>
        <v>0</v>
      </c>
      <c r="E476">
        <f>644341553/10^6</f>
        <v>644.34155299999998</v>
      </c>
      <c r="F476">
        <f>0</f>
        <v>0</v>
      </c>
      <c r="G476">
        <f>231536118/10^6</f>
        <v>231.53611799999999</v>
      </c>
      <c r="H476">
        <f>0</f>
        <v>0</v>
      </c>
      <c r="I476">
        <f>-38702637/10^6</f>
        <v>-38.702637000000003</v>
      </c>
      <c r="J476">
        <f>0</f>
        <v>0</v>
      </c>
    </row>
    <row r="477" spans="1:10" x14ac:dyDescent="0.25">
      <c r="A477" t="s">
        <v>486</v>
      </c>
      <c r="B477" t="s">
        <v>11</v>
      </c>
      <c r="C477">
        <v>121.88902343800001</v>
      </c>
      <c r="D477">
        <f>0</f>
        <v>0</v>
      </c>
      <c r="E477">
        <f>644722534/10^6</f>
        <v>644.722534</v>
      </c>
      <c r="F477">
        <f>0</f>
        <v>0</v>
      </c>
      <c r="G477">
        <f>231547134/10^6</f>
        <v>231.547134</v>
      </c>
      <c r="H477">
        <f>0</f>
        <v>0</v>
      </c>
      <c r="I477">
        <f>-38512177/10^6</f>
        <v>-38.512177000000001</v>
      </c>
      <c r="J477">
        <f>0</f>
        <v>0</v>
      </c>
    </row>
    <row r="478" spans="1:10" x14ac:dyDescent="0.25">
      <c r="A478" t="s">
        <v>487</v>
      </c>
      <c r="B478" t="s">
        <v>11</v>
      </c>
      <c r="C478">
        <v>121.765742188</v>
      </c>
      <c r="D478">
        <f>0</f>
        <v>0</v>
      </c>
      <c r="E478">
        <f>64533551/10^5</f>
        <v>645.33551</v>
      </c>
      <c r="F478">
        <f>0</f>
        <v>0</v>
      </c>
      <c r="G478">
        <f>231544067/10^6</f>
        <v>231.54406700000001</v>
      </c>
      <c r="H478">
        <f>0</f>
        <v>0</v>
      </c>
      <c r="I478">
        <f>-38400291/10^6</f>
        <v>-38.400291000000003</v>
      </c>
      <c r="J478">
        <f>0</f>
        <v>0</v>
      </c>
    </row>
    <row r="479" spans="1:10" x14ac:dyDescent="0.25">
      <c r="A479" t="s">
        <v>488</v>
      </c>
      <c r="B479" t="s">
        <v>11</v>
      </c>
      <c r="C479">
        <v>121.607703125</v>
      </c>
      <c r="D479">
        <f>0</f>
        <v>0</v>
      </c>
      <c r="E479">
        <f>646345947/10^6</f>
        <v>646.34594700000002</v>
      </c>
      <c r="F479">
        <f>0</f>
        <v>0</v>
      </c>
      <c r="G479">
        <f>231534134/10^6</f>
        <v>231.53413399999999</v>
      </c>
      <c r="H479">
        <f>0</f>
        <v>0</v>
      </c>
      <c r="I479">
        <f>-38675304/10^6</f>
        <v>-38.675303999999997</v>
      </c>
      <c r="J479">
        <f>0</f>
        <v>0</v>
      </c>
    </row>
    <row r="480" spans="1:10" x14ac:dyDescent="0.25">
      <c r="A480" t="s">
        <v>489</v>
      </c>
      <c r="B480" t="s">
        <v>11</v>
      </c>
      <c r="C480">
        <v>121.418890625</v>
      </c>
      <c r="D480">
        <f>0</f>
        <v>0</v>
      </c>
      <c r="E480">
        <f>647470947/10^6</f>
        <v>647.47094700000002</v>
      </c>
      <c r="F480">
        <f>0</f>
        <v>0</v>
      </c>
      <c r="G480">
        <f>231512894/10^6</f>
        <v>231.51289399999999</v>
      </c>
      <c r="H480">
        <f>0</f>
        <v>0</v>
      </c>
      <c r="I480">
        <f>-38896847/10^6</f>
        <v>-38.896847000000001</v>
      </c>
      <c r="J480">
        <f>0</f>
        <v>0</v>
      </c>
    </row>
    <row r="481" spans="1:10" x14ac:dyDescent="0.25">
      <c r="A481" t="s">
        <v>490</v>
      </c>
      <c r="B481" t="s">
        <v>11</v>
      </c>
      <c r="C481">
        <v>121.210234375</v>
      </c>
      <c r="D481">
        <f>0</f>
        <v>0</v>
      </c>
      <c r="E481">
        <f>648556946/10^6</f>
        <v>648.55694600000004</v>
      </c>
      <c r="F481">
        <f>0</f>
        <v>0</v>
      </c>
      <c r="G481">
        <f>231483017/10^6</f>
        <v>231.48301699999999</v>
      </c>
      <c r="H481">
        <f>0</f>
        <v>0</v>
      </c>
      <c r="I481">
        <f>-38797501/10^6</f>
        <v>-38.797500999999997</v>
      </c>
      <c r="J481">
        <f>0</f>
        <v>0</v>
      </c>
    </row>
    <row r="482" spans="1:10" x14ac:dyDescent="0.25">
      <c r="A482" t="s">
        <v>491</v>
      </c>
      <c r="B482" t="s">
        <v>11</v>
      </c>
      <c r="C482">
        <v>0</v>
      </c>
      <c r="D482">
        <f>2</f>
        <v>2</v>
      </c>
      <c r="F482">
        <f>2</f>
        <v>2</v>
      </c>
      <c r="H482">
        <f>2</f>
        <v>2</v>
      </c>
      <c r="J482">
        <f>2</f>
        <v>2</v>
      </c>
    </row>
    <row r="483" spans="1:10" x14ac:dyDescent="0.25">
      <c r="A483" t="s">
        <v>492</v>
      </c>
      <c r="B483" t="s">
        <v>11</v>
      </c>
      <c r="C483">
        <v>120.708320313</v>
      </c>
      <c r="D483">
        <f>0</f>
        <v>0</v>
      </c>
      <c r="E483">
        <f>651110168/10^6</f>
        <v>651.11016800000004</v>
      </c>
      <c r="F483">
        <f>0</f>
        <v>0</v>
      </c>
      <c r="G483">
        <f>231407257/10^6</f>
        <v>231.40725699999999</v>
      </c>
      <c r="H483">
        <f>0</f>
        <v>0</v>
      </c>
      <c r="I483">
        <f>-38865585/10^6</f>
        <v>-38.865585000000003</v>
      </c>
      <c r="J483">
        <f>0</f>
        <v>0</v>
      </c>
    </row>
    <row r="484" spans="1:10" x14ac:dyDescent="0.25">
      <c r="A484" t="s">
        <v>493</v>
      </c>
      <c r="B484" t="s">
        <v>11</v>
      </c>
      <c r="C484">
        <v>120.42759375</v>
      </c>
      <c r="D484">
        <f>0</f>
        <v>0</v>
      </c>
      <c r="E484">
        <f>65277301/10^5</f>
        <v>652.77301</v>
      </c>
      <c r="F484">
        <f>0</f>
        <v>0</v>
      </c>
      <c r="G484">
        <f>231367157/10^6</f>
        <v>231.36715699999999</v>
      </c>
      <c r="H484">
        <f>0</f>
        <v>0</v>
      </c>
      <c r="I484">
        <f>-39155373/10^6</f>
        <v>-39.155372999999997</v>
      </c>
      <c r="J484">
        <f>0</f>
        <v>0</v>
      </c>
    </row>
    <row r="485" spans="1:10" x14ac:dyDescent="0.25">
      <c r="A485" t="s">
        <v>494</v>
      </c>
      <c r="B485" t="s">
        <v>11</v>
      </c>
      <c r="C485">
        <v>120.15332031300001</v>
      </c>
      <c r="D485">
        <f>0</f>
        <v>0</v>
      </c>
      <c r="E485">
        <f>654204041/10^6</f>
        <v>654.20404099999996</v>
      </c>
      <c r="F485">
        <f>0</f>
        <v>0</v>
      </c>
      <c r="G485">
        <f>231323486/10^6</f>
        <v>231.323486</v>
      </c>
      <c r="H485">
        <f>0</f>
        <v>0</v>
      </c>
      <c r="I485">
        <f>-39220673/10^6</f>
        <v>-39.220672999999998</v>
      </c>
      <c r="J485">
        <f>0</f>
        <v>0</v>
      </c>
    </row>
    <row r="486" spans="1:10" x14ac:dyDescent="0.25">
      <c r="A486" t="s">
        <v>495</v>
      </c>
      <c r="B486" t="s">
        <v>11</v>
      </c>
      <c r="C486">
        <v>119.894148438</v>
      </c>
      <c r="D486">
        <f>0</f>
        <v>0</v>
      </c>
      <c r="E486">
        <f>655516663/10^6</f>
        <v>655.51666299999999</v>
      </c>
      <c r="F486">
        <f>0</f>
        <v>0</v>
      </c>
      <c r="G486">
        <f>231277908/10^6</f>
        <v>231.277908</v>
      </c>
      <c r="H486">
        <f>0</f>
        <v>0</v>
      </c>
      <c r="I486">
        <f>-39313671/10^6</f>
        <v>-39.313670999999999</v>
      </c>
      <c r="J486">
        <f>0</f>
        <v>0</v>
      </c>
    </row>
    <row r="487" spans="1:10" x14ac:dyDescent="0.25">
      <c r="A487" t="s">
        <v>496</v>
      </c>
      <c r="B487" t="s">
        <v>11</v>
      </c>
      <c r="C487">
        <v>119.66303125</v>
      </c>
      <c r="D487">
        <f>0</f>
        <v>0</v>
      </c>
      <c r="E487">
        <f>656854919/10^6</f>
        <v>656.854919</v>
      </c>
      <c r="F487">
        <f>0</f>
        <v>0</v>
      </c>
      <c r="G487">
        <f>231237885/10^6</f>
        <v>231.23788500000001</v>
      </c>
      <c r="H487">
        <f>0</f>
        <v>0</v>
      </c>
      <c r="I487">
        <f>-395728/10^4</f>
        <v>-39.572800000000001</v>
      </c>
      <c r="J487">
        <f>0</f>
        <v>0</v>
      </c>
    </row>
    <row r="488" spans="1:10" x14ac:dyDescent="0.25">
      <c r="A488" t="s">
        <v>497</v>
      </c>
      <c r="B488" t="s">
        <v>11</v>
      </c>
      <c r="C488">
        <v>119.45257031300001</v>
      </c>
      <c r="D488">
        <f>0</f>
        <v>0</v>
      </c>
      <c r="E488">
        <f>658105042/10^6</f>
        <v>658.10504200000003</v>
      </c>
      <c r="F488">
        <f>0</f>
        <v>0</v>
      </c>
      <c r="G488">
        <f>231205963/10^6</f>
        <v>231.205963</v>
      </c>
      <c r="H488">
        <f>0</f>
        <v>0</v>
      </c>
      <c r="I488">
        <f>-39773048/10^6</f>
        <v>-39.773048000000003</v>
      </c>
      <c r="J488">
        <f>0</f>
        <v>0</v>
      </c>
    </row>
    <row r="489" spans="1:10" x14ac:dyDescent="0.25">
      <c r="A489" t="s">
        <v>498</v>
      </c>
      <c r="B489" t="s">
        <v>11</v>
      </c>
      <c r="C489">
        <v>119.24427343800001</v>
      </c>
      <c r="D489">
        <f>0</f>
        <v>0</v>
      </c>
      <c r="E489">
        <f>659198608/10^6</f>
        <v>659.19860800000004</v>
      </c>
      <c r="F489">
        <f>0</f>
        <v>0</v>
      </c>
      <c r="G489">
        <f>231178268/10^6</f>
        <v>231.178268</v>
      </c>
      <c r="H489">
        <f>0</f>
        <v>0</v>
      </c>
      <c r="I489">
        <f>-39769897/10^6</f>
        <v>-39.769897</v>
      </c>
      <c r="J489">
        <f>0</f>
        <v>0</v>
      </c>
    </row>
    <row r="490" spans="1:10" x14ac:dyDescent="0.25">
      <c r="A490" t="s">
        <v>499</v>
      </c>
      <c r="B490" t="s">
        <v>11</v>
      </c>
      <c r="C490">
        <v>119.05963281300001</v>
      </c>
      <c r="D490">
        <f>0</f>
        <v>0</v>
      </c>
      <c r="E490">
        <f>659999939/10^6</f>
        <v>659.99993900000004</v>
      </c>
      <c r="F490">
        <f>0</f>
        <v>0</v>
      </c>
      <c r="G490">
        <f>231143814/10^6</f>
        <v>231.14381399999999</v>
      </c>
      <c r="H490">
        <f>0</f>
        <v>0</v>
      </c>
      <c r="I490">
        <f>-39587532/10^6</f>
        <v>-39.587532000000003</v>
      </c>
      <c r="J490">
        <f>0</f>
        <v>0</v>
      </c>
    </row>
    <row r="491" spans="1:10" x14ac:dyDescent="0.25">
      <c r="A491" t="s">
        <v>500</v>
      </c>
      <c r="B491" t="s">
        <v>11</v>
      </c>
      <c r="C491">
        <v>118.88775781300001</v>
      </c>
      <c r="D491">
        <f>0</f>
        <v>0</v>
      </c>
      <c r="E491">
        <f>660941528/10^6</f>
        <v>660.94152799999995</v>
      </c>
      <c r="F491">
        <f>0</f>
        <v>0</v>
      </c>
      <c r="G491">
        <f>231110062/10^6</f>
        <v>231.110062</v>
      </c>
      <c r="H491">
        <f>0</f>
        <v>0</v>
      </c>
      <c r="I491">
        <f>-39819561/10^6</f>
        <v>-39.819561</v>
      </c>
      <c r="J491">
        <f>0</f>
        <v>0</v>
      </c>
    </row>
    <row r="492" spans="1:10" x14ac:dyDescent="0.25">
      <c r="A492" t="s">
        <v>501</v>
      </c>
      <c r="B492" t="s">
        <v>11</v>
      </c>
      <c r="C492">
        <v>118.70067968800001</v>
      </c>
      <c r="D492">
        <f>0</f>
        <v>0</v>
      </c>
      <c r="E492">
        <f>662183777/10^6</f>
        <v>662.18377699999996</v>
      </c>
      <c r="F492">
        <f>0</f>
        <v>0</v>
      </c>
      <c r="G492">
        <f>231094101/10^6</f>
        <v>231.09410099999999</v>
      </c>
      <c r="H492">
        <f>0</f>
        <v>0</v>
      </c>
      <c r="I492">
        <f>-40297729/10^6</f>
        <v>-40.297728999999997</v>
      </c>
      <c r="J492">
        <f>0</f>
        <v>0</v>
      </c>
    </row>
    <row r="493" spans="1:10" x14ac:dyDescent="0.25">
      <c r="A493" t="s">
        <v>502</v>
      </c>
      <c r="B493" t="s">
        <v>11</v>
      </c>
      <c r="C493">
        <v>118.51915624999999</v>
      </c>
      <c r="D493">
        <f>0</f>
        <v>0</v>
      </c>
      <c r="E493">
        <f>663232605/10^6</f>
        <v>663.23260500000004</v>
      </c>
      <c r="F493">
        <f>0</f>
        <v>0</v>
      </c>
      <c r="G493">
        <f>231079697/10^6</f>
        <v>231.07969700000001</v>
      </c>
      <c r="H493">
        <f>0</f>
        <v>0</v>
      </c>
      <c r="I493">
        <f>-402598/10^4</f>
        <v>-40.259799999999998</v>
      </c>
      <c r="J493">
        <f>0</f>
        <v>0</v>
      </c>
    </row>
    <row r="494" spans="1:10" x14ac:dyDescent="0.25">
      <c r="A494" t="s">
        <v>503</v>
      </c>
      <c r="B494" t="s">
        <v>11</v>
      </c>
      <c r="C494">
        <v>118.348921875</v>
      </c>
      <c r="D494">
        <f>0</f>
        <v>0</v>
      </c>
      <c r="E494">
        <f>664200134/10^6</f>
        <v>664.20013400000005</v>
      </c>
      <c r="F494">
        <f>0</f>
        <v>0</v>
      </c>
      <c r="G494">
        <f>231057358/10^6</f>
        <v>231.05735799999999</v>
      </c>
      <c r="H494">
        <f>0</f>
        <v>0</v>
      </c>
      <c r="I494">
        <f>-40278/10^3</f>
        <v>-40.277999999999999</v>
      </c>
      <c r="J494">
        <f>0</f>
        <v>0</v>
      </c>
    </row>
    <row r="495" spans="1:10" x14ac:dyDescent="0.25">
      <c r="A495" t="s">
        <v>504</v>
      </c>
      <c r="B495" t="s">
        <v>11</v>
      </c>
      <c r="C495">
        <v>0</v>
      </c>
      <c r="D495">
        <f>2</f>
        <v>2</v>
      </c>
      <c r="F495">
        <f>2</f>
        <v>2</v>
      </c>
      <c r="H495">
        <f>2</f>
        <v>2</v>
      </c>
      <c r="J495">
        <f>2</f>
        <v>2</v>
      </c>
    </row>
    <row r="496" spans="1:10" x14ac:dyDescent="0.25">
      <c r="A496" t="s">
        <v>505</v>
      </c>
      <c r="B496" t="s">
        <v>11</v>
      </c>
      <c r="C496">
        <v>118.06507031300001</v>
      </c>
      <c r="D496">
        <f>0</f>
        <v>0</v>
      </c>
      <c r="E496">
        <f>665822571/10^6</f>
        <v>665.82257100000004</v>
      </c>
      <c r="F496">
        <f>0</f>
        <v>0</v>
      </c>
      <c r="G496">
        <f>231034958/10^6</f>
        <v>231.03495799999999</v>
      </c>
      <c r="H496">
        <f>0</f>
        <v>0</v>
      </c>
      <c r="I496">
        <f>-40703136/10^6</f>
        <v>-40.703136000000001</v>
      </c>
      <c r="J496">
        <f>0</f>
        <v>0</v>
      </c>
    </row>
    <row r="497" spans="1:10" x14ac:dyDescent="0.25">
      <c r="A497" t="s">
        <v>506</v>
      </c>
      <c r="B497" t="s">
        <v>11</v>
      </c>
      <c r="C497">
        <v>117.97673437500001</v>
      </c>
      <c r="D497">
        <f>0</f>
        <v>0</v>
      </c>
      <c r="E497">
        <f>666363892/10^6</f>
        <v>666.36389199999996</v>
      </c>
      <c r="F497">
        <f>0</f>
        <v>0</v>
      </c>
      <c r="G497">
        <f>231021896/10^6</f>
        <v>231.021896</v>
      </c>
      <c r="H497">
        <f>0</f>
        <v>0</v>
      </c>
      <c r="I497">
        <f>-40688065/10^6</f>
        <v>-40.688065000000002</v>
      </c>
      <c r="J497">
        <f>0</f>
        <v>0</v>
      </c>
    </row>
    <row r="498" spans="1:10" x14ac:dyDescent="0.25">
      <c r="A498" t="s">
        <v>507</v>
      </c>
      <c r="B498" t="s">
        <v>11</v>
      </c>
      <c r="C498">
        <v>117.89711718800001</v>
      </c>
      <c r="D498">
        <f>0</f>
        <v>0</v>
      </c>
      <c r="E498">
        <f>666831238/10^6</f>
        <v>666.83123799999998</v>
      </c>
      <c r="F498">
        <f>0</f>
        <v>0</v>
      </c>
      <c r="G498">
        <f>231023849/10^6</f>
        <v>231.02384900000001</v>
      </c>
      <c r="H498">
        <f>0</f>
        <v>0</v>
      </c>
      <c r="I498">
        <f>-40702358/10^6</f>
        <v>-40.702357999999997</v>
      </c>
      <c r="J498">
        <f>0</f>
        <v>0</v>
      </c>
    </row>
    <row r="499" spans="1:10" x14ac:dyDescent="0.25">
      <c r="A499" t="s">
        <v>508</v>
      </c>
      <c r="B499" t="s">
        <v>11</v>
      </c>
      <c r="C499">
        <v>117.793632813</v>
      </c>
      <c r="D499">
        <f>0</f>
        <v>0</v>
      </c>
      <c r="E499">
        <f>667442566/10^6</f>
        <v>667.44256600000006</v>
      </c>
      <c r="F499">
        <f>0</f>
        <v>0</v>
      </c>
      <c r="G499">
        <f>231017532/10^6</f>
        <v>231.01753199999999</v>
      </c>
      <c r="H499">
        <f>0</f>
        <v>0</v>
      </c>
      <c r="I499">
        <f>-40777554/10^6</f>
        <v>-40.777554000000002</v>
      </c>
      <c r="J499">
        <f>0</f>
        <v>0</v>
      </c>
    </row>
    <row r="500" spans="1:10" x14ac:dyDescent="0.25">
      <c r="A500" t="s">
        <v>509</v>
      </c>
      <c r="B500" t="s">
        <v>11</v>
      </c>
      <c r="C500">
        <v>117.66321093800001</v>
      </c>
      <c r="D500">
        <f>0</f>
        <v>0</v>
      </c>
      <c r="E500">
        <f>668333496/10^6</f>
        <v>668.33349599999997</v>
      </c>
      <c r="F500">
        <f>0</f>
        <v>0</v>
      </c>
      <c r="G500">
        <f>231013824/10^6</f>
        <v>231.013824</v>
      </c>
      <c r="H500">
        <f>0</f>
        <v>0</v>
      </c>
      <c r="I500">
        <f>-41014584/10^6</f>
        <v>-41.014583999999999</v>
      </c>
      <c r="J500">
        <f>0</f>
        <v>0</v>
      </c>
    </row>
    <row r="501" spans="1:10" x14ac:dyDescent="0.25">
      <c r="A501" t="s">
        <v>510</v>
      </c>
      <c r="B501" t="s">
        <v>11</v>
      </c>
      <c r="C501">
        <v>117.5216875</v>
      </c>
      <c r="D501">
        <f>0</f>
        <v>0</v>
      </c>
      <c r="E501">
        <f>669093628/10^6</f>
        <v>669.09362799999997</v>
      </c>
      <c r="F501">
        <f>0</f>
        <v>0</v>
      </c>
      <c r="G501">
        <f>231001236/10^6</f>
        <v>231.00123600000001</v>
      </c>
      <c r="H501">
        <f>0</f>
        <v>0</v>
      </c>
      <c r="I501">
        <f>-41015472/10^6</f>
        <v>-41.015472000000003</v>
      </c>
      <c r="J501">
        <f>0</f>
        <v>0</v>
      </c>
    </row>
    <row r="502" spans="1:10" x14ac:dyDescent="0.25">
      <c r="A502" t="s">
        <v>511</v>
      </c>
      <c r="B502" t="s">
        <v>11</v>
      </c>
      <c r="C502">
        <v>117.354265625</v>
      </c>
      <c r="D502">
        <f>0</f>
        <v>0</v>
      </c>
      <c r="E502">
        <f>669975525/10^6</f>
        <v>669.97552499999995</v>
      </c>
      <c r="F502">
        <f>0</f>
        <v>0</v>
      </c>
      <c r="G502">
        <f>230990707/10^6</f>
        <v>230.99070699999999</v>
      </c>
      <c r="H502">
        <f>0</f>
        <v>0</v>
      </c>
      <c r="I502">
        <f>-40917229/10^6</f>
        <v>-40.917228999999999</v>
      </c>
      <c r="J502">
        <f>0</f>
        <v>0</v>
      </c>
    </row>
    <row r="503" spans="1:10" x14ac:dyDescent="0.25">
      <c r="A503" t="s">
        <v>512</v>
      </c>
      <c r="B503" t="s">
        <v>11</v>
      </c>
      <c r="C503">
        <v>117.164585938</v>
      </c>
      <c r="D503">
        <f>0</f>
        <v>0</v>
      </c>
      <c r="E503">
        <f>671110657/10^6</f>
        <v>671.11065699999995</v>
      </c>
      <c r="F503">
        <f>0</f>
        <v>0</v>
      </c>
      <c r="G503">
        <f>230980148/10^6</f>
        <v>230.98014800000001</v>
      </c>
      <c r="H503">
        <f>0</f>
        <v>0</v>
      </c>
      <c r="I503">
        <f>-41086151/10^6</f>
        <v>-41.086151000000001</v>
      </c>
      <c r="J503">
        <f>0</f>
        <v>0</v>
      </c>
    </row>
    <row r="504" spans="1:10" x14ac:dyDescent="0.25">
      <c r="A504" t="s">
        <v>513</v>
      </c>
      <c r="B504" t="s">
        <v>11</v>
      </c>
      <c r="C504">
        <v>116.965703125</v>
      </c>
      <c r="D504">
        <f>0</f>
        <v>0</v>
      </c>
      <c r="E504">
        <f>6722677/10^4</f>
        <v>672.26769999999999</v>
      </c>
      <c r="F504">
        <f>0</f>
        <v>0</v>
      </c>
      <c r="G504">
        <f>230953323/10^6</f>
        <v>230.95332300000001</v>
      </c>
      <c r="H504">
        <f>0</f>
        <v>0</v>
      </c>
      <c r="I504">
        <f>-41180485/10^6</f>
        <v>-41.180484999999997</v>
      </c>
      <c r="J504">
        <f>0</f>
        <v>0</v>
      </c>
    </row>
    <row r="505" spans="1:10" x14ac:dyDescent="0.25">
      <c r="A505" t="s">
        <v>514</v>
      </c>
      <c r="B505" t="s">
        <v>11</v>
      </c>
      <c r="C505">
        <v>116.75675781300001</v>
      </c>
      <c r="D505">
        <f>0</f>
        <v>0</v>
      </c>
      <c r="E505">
        <f>673436401/10^6</f>
        <v>673.43640100000005</v>
      </c>
      <c r="F505">
        <f>0</f>
        <v>0</v>
      </c>
      <c r="G505">
        <f>230923386/10^6</f>
        <v>230.92338599999999</v>
      </c>
      <c r="H505">
        <f>0</f>
        <v>0</v>
      </c>
      <c r="I505">
        <f>-41208672/10^6</f>
        <v>-41.208672</v>
      </c>
      <c r="J505">
        <f>0</f>
        <v>0</v>
      </c>
    </row>
    <row r="506" spans="1:10" x14ac:dyDescent="0.25">
      <c r="A506" t="s">
        <v>515</v>
      </c>
      <c r="B506" t="s">
        <v>11</v>
      </c>
      <c r="C506">
        <v>116.55946874999999</v>
      </c>
      <c r="D506">
        <f>0</f>
        <v>0</v>
      </c>
      <c r="E506">
        <f>674543701/10^6</f>
        <v>674.54370100000006</v>
      </c>
      <c r="F506">
        <f>0</f>
        <v>0</v>
      </c>
      <c r="G506">
        <f>230899796/10^6</f>
        <v>230.89979600000001</v>
      </c>
      <c r="H506">
        <f>0</f>
        <v>0</v>
      </c>
      <c r="I506">
        <f>-41304478/10^6</f>
        <v>-41.304478000000003</v>
      </c>
      <c r="J506">
        <f>0</f>
        <v>0</v>
      </c>
    </row>
    <row r="507" spans="1:10" x14ac:dyDescent="0.25">
      <c r="A507" t="s">
        <v>516</v>
      </c>
      <c r="B507" t="s">
        <v>11</v>
      </c>
      <c r="C507">
        <v>116.346132813</v>
      </c>
      <c r="D507">
        <f>0</f>
        <v>0</v>
      </c>
      <c r="E507">
        <f>675847046/10^6</f>
        <v>675.84704599999998</v>
      </c>
      <c r="F507">
        <f>0</f>
        <v>0</v>
      </c>
      <c r="G507">
        <f>230863312/10^6</f>
        <v>230.86331200000001</v>
      </c>
      <c r="H507">
        <f>0</f>
        <v>0</v>
      </c>
      <c r="I507">
        <f>-41563915/10^6</f>
        <v>-41.563915000000001</v>
      </c>
      <c r="J507">
        <f>0</f>
        <v>0</v>
      </c>
    </row>
    <row r="508" spans="1:10" x14ac:dyDescent="0.25">
      <c r="A508" t="s">
        <v>517</v>
      </c>
      <c r="B508" t="s">
        <v>11</v>
      </c>
      <c r="C508">
        <v>0</v>
      </c>
      <c r="D508">
        <f>2</f>
        <v>2</v>
      </c>
      <c r="F508">
        <f>2</f>
        <v>2</v>
      </c>
      <c r="H508">
        <f>2</f>
        <v>2</v>
      </c>
      <c r="J508">
        <f>2</f>
        <v>2</v>
      </c>
    </row>
    <row r="509" spans="1:10" x14ac:dyDescent="0.25">
      <c r="A509" t="s">
        <v>518</v>
      </c>
      <c r="B509" t="s">
        <v>11</v>
      </c>
      <c r="C509">
        <v>0</v>
      </c>
      <c r="D509">
        <f>2</f>
        <v>2</v>
      </c>
      <c r="F509">
        <f>2</f>
        <v>2</v>
      </c>
      <c r="H509">
        <f>2</f>
        <v>2</v>
      </c>
      <c r="J509">
        <f>2</f>
        <v>2</v>
      </c>
    </row>
    <row r="510" spans="1:10" x14ac:dyDescent="0.25">
      <c r="A510" t="s">
        <v>519</v>
      </c>
      <c r="B510" t="s">
        <v>11</v>
      </c>
      <c r="C510">
        <v>115.613125</v>
      </c>
      <c r="D510">
        <f>0</f>
        <v>0</v>
      </c>
      <c r="E510">
        <f>679985596/10^6</f>
        <v>679.98559599999999</v>
      </c>
      <c r="F510">
        <f>0</f>
        <v>0</v>
      </c>
      <c r="G510">
        <f>230691315/10^6</f>
        <v>230.691315</v>
      </c>
      <c r="H510">
        <f>0</f>
        <v>0</v>
      </c>
      <c r="I510">
        <f>-42335888/10^6</f>
        <v>-42.335887999999997</v>
      </c>
      <c r="J510">
        <f>0</f>
        <v>0</v>
      </c>
    </row>
    <row r="511" spans="1:10" x14ac:dyDescent="0.25">
      <c r="A511" t="s">
        <v>520</v>
      </c>
      <c r="B511" t="s">
        <v>11</v>
      </c>
      <c r="C511">
        <v>115.45775</v>
      </c>
      <c r="D511">
        <f>0</f>
        <v>0</v>
      </c>
      <c r="E511">
        <f>680655762/10^6</f>
        <v>680.65576199999998</v>
      </c>
      <c r="F511">
        <f>0</f>
        <v>0</v>
      </c>
      <c r="G511">
        <f>230582596/10^6</f>
        <v>230.582596</v>
      </c>
      <c r="H511">
        <f>0</f>
        <v>0</v>
      </c>
      <c r="I511">
        <f>-42492554/10^6</f>
        <v>-42.492553999999998</v>
      </c>
      <c r="J511">
        <f>0</f>
        <v>0</v>
      </c>
    </row>
    <row r="512" spans="1:10" x14ac:dyDescent="0.25">
      <c r="A512" t="s">
        <v>521</v>
      </c>
      <c r="B512" t="s">
        <v>11</v>
      </c>
      <c r="C512">
        <v>115.297078125</v>
      </c>
      <c r="D512">
        <f>0</f>
        <v>0</v>
      </c>
      <c r="E512">
        <f>681591003/10^6</f>
        <v>681.591003</v>
      </c>
      <c r="F512">
        <f>0</f>
        <v>0</v>
      </c>
      <c r="G512">
        <f>230550476/10^6</f>
        <v>230.550476</v>
      </c>
      <c r="H512">
        <f>0</f>
        <v>0</v>
      </c>
      <c r="I512">
        <f>-42551731/10^6</f>
        <v>-42.551730999999997</v>
      </c>
      <c r="J512">
        <f>0</f>
        <v>0</v>
      </c>
    </row>
    <row r="513" spans="1:10" x14ac:dyDescent="0.25">
      <c r="A513" t="s">
        <v>522</v>
      </c>
      <c r="B513" t="s">
        <v>11</v>
      </c>
      <c r="C513">
        <v>115.16128125</v>
      </c>
      <c r="D513">
        <f>0</f>
        <v>0</v>
      </c>
      <c r="E513">
        <f>682551453/10^6</f>
        <v>682.55145300000004</v>
      </c>
      <c r="F513">
        <f>0</f>
        <v>0</v>
      </c>
      <c r="G513">
        <f>230556381/10^6</f>
        <v>230.55638099999999</v>
      </c>
      <c r="H513">
        <f>0</f>
        <v>0</v>
      </c>
      <c r="I513">
        <f>-42732117/10^6</f>
        <v>-42.732117000000002</v>
      </c>
      <c r="J513">
        <f>0</f>
        <v>0</v>
      </c>
    </row>
    <row r="514" spans="1:10" x14ac:dyDescent="0.25">
      <c r="A514" t="s">
        <v>523</v>
      </c>
      <c r="B514" t="s">
        <v>11</v>
      </c>
      <c r="C514">
        <v>115.083515625</v>
      </c>
      <c r="D514">
        <f>0</f>
        <v>0</v>
      </c>
      <c r="E514">
        <f>683016296/10^6</f>
        <v>683.01629600000001</v>
      </c>
      <c r="F514">
        <f>0</f>
        <v>0</v>
      </c>
      <c r="G514">
        <f>23054541/10^5</f>
        <v>230.54541</v>
      </c>
      <c r="H514">
        <f>0</f>
        <v>0</v>
      </c>
      <c r="I514">
        <f>-42722641/10^6</f>
        <v>-42.722641000000003</v>
      </c>
      <c r="J514">
        <f>0</f>
        <v>0</v>
      </c>
    </row>
    <row r="515" spans="1:10" x14ac:dyDescent="0.25">
      <c r="A515" t="s">
        <v>524</v>
      </c>
      <c r="B515" t="s">
        <v>11</v>
      </c>
      <c r="C515">
        <v>115.011578125</v>
      </c>
      <c r="D515">
        <f>0</f>
        <v>0</v>
      </c>
      <c r="E515">
        <f>683323792/10^6</f>
        <v>683.32379200000003</v>
      </c>
      <c r="F515">
        <f>0</f>
        <v>0</v>
      </c>
      <c r="G515">
        <f>230504883/10^6</f>
        <v>230.50488300000001</v>
      </c>
      <c r="H515">
        <f>0</f>
        <v>0</v>
      </c>
      <c r="I515">
        <f>-42725864/10^6</f>
        <v>-42.725864000000001</v>
      </c>
      <c r="J515">
        <f>0</f>
        <v>0</v>
      </c>
    </row>
    <row r="516" spans="1:10" x14ac:dyDescent="0.25">
      <c r="A516" t="s">
        <v>525</v>
      </c>
      <c r="B516" t="s">
        <v>11</v>
      </c>
      <c r="C516">
        <v>114.89830468800001</v>
      </c>
      <c r="D516">
        <f>0</f>
        <v>0</v>
      </c>
      <c r="E516">
        <f>683775513/10^6</f>
        <v>683.77551300000005</v>
      </c>
      <c r="F516">
        <f>0</f>
        <v>0</v>
      </c>
      <c r="G516">
        <f>230383789/10^6</f>
        <v>230.38378900000001</v>
      </c>
      <c r="H516">
        <f>0</f>
        <v>0</v>
      </c>
      <c r="I516">
        <f>-42956261/10^6</f>
        <v>-42.956260999999998</v>
      </c>
      <c r="J516">
        <f>0</f>
        <v>0</v>
      </c>
    </row>
    <row r="517" spans="1:10" x14ac:dyDescent="0.25">
      <c r="A517" t="s">
        <v>526</v>
      </c>
      <c r="B517" t="s">
        <v>11</v>
      </c>
      <c r="C517">
        <v>114.78567187500001</v>
      </c>
      <c r="D517">
        <f>0</f>
        <v>0</v>
      </c>
      <c r="E517">
        <f>684213501/10^6</f>
        <v>684.21350099999995</v>
      </c>
      <c r="F517">
        <f>0</f>
        <v>0</v>
      </c>
      <c r="G517">
        <f>230293594/10^6</f>
        <v>230.29359400000001</v>
      </c>
      <c r="H517">
        <f>0</f>
        <v>0</v>
      </c>
      <c r="I517">
        <f>-4303434/10^5</f>
        <v>-43.03434</v>
      </c>
      <c r="J517">
        <f>0</f>
        <v>0</v>
      </c>
    </row>
    <row r="518" spans="1:10" x14ac:dyDescent="0.25">
      <c r="A518" t="s">
        <v>527</v>
      </c>
      <c r="B518" t="s">
        <v>11</v>
      </c>
      <c r="C518">
        <v>114.69389062499999</v>
      </c>
      <c r="D518">
        <f>0</f>
        <v>0</v>
      </c>
      <c r="E518">
        <f>684672852/10^6</f>
        <v>684.67285200000003</v>
      </c>
      <c r="F518">
        <f>0</f>
        <v>0</v>
      </c>
      <c r="G518">
        <f>230289688/10^6</f>
        <v>230.28968800000001</v>
      </c>
      <c r="H518">
        <f>0</f>
        <v>0</v>
      </c>
      <c r="I518">
        <f>-42915497/10^6</f>
        <v>-42.915497000000002</v>
      </c>
      <c r="J518">
        <f>0</f>
        <v>0</v>
      </c>
    </row>
    <row r="519" spans="1:10" x14ac:dyDescent="0.25">
      <c r="A519" t="s">
        <v>528</v>
      </c>
      <c r="B519" t="s">
        <v>11</v>
      </c>
      <c r="C519">
        <v>114.594609375</v>
      </c>
      <c r="D519">
        <f>0</f>
        <v>0</v>
      </c>
      <c r="E519">
        <f>68521051/10^5</f>
        <v>685.21051</v>
      </c>
      <c r="F519">
        <f>0</f>
        <v>0</v>
      </c>
      <c r="G519">
        <f>23025174/10^5</f>
        <v>230.25174000000001</v>
      </c>
      <c r="H519">
        <f>0</f>
        <v>0</v>
      </c>
      <c r="I519">
        <f>-42929073/10^6</f>
        <v>-42.929073000000002</v>
      </c>
      <c r="J519">
        <f>0</f>
        <v>0</v>
      </c>
    </row>
    <row r="520" spans="1:10" x14ac:dyDescent="0.25">
      <c r="A520" t="s">
        <v>529</v>
      </c>
      <c r="B520" t="s">
        <v>11</v>
      </c>
      <c r="C520">
        <v>114.526171875</v>
      </c>
      <c r="D520">
        <f>0</f>
        <v>0</v>
      </c>
      <c r="E520">
        <f>685567627/10^6</f>
        <v>685.56762700000002</v>
      </c>
      <c r="F520">
        <f>0</f>
        <v>0</v>
      </c>
      <c r="G520">
        <f>230220581/10^6</f>
        <v>230.22058100000001</v>
      </c>
      <c r="H520">
        <f>0</f>
        <v>0</v>
      </c>
      <c r="I520">
        <f>-43071114/10^6</f>
        <v>-43.071114000000001</v>
      </c>
      <c r="J520">
        <f>0</f>
        <v>0</v>
      </c>
    </row>
    <row r="521" spans="1:10" x14ac:dyDescent="0.25">
      <c r="A521" t="s">
        <v>530</v>
      </c>
      <c r="B521" t="s">
        <v>11</v>
      </c>
      <c r="C521">
        <v>114.530226563</v>
      </c>
      <c r="D521">
        <f>0</f>
        <v>0</v>
      </c>
      <c r="E521">
        <f>685653625/10^6</f>
        <v>685.65362500000003</v>
      </c>
      <c r="F521">
        <f>0</f>
        <v>0</v>
      </c>
      <c r="G521">
        <f>230261322/10^6</f>
        <v>230.26132200000001</v>
      </c>
      <c r="H521">
        <f>0</f>
        <v>0</v>
      </c>
      <c r="I521">
        <f>-43155914/10^6</f>
        <v>-43.155914000000003</v>
      </c>
      <c r="J521">
        <f>0</f>
        <v>0</v>
      </c>
    </row>
    <row r="522" spans="1:10" x14ac:dyDescent="0.25">
      <c r="A522" t="s">
        <v>531</v>
      </c>
      <c r="B522" t="s">
        <v>11</v>
      </c>
      <c r="C522">
        <v>114.60431250000001</v>
      </c>
      <c r="D522">
        <f>0</f>
        <v>0</v>
      </c>
      <c r="E522">
        <f>685172302/10^6</f>
        <v>685.17230199999995</v>
      </c>
      <c r="F522">
        <f>0</f>
        <v>0</v>
      </c>
      <c r="G522">
        <f>230254074/10^6</f>
        <v>230.254074</v>
      </c>
      <c r="H522">
        <f>0</f>
        <v>0</v>
      </c>
      <c r="I522">
        <f>-43045639/10^6</f>
        <v>-43.045639000000001</v>
      </c>
      <c r="J522">
        <f>0</f>
        <v>0</v>
      </c>
    </row>
    <row r="523" spans="1:10" x14ac:dyDescent="0.25">
      <c r="A523" t="s">
        <v>532</v>
      </c>
      <c r="B523" t="s">
        <v>11</v>
      </c>
      <c r="C523">
        <v>114.739609375</v>
      </c>
      <c r="D523">
        <f>0</f>
        <v>0</v>
      </c>
      <c r="E523">
        <f>684338379/10^6</f>
        <v>684.33837900000003</v>
      </c>
      <c r="F523">
        <f>0</f>
        <v>0</v>
      </c>
      <c r="G523">
        <f>230252335/10^6</f>
        <v>230.25233499999999</v>
      </c>
      <c r="H523">
        <f>0</f>
        <v>0</v>
      </c>
      <c r="I523">
        <f>-42933624/10^6</f>
        <v>-42.933624000000002</v>
      </c>
      <c r="J523">
        <f>0</f>
        <v>0</v>
      </c>
    </row>
    <row r="524" spans="1:10" x14ac:dyDescent="0.25">
      <c r="A524" t="s">
        <v>533</v>
      </c>
      <c r="B524" t="s">
        <v>11</v>
      </c>
      <c r="C524">
        <v>114.88803125</v>
      </c>
      <c r="D524">
        <f>0</f>
        <v>0</v>
      </c>
      <c r="E524">
        <f>683690857/10^6</f>
        <v>683.69085700000005</v>
      </c>
      <c r="F524">
        <f>0</f>
        <v>0</v>
      </c>
      <c r="G524">
        <f>230349533/10^6</f>
        <v>230.34953300000001</v>
      </c>
      <c r="H524">
        <f>0</f>
        <v>0</v>
      </c>
      <c r="I524">
        <f>-42974449/10^6</f>
        <v>-42.974449</v>
      </c>
      <c r="J524">
        <f>0</f>
        <v>0</v>
      </c>
    </row>
    <row r="525" spans="1:10" x14ac:dyDescent="0.25">
      <c r="A525" t="s">
        <v>534</v>
      </c>
      <c r="B525" t="s">
        <v>11</v>
      </c>
      <c r="C525">
        <v>115.04453125000001</v>
      </c>
      <c r="D525">
        <f>0</f>
        <v>0</v>
      </c>
      <c r="E525">
        <f>682870544/10^6</f>
        <v>682.870544</v>
      </c>
      <c r="F525">
        <f>0</f>
        <v>0</v>
      </c>
      <c r="G525">
        <f>230422195/10^6</f>
        <v>230.42219499999999</v>
      </c>
      <c r="H525">
        <f>0</f>
        <v>0</v>
      </c>
      <c r="I525">
        <f>-4280743/10^5</f>
        <v>-42.807429999999997</v>
      </c>
      <c r="J525">
        <f>0</f>
        <v>0</v>
      </c>
    </row>
    <row r="526" spans="1:10" x14ac:dyDescent="0.25">
      <c r="A526" t="s">
        <v>535</v>
      </c>
      <c r="B526" t="s">
        <v>11</v>
      </c>
      <c r="C526">
        <v>115.214101563</v>
      </c>
      <c r="D526">
        <f>0</f>
        <v>0</v>
      </c>
      <c r="E526">
        <f>682076782/10^6</f>
        <v>682.07678199999998</v>
      </c>
      <c r="F526">
        <f>0</f>
        <v>0</v>
      </c>
      <c r="G526">
        <f>230500229/10^6</f>
        <v>230.50022899999999</v>
      </c>
      <c r="H526">
        <f>0</f>
        <v>0</v>
      </c>
      <c r="I526">
        <f>-42736847/10^6</f>
        <v>-42.736846999999997</v>
      </c>
      <c r="J526">
        <f>0</f>
        <v>0</v>
      </c>
    </row>
    <row r="527" spans="1:10" x14ac:dyDescent="0.25">
      <c r="A527" t="s">
        <v>536</v>
      </c>
      <c r="B527" t="s">
        <v>11</v>
      </c>
      <c r="C527">
        <v>115.38692968800001</v>
      </c>
      <c r="D527">
        <f>0</f>
        <v>0</v>
      </c>
      <c r="E527">
        <f>681288269/10^6</f>
        <v>681.28826900000001</v>
      </c>
      <c r="F527">
        <f>0</f>
        <v>0</v>
      </c>
      <c r="G527">
        <f>230611816/10^6</f>
        <v>230.611816</v>
      </c>
      <c r="H527">
        <f>0</f>
        <v>0</v>
      </c>
      <c r="I527">
        <f>-42808769/10^6</f>
        <v>-42.808768999999998</v>
      </c>
      <c r="J527">
        <f>0</f>
        <v>0</v>
      </c>
    </row>
    <row r="528" spans="1:10" x14ac:dyDescent="0.25">
      <c r="A528" t="s">
        <v>537</v>
      </c>
      <c r="B528" t="s">
        <v>11</v>
      </c>
      <c r="C528">
        <v>115.590992188</v>
      </c>
      <c r="D528">
        <f>0</f>
        <v>0</v>
      </c>
      <c r="E528">
        <f>680190247/10^6</f>
        <v>680.190247</v>
      </c>
      <c r="F528">
        <f>0</f>
        <v>0</v>
      </c>
      <c r="G528">
        <f>230696411/10^6</f>
        <v>230.69641100000001</v>
      </c>
      <c r="H528">
        <f>0</f>
        <v>0</v>
      </c>
      <c r="I528">
        <f>-42560329/10^6</f>
        <v>-42.560329000000003</v>
      </c>
      <c r="J528">
        <f>0</f>
        <v>0</v>
      </c>
    </row>
    <row r="529" spans="1:10" x14ac:dyDescent="0.25">
      <c r="A529" t="s">
        <v>538</v>
      </c>
      <c r="B529" t="s">
        <v>11</v>
      </c>
      <c r="C529">
        <v>115.83217968800001</v>
      </c>
      <c r="D529">
        <f>0</f>
        <v>0</v>
      </c>
      <c r="E529">
        <f>678925049/10^6</f>
        <v>678.92504899999994</v>
      </c>
      <c r="F529">
        <f>0</f>
        <v>0</v>
      </c>
      <c r="G529">
        <f>23075383/10^5</f>
        <v>230.75382999999999</v>
      </c>
      <c r="H529">
        <f>0</f>
        <v>0</v>
      </c>
      <c r="I529">
        <f>-42408073/10^6</f>
        <v>-42.408073000000002</v>
      </c>
      <c r="J529">
        <f>0</f>
        <v>0</v>
      </c>
    </row>
    <row r="530" spans="1:10" x14ac:dyDescent="0.25">
      <c r="A530" t="s">
        <v>539</v>
      </c>
      <c r="B530" t="s">
        <v>11</v>
      </c>
      <c r="C530">
        <v>0</v>
      </c>
      <c r="D530">
        <f>2</f>
        <v>2</v>
      </c>
      <c r="F530">
        <f>2</f>
        <v>2</v>
      </c>
      <c r="H530">
        <f>2</f>
        <v>2</v>
      </c>
      <c r="J530">
        <f>2</f>
        <v>2</v>
      </c>
    </row>
    <row r="531" spans="1:10" x14ac:dyDescent="0.25">
      <c r="A531" t="s">
        <v>540</v>
      </c>
      <c r="B531" t="s">
        <v>11</v>
      </c>
      <c r="C531">
        <v>116.464164063</v>
      </c>
      <c r="D531">
        <f>0</f>
        <v>0</v>
      </c>
      <c r="E531">
        <f>675123108/10^6</f>
        <v>675.123108</v>
      </c>
      <c r="F531">
        <f>0</f>
        <v>0</v>
      </c>
      <c r="G531">
        <f>230851318/10^6</f>
        <v>230.85131799999999</v>
      </c>
      <c r="H531">
        <f>0</f>
        <v>0</v>
      </c>
      <c r="I531">
        <f>-41905174/10^6</f>
        <v>-41.905174000000002</v>
      </c>
      <c r="J531">
        <f>0</f>
        <v>0</v>
      </c>
    </row>
    <row r="532" spans="1:10" x14ac:dyDescent="0.25">
      <c r="A532" t="s">
        <v>541</v>
      </c>
      <c r="B532" t="s">
        <v>11</v>
      </c>
      <c r="C532">
        <v>116.87267187499999</v>
      </c>
      <c r="D532">
        <f>0</f>
        <v>0</v>
      </c>
      <c r="E532">
        <f>672891846/10^6</f>
        <v>672.89184599999999</v>
      </c>
      <c r="F532">
        <f>0</f>
        <v>0</v>
      </c>
      <c r="G532">
        <f>230913208/10^6</f>
        <v>230.913208</v>
      </c>
      <c r="H532">
        <f>0</f>
        <v>0</v>
      </c>
      <c r="I532">
        <f>-41760361/10^6</f>
        <v>-41.760361000000003</v>
      </c>
      <c r="J532">
        <f>0</f>
        <v>0</v>
      </c>
    </row>
    <row r="533" spans="1:10" x14ac:dyDescent="0.25">
      <c r="A533" t="s">
        <v>542</v>
      </c>
      <c r="B533" t="s">
        <v>11</v>
      </c>
      <c r="C533">
        <v>117.352109375</v>
      </c>
      <c r="D533">
        <f>0</f>
        <v>0</v>
      </c>
      <c r="E533">
        <f>670150513/10^6</f>
        <v>670.15051300000005</v>
      </c>
      <c r="F533">
        <f>0</f>
        <v>0</v>
      </c>
      <c r="G533">
        <f>230986557/10^6</f>
        <v>230.986557</v>
      </c>
      <c r="H533">
        <f>0</f>
        <v>0</v>
      </c>
      <c r="I533">
        <f>-4161095/10^5</f>
        <v>-41.610950000000003</v>
      </c>
      <c r="J533">
        <f>0</f>
        <v>0</v>
      </c>
    </row>
    <row r="534" spans="1:10" x14ac:dyDescent="0.25">
      <c r="A534" t="s">
        <v>543</v>
      </c>
      <c r="B534" t="s">
        <v>11</v>
      </c>
      <c r="C534">
        <v>117.903710938</v>
      </c>
      <c r="D534">
        <f>0</f>
        <v>0</v>
      </c>
      <c r="E534">
        <f>666910583/10^6</f>
        <v>666.91058299999997</v>
      </c>
      <c r="F534">
        <f>0</f>
        <v>0</v>
      </c>
      <c r="G534">
        <f>231061829/10^6</f>
        <v>231.06182899999999</v>
      </c>
      <c r="H534">
        <f>0</f>
        <v>0</v>
      </c>
      <c r="I534">
        <f>-41214783/10^6</f>
        <v>-41.214782999999997</v>
      </c>
      <c r="J534">
        <f>0</f>
        <v>0</v>
      </c>
    </row>
    <row r="535" spans="1:10" x14ac:dyDescent="0.25">
      <c r="A535" t="s">
        <v>544</v>
      </c>
      <c r="B535" t="s">
        <v>11</v>
      </c>
      <c r="C535">
        <v>118.50003125000001</v>
      </c>
      <c r="D535">
        <f>0</f>
        <v>0</v>
      </c>
      <c r="E535">
        <f>663612976/10^6</f>
        <v>663.612976</v>
      </c>
      <c r="F535">
        <f>0</f>
        <v>0</v>
      </c>
      <c r="G535">
        <f>231134811/10^6</f>
        <v>231.13481100000001</v>
      </c>
      <c r="H535">
        <f>0</f>
        <v>0</v>
      </c>
      <c r="I535">
        <f>-4091423/10^5</f>
        <v>-40.914230000000003</v>
      </c>
      <c r="J535">
        <f>0</f>
        <v>0</v>
      </c>
    </row>
    <row r="536" spans="1:10" x14ac:dyDescent="0.25">
      <c r="A536" t="s">
        <v>545</v>
      </c>
      <c r="B536" t="s">
        <v>11</v>
      </c>
      <c r="C536">
        <v>119.11996875</v>
      </c>
      <c r="D536">
        <f>0</f>
        <v>0</v>
      </c>
      <c r="E536">
        <f>660041809/10^6</f>
        <v>660.04180899999994</v>
      </c>
      <c r="F536">
        <f>0</f>
        <v>0</v>
      </c>
      <c r="G536">
        <f>231203156/10^6</f>
        <v>231.20315600000001</v>
      </c>
      <c r="H536">
        <f>0</f>
        <v>0</v>
      </c>
      <c r="I536">
        <f>-40379929/10^6</f>
        <v>-40.379928999999997</v>
      </c>
      <c r="J536">
        <f>0</f>
        <v>0</v>
      </c>
    </row>
    <row r="537" spans="1:10" x14ac:dyDescent="0.25">
      <c r="A537" t="s">
        <v>546</v>
      </c>
      <c r="B537" t="s">
        <v>11</v>
      </c>
      <c r="C537">
        <v>119.71076562499999</v>
      </c>
      <c r="D537">
        <f>0</f>
        <v>0</v>
      </c>
      <c r="E537">
        <f>656526428/10^6</f>
        <v>656.52642800000001</v>
      </c>
      <c r="F537">
        <f>0</f>
        <v>0</v>
      </c>
      <c r="G537">
        <f>231254822/10^6</f>
        <v>231.25482199999999</v>
      </c>
      <c r="H537">
        <f>0</f>
        <v>0</v>
      </c>
      <c r="I537">
        <f>-39787399/10^6</f>
        <v>-39.787399000000001</v>
      </c>
      <c r="J537">
        <f>0</f>
        <v>0</v>
      </c>
    </row>
    <row r="538" spans="1:10" x14ac:dyDescent="0.25">
      <c r="A538" t="s">
        <v>547</v>
      </c>
      <c r="B538" t="s">
        <v>11</v>
      </c>
      <c r="C538">
        <v>120.24481249999999</v>
      </c>
      <c r="D538">
        <f>0</f>
        <v>0</v>
      </c>
      <c r="E538">
        <f>653536316/10^6</f>
        <v>653.53631600000006</v>
      </c>
      <c r="F538">
        <f>0</f>
        <v>0</v>
      </c>
      <c r="G538">
        <f>231306381/10^6</f>
        <v>231.30638099999999</v>
      </c>
      <c r="H538">
        <f>0</f>
        <v>0</v>
      </c>
      <c r="I538">
        <f>-39547791/10^6</f>
        <v>-39.547790999999997</v>
      </c>
      <c r="J538">
        <f>0</f>
        <v>0</v>
      </c>
    </row>
    <row r="539" spans="1:10" x14ac:dyDescent="0.25">
      <c r="A539" t="s">
        <v>548</v>
      </c>
      <c r="B539" t="s">
        <v>11</v>
      </c>
      <c r="C539">
        <v>120.70436718800001</v>
      </c>
      <c r="D539">
        <f>0</f>
        <v>0</v>
      </c>
      <c r="E539">
        <f>651072083/10^6</f>
        <v>651.07208300000002</v>
      </c>
      <c r="F539">
        <f>0</f>
        <v>0</v>
      </c>
      <c r="G539">
        <f>231340073/10^6</f>
        <v>231.34007299999999</v>
      </c>
      <c r="H539">
        <f>0</f>
        <v>0</v>
      </c>
      <c r="I539">
        <f>-39549366/10^6</f>
        <v>-39.549365999999999</v>
      </c>
      <c r="J539">
        <f>0</f>
        <v>0</v>
      </c>
    </row>
    <row r="540" spans="1:10" x14ac:dyDescent="0.25">
      <c r="A540" t="s">
        <v>549</v>
      </c>
      <c r="B540" t="s">
        <v>11</v>
      </c>
      <c r="C540">
        <v>121.041484375</v>
      </c>
      <c r="D540">
        <f>0</f>
        <v>0</v>
      </c>
      <c r="E540">
        <f>649162781/10^6</f>
        <v>649.162781</v>
      </c>
      <c r="F540">
        <f>0</f>
        <v>0</v>
      </c>
      <c r="G540">
        <f>23136702/10^5</f>
        <v>231.36702</v>
      </c>
      <c r="H540">
        <f>0</f>
        <v>0</v>
      </c>
      <c r="I540">
        <f>-39308983/10^6</f>
        <v>-39.308982999999998</v>
      </c>
      <c r="J540">
        <f>0</f>
        <v>0</v>
      </c>
    </row>
    <row r="541" spans="1:10" x14ac:dyDescent="0.25">
      <c r="A541" t="s">
        <v>550</v>
      </c>
      <c r="B541" t="s">
        <v>11</v>
      </c>
      <c r="C541">
        <v>121.23803125000001</v>
      </c>
      <c r="D541">
        <f>0</f>
        <v>0</v>
      </c>
      <c r="E541">
        <f>648030945/10^6</f>
        <v>648.03094499999997</v>
      </c>
      <c r="F541">
        <f>0</f>
        <v>0</v>
      </c>
      <c r="G541">
        <f>231414093/10^6</f>
        <v>231.41409300000001</v>
      </c>
      <c r="H541">
        <f>0</f>
        <v>0</v>
      </c>
      <c r="I541">
        <f>-38907112/10^6</f>
        <v>-38.907111999999998</v>
      </c>
      <c r="J541">
        <f>0</f>
        <v>0</v>
      </c>
    </row>
    <row r="542" spans="1:10" x14ac:dyDescent="0.25">
      <c r="A542" t="s">
        <v>551</v>
      </c>
      <c r="B542" t="s">
        <v>11</v>
      </c>
      <c r="C542">
        <v>121.297820313</v>
      </c>
      <c r="D542">
        <f>0</f>
        <v>0</v>
      </c>
      <c r="E542">
        <f>647781982/10^6</f>
        <v>647.78198199999997</v>
      </c>
      <c r="F542">
        <f>0</f>
        <v>0</v>
      </c>
      <c r="G542">
        <f>231451584/10^6</f>
        <v>231.451584</v>
      </c>
      <c r="H542">
        <f>0</f>
        <v>0</v>
      </c>
      <c r="I542">
        <f>-3885828/10^5</f>
        <v>-38.858280000000001</v>
      </c>
      <c r="J542">
        <f>0</f>
        <v>0</v>
      </c>
    </row>
    <row r="543" spans="1:10" x14ac:dyDescent="0.25">
      <c r="A543" t="s">
        <v>552</v>
      </c>
      <c r="B543" t="s">
        <v>11</v>
      </c>
      <c r="C543">
        <v>121.326960938</v>
      </c>
      <c r="D543">
        <f>0</f>
        <v>0</v>
      </c>
      <c r="E543">
        <f>647839844/10^6</f>
        <v>647.83984399999997</v>
      </c>
      <c r="F543">
        <f>0</f>
        <v>0</v>
      </c>
      <c r="G543">
        <f>231489151/10^6</f>
        <v>231.48915099999999</v>
      </c>
      <c r="H543">
        <f>0</f>
        <v>0</v>
      </c>
      <c r="I543">
        <f>-39156796/10^6</f>
        <v>-39.156796</v>
      </c>
      <c r="J543">
        <f>0</f>
        <v>0</v>
      </c>
    </row>
    <row r="544" spans="1:10" x14ac:dyDescent="0.25">
      <c r="A544" t="s">
        <v>553</v>
      </c>
      <c r="B544" t="s">
        <v>11</v>
      </c>
      <c r="C544">
        <v>121.39221093800001</v>
      </c>
      <c r="D544">
        <f>0</f>
        <v>0</v>
      </c>
      <c r="E544">
        <f>647669861/10^6</f>
        <v>647.66986099999997</v>
      </c>
      <c r="F544">
        <f>0</f>
        <v>0</v>
      </c>
      <c r="G544">
        <f>231523941/10^6</f>
        <v>231.52394100000001</v>
      </c>
      <c r="H544">
        <f>0</f>
        <v>0</v>
      </c>
      <c r="I544">
        <f>-39154247/10^6</f>
        <v>-39.154246999999998</v>
      </c>
      <c r="J544">
        <f>0</f>
        <v>0</v>
      </c>
    </row>
    <row r="545" spans="1:10" x14ac:dyDescent="0.25">
      <c r="A545" t="s">
        <v>554</v>
      </c>
      <c r="B545" t="s">
        <v>11</v>
      </c>
      <c r="C545">
        <v>121.430671875</v>
      </c>
      <c r="D545">
        <f>0</f>
        <v>0</v>
      </c>
      <c r="E545">
        <f>647390137/10^6</f>
        <v>647.39013699999998</v>
      </c>
      <c r="F545">
        <f>0</f>
        <v>0</v>
      </c>
      <c r="G545">
        <f>231547974/10^6</f>
        <v>231.54797400000001</v>
      </c>
      <c r="H545">
        <f>0</f>
        <v>0</v>
      </c>
      <c r="I545">
        <f>-38727112/10^6</f>
        <v>-38.727111999999998</v>
      </c>
      <c r="J545">
        <f>0</f>
        <v>0</v>
      </c>
    </row>
    <row r="546" spans="1:10" x14ac:dyDescent="0.25">
      <c r="A546" t="s">
        <v>555</v>
      </c>
      <c r="B546" t="s">
        <v>11</v>
      </c>
      <c r="C546">
        <v>121.442617188</v>
      </c>
      <c r="D546">
        <f>0</f>
        <v>0</v>
      </c>
      <c r="E546">
        <f>647196533/10^6</f>
        <v>647.19653300000004</v>
      </c>
      <c r="F546">
        <f>0</f>
        <v>0</v>
      </c>
      <c r="G546">
        <f>23156041/10^5</f>
        <v>231.56040999999999</v>
      </c>
      <c r="H546">
        <f>0</f>
        <v>0</v>
      </c>
      <c r="I546">
        <f>-38580967/10^6</f>
        <v>-38.580967000000001</v>
      </c>
      <c r="J546">
        <f>0</f>
        <v>0</v>
      </c>
    </row>
    <row r="547" spans="1:10" x14ac:dyDescent="0.25">
      <c r="A547" t="s">
        <v>556</v>
      </c>
      <c r="B547" t="s">
        <v>11</v>
      </c>
      <c r="C547">
        <v>121.43178906300001</v>
      </c>
      <c r="D547">
        <f>0</f>
        <v>0</v>
      </c>
      <c r="E547">
        <f>647375061/10^6</f>
        <v>647.37506099999996</v>
      </c>
      <c r="F547">
        <f>0</f>
        <v>0</v>
      </c>
      <c r="G547">
        <f>23156517/10^5</f>
        <v>231.56516999999999</v>
      </c>
      <c r="H547">
        <f>0</f>
        <v>0</v>
      </c>
      <c r="I547">
        <f>-38792984/10^6</f>
        <v>-38.792983999999997</v>
      </c>
      <c r="J547">
        <f>0</f>
        <v>0</v>
      </c>
    </row>
    <row r="548" spans="1:10" x14ac:dyDescent="0.25">
      <c r="A548" t="s">
        <v>557</v>
      </c>
      <c r="B548" t="s">
        <v>11</v>
      </c>
      <c r="C548">
        <v>121.367953125</v>
      </c>
      <c r="D548">
        <f>0</f>
        <v>0</v>
      </c>
      <c r="E548">
        <f>647900757/10^6</f>
        <v>647.900757</v>
      </c>
      <c r="F548">
        <f>0</f>
        <v>0</v>
      </c>
      <c r="G548">
        <f>231568726/10^6</f>
        <v>231.568726</v>
      </c>
      <c r="H548">
        <f>0</f>
        <v>0</v>
      </c>
      <c r="I548">
        <f>-39014175/10^6</f>
        <v>-39.014175000000002</v>
      </c>
      <c r="J548">
        <f>0</f>
        <v>0</v>
      </c>
    </row>
    <row r="549" spans="1:10" x14ac:dyDescent="0.25">
      <c r="A549" t="s">
        <v>558</v>
      </c>
      <c r="B549" t="s">
        <v>11</v>
      </c>
      <c r="C549">
        <v>121.27434375</v>
      </c>
      <c r="D549">
        <f>0</f>
        <v>0</v>
      </c>
      <c r="E549">
        <f>648371216/10^6</f>
        <v>648.371216</v>
      </c>
      <c r="F549">
        <f>0</f>
        <v>0</v>
      </c>
      <c r="G549">
        <f>231565277/10^6</f>
        <v>231.56527700000001</v>
      </c>
      <c r="H549">
        <f>0</f>
        <v>0</v>
      </c>
      <c r="I549">
        <f>-38889034/10^6</f>
        <v>-38.889034000000002</v>
      </c>
      <c r="J549">
        <f>0</f>
        <v>0</v>
      </c>
    </row>
    <row r="550" spans="1:10" x14ac:dyDescent="0.25">
      <c r="A550" t="s">
        <v>559</v>
      </c>
      <c r="B550" t="s">
        <v>11</v>
      </c>
      <c r="C550">
        <v>121.138671875</v>
      </c>
      <c r="D550">
        <f>0</f>
        <v>0</v>
      </c>
      <c r="E550">
        <f>649061401/10^6</f>
        <v>649.06140100000005</v>
      </c>
      <c r="F550">
        <f>0</f>
        <v>0</v>
      </c>
      <c r="G550">
        <f>231542175/10^6</f>
        <v>231.54217499999999</v>
      </c>
      <c r="H550">
        <f>0</f>
        <v>0</v>
      </c>
      <c r="I550">
        <f>-38765709/10^6</f>
        <v>-38.765709000000001</v>
      </c>
      <c r="J550">
        <f>0</f>
        <v>0</v>
      </c>
    </row>
    <row r="551" spans="1:10" x14ac:dyDescent="0.25">
      <c r="A551" t="s">
        <v>560</v>
      </c>
      <c r="B551" t="s">
        <v>11</v>
      </c>
      <c r="C551">
        <v>120.92891406300001</v>
      </c>
      <c r="D551">
        <f>0</f>
        <v>0</v>
      </c>
      <c r="E551">
        <f>650250244/10^6</f>
        <v>650.25024399999995</v>
      </c>
      <c r="F551">
        <f>0</f>
        <v>0</v>
      </c>
      <c r="G551">
        <f>231512894/10^6</f>
        <v>231.51289399999999</v>
      </c>
      <c r="H551">
        <f>0</f>
        <v>0</v>
      </c>
      <c r="I551">
        <f>-38976616/10^6</f>
        <v>-38.976616</v>
      </c>
      <c r="J551">
        <f>0</f>
        <v>0</v>
      </c>
    </row>
    <row r="552" spans="1:10" x14ac:dyDescent="0.25">
      <c r="A552" t="s">
        <v>561</v>
      </c>
      <c r="B552" t="s">
        <v>11</v>
      </c>
      <c r="C552">
        <v>120.69536718800001</v>
      </c>
      <c r="D552">
        <f>0</f>
        <v>0</v>
      </c>
      <c r="E552">
        <f>651439819/10^6</f>
        <v>651.43981900000006</v>
      </c>
      <c r="F552">
        <f>0</f>
        <v>0</v>
      </c>
      <c r="G552">
        <f>231481644/10^6</f>
        <v>231.48164399999999</v>
      </c>
      <c r="H552">
        <f>0</f>
        <v>0</v>
      </c>
      <c r="I552">
        <f>-38937611/10^6</f>
        <v>-38.937610999999997</v>
      </c>
      <c r="J552">
        <f>0</f>
        <v>0</v>
      </c>
    </row>
    <row r="553" spans="1:10" x14ac:dyDescent="0.25">
      <c r="A553" t="s">
        <v>562</v>
      </c>
      <c r="B553" t="s">
        <v>11</v>
      </c>
      <c r="C553">
        <v>120.467539063</v>
      </c>
      <c r="D553">
        <f>0</f>
        <v>0</v>
      </c>
      <c r="E553">
        <f>652528625/10^6</f>
        <v>652.52862500000003</v>
      </c>
      <c r="F553">
        <f>0</f>
        <v>0</v>
      </c>
      <c r="G553">
        <f>231443039/10^6</f>
        <v>231.443039</v>
      </c>
      <c r="H553">
        <f>0</f>
        <v>0</v>
      </c>
      <c r="I553">
        <f>-38720161/10^6</f>
        <v>-38.720160999999997</v>
      </c>
      <c r="J553">
        <f>0</f>
        <v>0</v>
      </c>
    </row>
    <row r="554" spans="1:10" x14ac:dyDescent="0.25">
      <c r="A554" t="s">
        <v>563</v>
      </c>
      <c r="B554" t="s">
        <v>11</v>
      </c>
      <c r="C554">
        <v>0</v>
      </c>
      <c r="D554">
        <f>2</f>
        <v>2</v>
      </c>
      <c r="F554">
        <f>2</f>
        <v>2</v>
      </c>
      <c r="H554">
        <f>2</f>
        <v>2</v>
      </c>
      <c r="J554">
        <f>2</f>
        <v>2</v>
      </c>
    </row>
    <row r="555" spans="1:10" x14ac:dyDescent="0.25">
      <c r="A555" t="s">
        <v>564</v>
      </c>
      <c r="B555" t="s">
        <v>11</v>
      </c>
      <c r="C555">
        <v>119.99135156300001</v>
      </c>
      <c r="D555">
        <f>0</f>
        <v>0</v>
      </c>
      <c r="E555">
        <f>655310242/10^6</f>
        <v>655.31024200000002</v>
      </c>
      <c r="F555">
        <f>0</f>
        <v>0</v>
      </c>
      <c r="G555">
        <f>23137262/10^5</f>
        <v>231.37262000000001</v>
      </c>
      <c r="H555">
        <f>0</f>
        <v>0</v>
      </c>
      <c r="I555">
        <f>-3941283/10^5</f>
        <v>-39.41283</v>
      </c>
      <c r="J555">
        <f>0</f>
        <v>0</v>
      </c>
    </row>
    <row r="556" spans="1:10" x14ac:dyDescent="0.25">
      <c r="A556" t="s">
        <v>565</v>
      </c>
      <c r="B556" t="s">
        <v>11</v>
      </c>
      <c r="C556">
        <v>119.74272656300001</v>
      </c>
      <c r="D556">
        <f>0</f>
        <v>0</v>
      </c>
      <c r="E556">
        <f>656754089/10^6</f>
        <v>656.75408900000002</v>
      </c>
      <c r="F556">
        <f>0</f>
        <v>0</v>
      </c>
      <c r="G556">
        <f>23132312/10^5</f>
        <v>231.32311999999999</v>
      </c>
      <c r="H556">
        <f>0</f>
        <v>0</v>
      </c>
      <c r="I556">
        <f>-39579693/10^6</f>
        <v>-39.579692999999999</v>
      </c>
      <c r="J556">
        <f>0</f>
        <v>0</v>
      </c>
    </row>
    <row r="557" spans="1:10" x14ac:dyDescent="0.25">
      <c r="A557" t="s">
        <v>566</v>
      </c>
      <c r="B557" t="s">
        <v>11</v>
      </c>
      <c r="C557">
        <v>119.457375</v>
      </c>
      <c r="D557">
        <f>0</f>
        <v>0</v>
      </c>
      <c r="E557">
        <f>658227173/10^6</f>
        <v>658.22717299999999</v>
      </c>
      <c r="F557">
        <f>0</f>
        <v>0</v>
      </c>
      <c r="G557">
        <f>231274033/10^6</f>
        <v>231.274033</v>
      </c>
      <c r="H557">
        <f>0</f>
        <v>0</v>
      </c>
      <c r="I557">
        <f>-39762112/10^6</f>
        <v>-39.762112000000002</v>
      </c>
      <c r="J557">
        <f>0</f>
        <v>0</v>
      </c>
    </row>
    <row r="558" spans="1:10" x14ac:dyDescent="0.25">
      <c r="A558" t="s">
        <v>567</v>
      </c>
      <c r="B558" t="s">
        <v>11</v>
      </c>
      <c r="C558">
        <v>119.22175781300001</v>
      </c>
      <c r="D558">
        <f>0</f>
        <v>0</v>
      </c>
      <c r="E558">
        <f>659398193/10^6</f>
        <v>659.39819299999999</v>
      </c>
      <c r="F558">
        <f>0</f>
        <v>0</v>
      </c>
      <c r="G558">
        <f>231230423/10^6</f>
        <v>231.230423</v>
      </c>
      <c r="H558">
        <f>0</f>
        <v>0</v>
      </c>
      <c r="I558">
        <f>-3982011/10^5</f>
        <v>-39.82011</v>
      </c>
      <c r="J558">
        <f>0</f>
        <v>0</v>
      </c>
    </row>
    <row r="559" spans="1:10" x14ac:dyDescent="0.25">
      <c r="A559" t="s">
        <v>568</v>
      </c>
      <c r="B559" t="s">
        <v>11</v>
      </c>
      <c r="C559">
        <v>119.0323125</v>
      </c>
      <c r="D559">
        <f>0</f>
        <v>0</v>
      </c>
      <c r="E559">
        <f>660402222/10^6</f>
        <v>660.40222200000005</v>
      </c>
      <c r="F559">
        <f>0</f>
        <v>0</v>
      </c>
      <c r="G559">
        <f>231196548/10^6</f>
        <v>231.19654800000001</v>
      </c>
      <c r="H559">
        <f>0</f>
        <v>0</v>
      </c>
      <c r="I559">
        <f>-39856167/10^6</f>
        <v>-39.856166999999999</v>
      </c>
      <c r="J559">
        <f>0</f>
        <v>0</v>
      </c>
    </row>
    <row r="560" spans="1:10" x14ac:dyDescent="0.25">
      <c r="A560" t="s">
        <v>569</v>
      </c>
      <c r="B560" t="s">
        <v>11</v>
      </c>
      <c r="C560">
        <v>118.81655468800001</v>
      </c>
      <c r="D560">
        <f>0</f>
        <v>0</v>
      </c>
      <c r="E560">
        <f>661643921/10^6</f>
        <v>661.64392099999998</v>
      </c>
      <c r="F560">
        <f>0</f>
        <v>0</v>
      </c>
      <c r="G560">
        <f>231160858/10^6</f>
        <v>231.16085799999999</v>
      </c>
      <c r="H560">
        <f>0</f>
        <v>0</v>
      </c>
      <c r="I560">
        <f>-40081161/10^6</f>
        <v>-40.081161000000002</v>
      </c>
      <c r="J560">
        <f>0</f>
        <v>0</v>
      </c>
    </row>
    <row r="561" spans="1:10" x14ac:dyDescent="0.25">
      <c r="A561" t="s">
        <v>570</v>
      </c>
      <c r="B561" t="s">
        <v>11</v>
      </c>
      <c r="C561">
        <v>118.594539063</v>
      </c>
      <c r="D561">
        <f>0</f>
        <v>0</v>
      </c>
      <c r="E561">
        <f>662881042/10^6</f>
        <v>662.88104199999998</v>
      </c>
      <c r="F561">
        <f>0</f>
        <v>0</v>
      </c>
      <c r="G561">
        <f>231116058/10^6</f>
        <v>231.11605800000001</v>
      </c>
      <c r="H561">
        <f>0</f>
        <v>0</v>
      </c>
      <c r="I561">
        <f>-40230343/10^6</f>
        <v>-40.230342999999998</v>
      </c>
      <c r="J561">
        <f>0</f>
        <v>0</v>
      </c>
    </row>
    <row r="562" spans="1:10" x14ac:dyDescent="0.25">
      <c r="A562" t="s">
        <v>571</v>
      </c>
      <c r="B562" t="s">
        <v>11</v>
      </c>
      <c r="C562">
        <v>118.38496093800001</v>
      </c>
      <c r="D562">
        <f>0</f>
        <v>0</v>
      </c>
      <c r="E562">
        <f>663950562/10^6</f>
        <v>663.95056199999999</v>
      </c>
      <c r="F562">
        <f>0</f>
        <v>0</v>
      </c>
      <c r="G562">
        <f>231084641/10^6</f>
        <v>231.084641</v>
      </c>
      <c r="H562">
        <f>0</f>
        <v>0</v>
      </c>
      <c r="I562">
        <f>-40240608/10^6</f>
        <v>-40.240608000000002</v>
      </c>
      <c r="J562">
        <f>0</f>
        <v>0</v>
      </c>
    </row>
    <row r="563" spans="1:10" x14ac:dyDescent="0.25">
      <c r="A563" t="s">
        <v>572</v>
      </c>
      <c r="B563" t="s">
        <v>11</v>
      </c>
      <c r="C563">
        <v>118.162515625</v>
      </c>
      <c r="D563">
        <f>0</f>
        <v>0</v>
      </c>
      <c r="E563">
        <f>665219666/10^6</f>
        <v>665.21966599999996</v>
      </c>
      <c r="F563">
        <f>0</f>
        <v>0</v>
      </c>
      <c r="G563">
        <f>23105011/10^5</f>
        <v>231.05010999999999</v>
      </c>
      <c r="H563">
        <f>0</f>
        <v>0</v>
      </c>
      <c r="I563">
        <f>-40406303/10^6</f>
        <v>-40.406303000000001</v>
      </c>
      <c r="J563">
        <f>0</f>
        <v>0</v>
      </c>
    </row>
    <row r="564" spans="1:10" x14ac:dyDescent="0.25">
      <c r="A564" t="s">
        <v>573</v>
      </c>
      <c r="B564" t="s">
        <v>11</v>
      </c>
      <c r="C564">
        <v>117.924546875</v>
      </c>
      <c r="D564">
        <f>0</f>
        <v>0</v>
      </c>
      <c r="E564">
        <f>666693237/10^6</f>
        <v>666.69323699999995</v>
      </c>
      <c r="F564">
        <f>0</f>
        <v>0</v>
      </c>
      <c r="G564">
        <f>231020081/10^6</f>
        <v>231.020081</v>
      </c>
      <c r="H564">
        <f>0</f>
        <v>0</v>
      </c>
      <c r="I564">
        <f>-40705223/10^6</f>
        <v>-40.705222999999997</v>
      </c>
      <c r="J564">
        <f>0</f>
        <v>0</v>
      </c>
    </row>
    <row r="565" spans="1:10" x14ac:dyDescent="0.25">
      <c r="A565" t="s">
        <v>574</v>
      </c>
      <c r="B565" t="s">
        <v>11</v>
      </c>
      <c r="C565">
        <v>117.677054688</v>
      </c>
      <c r="D565">
        <f>0</f>
        <v>0</v>
      </c>
      <c r="E565">
        <f>668151245/10^6</f>
        <v>668.15124500000002</v>
      </c>
      <c r="F565">
        <f>0</f>
        <v>0</v>
      </c>
      <c r="G565">
        <f>231010117/10^6</f>
        <v>231.01011700000001</v>
      </c>
      <c r="H565">
        <f>0</f>
        <v>0</v>
      </c>
      <c r="I565">
        <f>-40833385/10^6</f>
        <v>-40.833385</v>
      </c>
      <c r="J565">
        <f>0</f>
        <v>0</v>
      </c>
    </row>
    <row r="566" spans="1:10" x14ac:dyDescent="0.25">
      <c r="A566" t="s">
        <v>575</v>
      </c>
      <c r="B566" t="s">
        <v>11</v>
      </c>
      <c r="C566">
        <v>117.415992188</v>
      </c>
      <c r="D566">
        <f>0</f>
        <v>0</v>
      </c>
      <c r="E566">
        <f>669621765/10^6</f>
        <v>669.62176499999998</v>
      </c>
      <c r="F566">
        <f>0</f>
        <v>0</v>
      </c>
      <c r="G566">
        <f>230985855/10^6</f>
        <v>230.98585499999999</v>
      </c>
      <c r="H566">
        <f>0</f>
        <v>0</v>
      </c>
      <c r="I566">
        <f>-40957584/10^6</f>
        <v>-40.957583999999997</v>
      </c>
      <c r="J566">
        <f>0</f>
        <v>0</v>
      </c>
    </row>
    <row r="567" spans="1:10" x14ac:dyDescent="0.25">
      <c r="A567" t="s">
        <v>576</v>
      </c>
      <c r="B567" t="s">
        <v>11</v>
      </c>
      <c r="C567">
        <v>117.15440624999999</v>
      </c>
      <c r="D567">
        <f>0</f>
        <v>0</v>
      </c>
      <c r="E567">
        <f>671107117/10^6</f>
        <v>671.10711700000002</v>
      </c>
      <c r="F567">
        <f>0</f>
        <v>0</v>
      </c>
      <c r="G567">
        <f>230944672/10^6</f>
        <v>230.944672</v>
      </c>
      <c r="H567">
        <f>0</f>
        <v>0</v>
      </c>
      <c r="I567">
        <f>-41148987/10^6</f>
        <v>-41.148986999999998</v>
      </c>
      <c r="J567">
        <f>0</f>
        <v>0</v>
      </c>
    </row>
    <row r="568" spans="1:10" x14ac:dyDescent="0.25">
      <c r="A568" t="s">
        <v>577</v>
      </c>
      <c r="B568" t="s">
        <v>11</v>
      </c>
      <c r="C568">
        <v>116.88507812500001</v>
      </c>
      <c r="D568">
        <f>0</f>
        <v>0</v>
      </c>
      <c r="E568">
        <f>67266217/10^5</f>
        <v>672.66216999999995</v>
      </c>
      <c r="F568">
        <f>0</f>
        <v>0</v>
      </c>
      <c r="G568">
        <f>230904877/10^6</f>
        <v>230.904877</v>
      </c>
      <c r="H568">
        <f>0</f>
        <v>0</v>
      </c>
      <c r="I568">
        <f>-41286499/10^6</f>
        <v>-41.286498999999999</v>
      </c>
      <c r="J568">
        <f>0</f>
        <v>0</v>
      </c>
    </row>
    <row r="569" spans="1:10" x14ac:dyDescent="0.25">
      <c r="A569" t="s">
        <v>578</v>
      </c>
      <c r="B569" t="s">
        <v>11</v>
      </c>
      <c r="C569">
        <v>116.590695313</v>
      </c>
      <c r="D569">
        <f>0</f>
        <v>0</v>
      </c>
      <c r="E569">
        <f>674297791/10^6</f>
        <v>674.29779099999996</v>
      </c>
      <c r="F569">
        <f>0</f>
        <v>0</v>
      </c>
      <c r="G569">
        <f>230872406/10^6</f>
        <v>230.87240600000001</v>
      </c>
      <c r="H569">
        <f>0</f>
        <v>0</v>
      </c>
      <c r="I569">
        <f>-41259983/10^6</f>
        <v>-41.259982999999998</v>
      </c>
      <c r="J569">
        <f>0</f>
        <v>0</v>
      </c>
    </row>
    <row r="570" spans="1:10" x14ac:dyDescent="0.25">
      <c r="A570" t="s">
        <v>579</v>
      </c>
      <c r="B570" t="s">
        <v>11</v>
      </c>
      <c r="C570">
        <v>116.263828125</v>
      </c>
      <c r="D570">
        <f>0</f>
        <v>0</v>
      </c>
      <c r="E570">
        <f>676128845/10^6</f>
        <v>676.12884499999996</v>
      </c>
      <c r="F570">
        <f>0</f>
        <v>0</v>
      </c>
      <c r="G570">
        <f>230817856/10^6</f>
        <v>230.81785600000001</v>
      </c>
      <c r="H570">
        <f>0</f>
        <v>0</v>
      </c>
      <c r="I570">
        <f>-41367977/10^6</f>
        <v>-41.367977000000003</v>
      </c>
      <c r="J570">
        <f>0</f>
        <v>0</v>
      </c>
    </row>
    <row r="571" spans="1:10" x14ac:dyDescent="0.25">
      <c r="A571" t="s">
        <v>580</v>
      </c>
      <c r="B571" t="s">
        <v>11</v>
      </c>
      <c r="C571">
        <v>115.927890625</v>
      </c>
      <c r="D571">
        <f>0</f>
        <v>0</v>
      </c>
      <c r="E571">
        <f>678193604/10^6</f>
        <v>678.19360400000005</v>
      </c>
      <c r="F571">
        <f>0</f>
        <v>0</v>
      </c>
      <c r="G571">
        <f>230759048/10^6</f>
        <v>230.75904800000001</v>
      </c>
      <c r="H571">
        <f>0</f>
        <v>0</v>
      </c>
      <c r="I571">
        <f>-41894585/10^6</f>
        <v>-41.894584999999999</v>
      </c>
      <c r="J571">
        <f>0</f>
        <v>0</v>
      </c>
    </row>
    <row r="572" spans="1:10" x14ac:dyDescent="0.25">
      <c r="A572" t="s">
        <v>581</v>
      </c>
      <c r="B572" t="s">
        <v>11</v>
      </c>
      <c r="C572">
        <v>0</v>
      </c>
      <c r="D572">
        <f>2</f>
        <v>2</v>
      </c>
      <c r="F572">
        <f>2</f>
        <v>2</v>
      </c>
      <c r="H572">
        <f>2</f>
        <v>2</v>
      </c>
      <c r="J572">
        <f>2</f>
        <v>2</v>
      </c>
    </row>
    <row r="573" spans="1:10" x14ac:dyDescent="0.25">
      <c r="A573" t="s">
        <v>582</v>
      </c>
      <c r="B573" t="s">
        <v>11</v>
      </c>
      <c r="C573">
        <v>115.365390625</v>
      </c>
      <c r="D573">
        <f>0</f>
        <v>0</v>
      </c>
      <c r="E573">
        <f>681292358/10^6</f>
        <v>681.29235800000004</v>
      </c>
      <c r="F573">
        <f>0</f>
        <v>0</v>
      </c>
      <c r="G573">
        <f>230573273/10^6</f>
        <v>230.573273</v>
      </c>
      <c r="H573">
        <f>0</f>
        <v>0</v>
      </c>
      <c r="I573">
        <f>-42364922/10^6</f>
        <v>-42.364922</v>
      </c>
      <c r="J573">
        <f>0</f>
        <v>0</v>
      </c>
    </row>
    <row r="574" spans="1:10" x14ac:dyDescent="0.25">
      <c r="A574" t="s">
        <v>583</v>
      </c>
      <c r="B574" t="s">
        <v>11</v>
      </c>
      <c r="C574">
        <v>115.149289063</v>
      </c>
      <c r="D574">
        <f>0</f>
        <v>0</v>
      </c>
      <c r="E574">
        <f>682510803/10^6</f>
        <v>682.51080300000001</v>
      </c>
      <c r="F574">
        <f>0</f>
        <v>0</v>
      </c>
      <c r="G574">
        <f>2305103/10^4</f>
        <v>230.5103</v>
      </c>
      <c r="H574">
        <f>0</f>
        <v>0</v>
      </c>
      <c r="I574">
        <f>-42670864/10^6</f>
        <v>-42.670864000000002</v>
      </c>
      <c r="J574">
        <f>0</f>
        <v>0</v>
      </c>
    </row>
    <row r="575" spans="1:10" x14ac:dyDescent="0.25">
      <c r="A575" t="s">
        <v>584</v>
      </c>
      <c r="B575" t="s">
        <v>11</v>
      </c>
      <c r="C575">
        <v>115.0211875</v>
      </c>
      <c r="D575">
        <f>0</f>
        <v>0</v>
      </c>
      <c r="E575">
        <f>683171326/10^6</f>
        <v>683.17132600000002</v>
      </c>
      <c r="F575">
        <f>0</f>
        <v>0</v>
      </c>
      <c r="G575">
        <f>230483459/10^6</f>
        <v>230.48345900000001</v>
      </c>
      <c r="H575">
        <f>0</f>
        <v>0</v>
      </c>
      <c r="I575">
        <f>-42759094/10^6</f>
        <v>-42.759093999999997</v>
      </c>
      <c r="J575">
        <f>0</f>
        <v>0</v>
      </c>
    </row>
    <row r="576" spans="1:10" x14ac:dyDescent="0.25">
      <c r="A576" t="s">
        <v>585</v>
      </c>
      <c r="B576" t="s">
        <v>11</v>
      </c>
      <c r="C576">
        <v>114.94635156300001</v>
      </c>
      <c r="D576">
        <f>0</f>
        <v>0</v>
      </c>
      <c r="E576">
        <f>683429321/10^6</f>
        <v>683.42932099999996</v>
      </c>
      <c r="F576">
        <f>0</f>
        <v>0</v>
      </c>
      <c r="G576">
        <f>230425903/10^6</f>
        <v>230.42590300000001</v>
      </c>
      <c r="H576">
        <f>0</f>
        <v>0</v>
      </c>
      <c r="I576">
        <f>-42725048/10^6</f>
        <v>-42.725048000000001</v>
      </c>
      <c r="J576">
        <f>0</f>
        <v>0</v>
      </c>
    </row>
    <row r="577" spans="1:10" x14ac:dyDescent="0.25">
      <c r="A577" t="s">
        <v>586</v>
      </c>
      <c r="B577" t="s">
        <v>11</v>
      </c>
      <c r="C577">
        <v>114.867953125</v>
      </c>
      <c r="D577">
        <f>0</f>
        <v>0</v>
      </c>
      <c r="E577">
        <f>683770813/10^6</f>
        <v>683.77081299999998</v>
      </c>
      <c r="F577">
        <f>0</f>
        <v>0</v>
      </c>
      <c r="G577">
        <f>230361328/10^6</f>
        <v>230.36132799999999</v>
      </c>
      <c r="H577">
        <f>0</f>
        <v>0</v>
      </c>
      <c r="I577">
        <f>-42785652/10^6</f>
        <v>-42.785651999999999</v>
      </c>
      <c r="J577">
        <f>0</f>
        <v>0</v>
      </c>
    </row>
    <row r="578" spans="1:10" x14ac:dyDescent="0.25">
      <c r="A578" t="s">
        <v>587</v>
      </c>
      <c r="B578" t="s">
        <v>11</v>
      </c>
      <c r="C578">
        <v>114.781515625</v>
      </c>
      <c r="D578">
        <f>0</f>
        <v>0</v>
      </c>
      <c r="E578">
        <f>683974915/10^6</f>
        <v>683.97491500000001</v>
      </c>
      <c r="F578">
        <f>0</f>
        <v>0</v>
      </c>
      <c r="G578">
        <f>230241348/10^6</f>
        <v>230.24134799999999</v>
      </c>
      <c r="H578">
        <f>0</f>
        <v>0</v>
      </c>
      <c r="I578">
        <f>-42800793/10^6</f>
        <v>-42.800792999999999</v>
      </c>
      <c r="J578">
        <f>0</f>
        <v>0</v>
      </c>
    </row>
    <row r="579" spans="1:10" x14ac:dyDescent="0.25">
      <c r="A579" t="s">
        <v>588</v>
      </c>
      <c r="B579" t="s">
        <v>11</v>
      </c>
      <c r="C579">
        <v>114.66296875</v>
      </c>
      <c r="D579">
        <f>0</f>
        <v>0</v>
      </c>
      <c r="E579">
        <f>684612183/10^6</f>
        <v>684.61218299999996</v>
      </c>
      <c r="F579">
        <f>0</f>
        <v>0</v>
      </c>
      <c r="G579">
        <f>23018782/10^5</f>
        <v>230.18781999999999</v>
      </c>
      <c r="H579">
        <f>0</f>
        <v>0</v>
      </c>
      <c r="I579">
        <f>-42976284/10^6</f>
        <v>-42.976284</v>
      </c>
      <c r="J579">
        <f>0</f>
        <v>0</v>
      </c>
    </row>
    <row r="580" spans="1:10" x14ac:dyDescent="0.25">
      <c r="A580" t="s">
        <v>589</v>
      </c>
      <c r="B580" t="s">
        <v>11</v>
      </c>
      <c r="C580">
        <v>0</v>
      </c>
      <c r="D580">
        <f>2</f>
        <v>2</v>
      </c>
      <c r="F580">
        <f>2</f>
        <v>2</v>
      </c>
      <c r="H580">
        <f>2</f>
        <v>2</v>
      </c>
      <c r="J580">
        <f>2</f>
        <v>2</v>
      </c>
    </row>
    <row r="581" spans="1:10" x14ac:dyDescent="0.25">
      <c r="A581" t="s">
        <v>590</v>
      </c>
      <c r="B581" t="s">
        <v>11</v>
      </c>
      <c r="C581">
        <v>114.587414063</v>
      </c>
      <c r="D581">
        <f>0</f>
        <v>0</v>
      </c>
      <c r="E581">
        <f>68527301/10^5</f>
        <v>685.27301</v>
      </c>
      <c r="F581">
        <f>0</f>
        <v>0</v>
      </c>
      <c r="G581">
        <f>230238052/10^6</f>
        <v>230.23805200000001</v>
      </c>
      <c r="H581">
        <f>0</f>
        <v>0</v>
      </c>
      <c r="I581">
        <f>-43100182/10^6</f>
        <v>-43.100181999999997</v>
      </c>
      <c r="J581">
        <f>0</f>
        <v>0</v>
      </c>
    </row>
    <row r="582" spans="1:10" x14ac:dyDescent="0.25">
      <c r="A582" t="s">
        <v>591</v>
      </c>
      <c r="B582" t="s">
        <v>11</v>
      </c>
      <c r="C582">
        <v>114.64521093800001</v>
      </c>
      <c r="D582">
        <f>0</f>
        <v>0</v>
      </c>
      <c r="E582">
        <f>68483667/10^5</f>
        <v>684.83667000000003</v>
      </c>
      <c r="F582">
        <f>0</f>
        <v>0</v>
      </c>
      <c r="G582">
        <f>230253021/10^6</f>
        <v>230.25302099999999</v>
      </c>
      <c r="H582">
        <f>0</f>
        <v>0</v>
      </c>
      <c r="I582">
        <f>-42945824/10^6</f>
        <v>-42.945824000000002</v>
      </c>
      <c r="J582">
        <f>0</f>
        <v>0</v>
      </c>
    </row>
    <row r="583" spans="1:10" x14ac:dyDescent="0.25">
      <c r="A583" t="s">
        <v>592</v>
      </c>
      <c r="B583" t="s">
        <v>11</v>
      </c>
      <c r="C583">
        <v>114.650671875</v>
      </c>
      <c r="D583">
        <f>0</f>
        <v>0</v>
      </c>
      <c r="E583">
        <f>684839966/10^6</f>
        <v>684.839966</v>
      </c>
      <c r="F583">
        <f>0</f>
        <v>0</v>
      </c>
      <c r="G583">
        <f>230234818/10^6</f>
        <v>230.23481799999999</v>
      </c>
      <c r="H583">
        <f>0</f>
        <v>0</v>
      </c>
      <c r="I583">
        <f>-43066902/10^6</f>
        <v>-43.066901999999999</v>
      </c>
      <c r="J583">
        <f>0</f>
        <v>0</v>
      </c>
    </row>
    <row r="584" spans="1:10" x14ac:dyDescent="0.25">
      <c r="A584" t="s">
        <v>593</v>
      </c>
      <c r="B584" t="s">
        <v>11</v>
      </c>
      <c r="C584">
        <v>114.62009375</v>
      </c>
      <c r="D584">
        <f>0</f>
        <v>0</v>
      </c>
      <c r="E584">
        <f>684879456/10^6</f>
        <v>684.879456</v>
      </c>
      <c r="F584">
        <f>0</f>
        <v>0</v>
      </c>
      <c r="G584">
        <f>23016835/10^5</f>
        <v>230.16835</v>
      </c>
      <c r="H584">
        <f>0</f>
        <v>0</v>
      </c>
      <c r="I584">
        <f>-43081009/10^6</f>
        <v>-43.081009000000002</v>
      </c>
      <c r="J584">
        <f>0</f>
        <v>0</v>
      </c>
    </row>
    <row r="585" spans="1:10" x14ac:dyDescent="0.25">
      <c r="A585" t="s">
        <v>594</v>
      </c>
      <c r="B585" t="s">
        <v>11</v>
      </c>
      <c r="C585">
        <v>114.59448437499999</v>
      </c>
      <c r="D585">
        <f>0</f>
        <v>0</v>
      </c>
      <c r="E585">
        <f>685003174/10^6</f>
        <v>685.00317399999994</v>
      </c>
      <c r="F585">
        <f>0</f>
        <v>0</v>
      </c>
      <c r="G585">
        <f>230208237/10^6</f>
        <v>230.208237</v>
      </c>
      <c r="H585">
        <f>0</f>
        <v>0</v>
      </c>
      <c r="I585">
        <f>-42904907/10^6</f>
        <v>-42.904907000000001</v>
      </c>
      <c r="J585">
        <f>0</f>
        <v>0</v>
      </c>
    </row>
    <row r="586" spans="1:10" x14ac:dyDescent="0.25">
      <c r="A586" t="s">
        <v>595</v>
      </c>
      <c r="B586" t="s">
        <v>11</v>
      </c>
      <c r="C586">
        <v>114.59110156300001</v>
      </c>
      <c r="D586">
        <f>0</f>
        <v>0</v>
      </c>
      <c r="E586">
        <f>685295227/10^6</f>
        <v>685.29522699999995</v>
      </c>
      <c r="F586">
        <f>0</f>
        <v>0</v>
      </c>
      <c r="G586">
        <f>23028157/10^5</f>
        <v>230.28156999999999</v>
      </c>
      <c r="H586">
        <f>0</f>
        <v>0</v>
      </c>
      <c r="I586">
        <f>-4292149/10^5</f>
        <v>-42.921489999999999</v>
      </c>
      <c r="J586">
        <f>0</f>
        <v>0</v>
      </c>
    </row>
    <row r="587" spans="1:10" x14ac:dyDescent="0.25">
      <c r="A587" t="s">
        <v>596</v>
      </c>
      <c r="B587" t="s">
        <v>11</v>
      </c>
      <c r="C587">
        <v>114.58852343800001</v>
      </c>
      <c r="D587">
        <f>0</f>
        <v>0</v>
      </c>
      <c r="E587">
        <f>685422607/10^6</f>
        <v>685.42260699999997</v>
      </c>
      <c r="F587">
        <f>0</f>
        <v>0</v>
      </c>
      <c r="G587">
        <f>230263931/10^6</f>
        <v>230.26393100000001</v>
      </c>
      <c r="H587">
        <f>0</f>
        <v>0</v>
      </c>
      <c r="I587">
        <f>-43196804/10^6</f>
        <v>-43.196804</v>
      </c>
      <c r="J587">
        <f>0</f>
        <v>0</v>
      </c>
    </row>
    <row r="588" spans="1:10" x14ac:dyDescent="0.25">
      <c r="A588" t="s">
        <v>597</v>
      </c>
      <c r="B588" t="s">
        <v>11</v>
      </c>
      <c r="C588">
        <v>114.589484375</v>
      </c>
      <c r="D588">
        <f>0</f>
        <v>0</v>
      </c>
      <c r="E588">
        <f>685176819/10^6</f>
        <v>685.17681900000002</v>
      </c>
      <c r="F588">
        <f>0</f>
        <v>0</v>
      </c>
      <c r="G588">
        <f>230224258/10^6</f>
        <v>230.22425799999999</v>
      </c>
      <c r="H588">
        <f>0</f>
        <v>0</v>
      </c>
      <c r="I588">
        <f>-43091999/10^6</f>
        <v>-43.091999000000001</v>
      </c>
      <c r="J588">
        <f>0</f>
        <v>0</v>
      </c>
    </row>
    <row r="589" spans="1:10" x14ac:dyDescent="0.25">
      <c r="A589" t="s">
        <v>598</v>
      </c>
      <c r="B589" t="s">
        <v>11</v>
      </c>
      <c r="C589">
        <v>114.58599218800001</v>
      </c>
      <c r="D589">
        <f>0</f>
        <v>0</v>
      </c>
      <c r="E589">
        <f>685133545/10^6</f>
        <v>685.13354500000003</v>
      </c>
      <c r="F589">
        <f>0</f>
        <v>0</v>
      </c>
      <c r="G589">
        <f>230251556/10^6</f>
        <v>230.25155599999999</v>
      </c>
      <c r="H589">
        <f>0</f>
        <v>0</v>
      </c>
      <c r="I589">
        <f>-42776302/10^6</f>
        <v>-42.776302000000001</v>
      </c>
      <c r="J589">
        <f>0</f>
        <v>0</v>
      </c>
    </row>
    <row r="590" spans="1:10" x14ac:dyDescent="0.25">
      <c r="A590" t="s">
        <v>599</v>
      </c>
      <c r="B590" t="s">
        <v>11</v>
      </c>
      <c r="C590">
        <v>114.572835938</v>
      </c>
      <c r="D590">
        <f>0</f>
        <v>0</v>
      </c>
      <c r="E590">
        <f>685430542/10^6</f>
        <v>685.43054199999995</v>
      </c>
      <c r="F590">
        <f>0</f>
        <v>0</v>
      </c>
      <c r="G590">
        <f>230287704/10^6</f>
        <v>230.28770399999999</v>
      </c>
      <c r="H590">
        <f>0</f>
        <v>0</v>
      </c>
      <c r="I590">
        <f>-42989521/10^6</f>
        <v>-42.989521000000003</v>
      </c>
      <c r="J590">
        <f>0</f>
        <v>0</v>
      </c>
    </row>
    <row r="591" spans="1:10" x14ac:dyDescent="0.25">
      <c r="A591" t="s">
        <v>600</v>
      </c>
      <c r="B591" t="s">
        <v>11</v>
      </c>
      <c r="C591">
        <v>114.614328125</v>
      </c>
      <c r="D591">
        <f>0</f>
        <v>0</v>
      </c>
      <c r="E591">
        <f>685220337/10^6</f>
        <v>685.22033699999997</v>
      </c>
      <c r="F591">
        <f>0</f>
        <v>0</v>
      </c>
      <c r="G591">
        <f>23025235/10^5</f>
        <v>230.25235000000001</v>
      </c>
      <c r="H591">
        <f>0</f>
        <v>0</v>
      </c>
      <c r="I591">
        <f>-43233227/10^6</f>
        <v>-43.233226999999999</v>
      </c>
      <c r="J591">
        <f>0</f>
        <v>0</v>
      </c>
    </row>
    <row r="592" spans="1:10" x14ac:dyDescent="0.25">
      <c r="A592" t="s">
        <v>601</v>
      </c>
      <c r="B592" t="s">
        <v>11</v>
      </c>
      <c r="C592">
        <v>114.725359375</v>
      </c>
      <c r="D592">
        <f>0</f>
        <v>0</v>
      </c>
      <c r="E592">
        <f>684472717/10^6</f>
        <v>684.47271699999999</v>
      </c>
      <c r="F592">
        <f>0</f>
        <v>0</v>
      </c>
      <c r="G592">
        <f>230227432/10^6</f>
        <v>230.22743199999999</v>
      </c>
      <c r="H592">
        <f>0</f>
        <v>0</v>
      </c>
      <c r="I592">
        <f>-43166664/10^6</f>
        <v>-43.166663999999997</v>
      </c>
      <c r="J592">
        <f>0</f>
        <v>0</v>
      </c>
    </row>
    <row r="593" spans="1:10" x14ac:dyDescent="0.25">
      <c r="A593" t="s">
        <v>602</v>
      </c>
      <c r="B593" t="s">
        <v>11</v>
      </c>
      <c r="C593">
        <v>114.87571875</v>
      </c>
      <c r="D593">
        <f>0</f>
        <v>0</v>
      </c>
      <c r="E593">
        <f>683647644/10^6</f>
        <v>683.64764400000001</v>
      </c>
      <c r="F593">
        <f>0</f>
        <v>0</v>
      </c>
      <c r="G593">
        <f>230328232/10^6</f>
        <v>230.32823200000001</v>
      </c>
      <c r="H593">
        <f>0</f>
        <v>0</v>
      </c>
      <c r="I593">
        <f>-42870808/10^6</f>
        <v>-42.870807999999997</v>
      </c>
      <c r="J593">
        <f>0</f>
        <v>0</v>
      </c>
    </row>
    <row r="594" spans="1:10" x14ac:dyDescent="0.25">
      <c r="A594" t="s">
        <v>603</v>
      </c>
      <c r="B594" t="s">
        <v>11</v>
      </c>
      <c r="C594">
        <v>115.035421875</v>
      </c>
      <c r="D594">
        <f>0</f>
        <v>0</v>
      </c>
      <c r="E594">
        <f>682965393/10^6</f>
        <v>682.96539299999995</v>
      </c>
      <c r="F594">
        <f>0</f>
        <v>0</v>
      </c>
      <c r="G594">
        <f>230467529/10^6</f>
        <v>230.46752900000001</v>
      </c>
      <c r="H594">
        <f>0</f>
        <v>0</v>
      </c>
      <c r="I594">
        <f>-42637135/10^6</f>
        <v>-42.637135000000001</v>
      </c>
      <c r="J594">
        <f>0</f>
        <v>0</v>
      </c>
    </row>
    <row r="595" spans="1:10" x14ac:dyDescent="0.25">
      <c r="A595" t="s">
        <v>604</v>
      </c>
      <c r="B595" t="s">
        <v>11</v>
      </c>
      <c r="C595">
        <v>115.18338281300001</v>
      </c>
      <c r="D595">
        <f>0</f>
        <v>0</v>
      </c>
      <c r="E595">
        <f>682495056/10^6</f>
        <v>682.49505599999998</v>
      </c>
      <c r="F595">
        <f>0</f>
        <v>0</v>
      </c>
      <c r="G595">
        <f>230551575/10^6</f>
        <v>230.55157500000001</v>
      </c>
      <c r="H595">
        <f>0</f>
        <v>0</v>
      </c>
      <c r="I595">
        <f>-42870792/10^6</f>
        <v>-42.870792000000002</v>
      </c>
      <c r="J595">
        <f>0</f>
        <v>0</v>
      </c>
    </row>
    <row r="596" spans="1:10" x14ac:dyDescent="0.25">
      <c r="A596" t="s">
        <v>605</v>
      </c>
      <c r="B596" t="s">
        <v>11</v>
      </c>
      <c r="C596">
        <v>115.34682031300001</v>
      </c>
      <c r="D596">
        <f>0</f>
        <v>0</v>
      </c>
      <c r="E596">
        <f>681655945/10^6</f>
        <v>681.65594499999997</v>
      </c>
      <c r="F596">
        <f>0</f>
        <v>0</v>
      </c>
      <c r="G596">
        <f>230605469/10^6</f>
        <v>230.605469</v>
      </c>
      <c r="H596">
        <f>0</f>
        <v>0</v>
      </c>
      <c r="I596">
        <f>-42873215/10^6</f>
        <v>-42.873215000000002</v>
      </c>
      <c r="J596">
        <f>0</f>
        <v>0</v>
      </c>
    </row>
    <row r="597" spans="1:10" x14ac:dyDescent="0.25">
      <c r="A597" t="s">
        <v>606</v>
      </c>
      <c r="B597" t="s">
        <v>11</v>
      </c>
      <c r="C597">
        <v>115.532296875</v>
      </c>
      <c r="D597">
        <f>0</f>
        <v>0</v>
      </c>
      <c r="E597">
        <f>680487/10^3</f>
        <v>680.48699999999997</v>
      </c>
      <c r="F597">
        <f>0</f>
        <v>0</v>
      </c>
      <c r="G597">
        <f>230670776/10^6</f>
        <v>230.67077599999999</v>
      </c>
      <c r="H597">
        <f>0</f>
        <v>0</v>
      </c>
      <c r="I597">
        <f>-42419174/10^6</f>
        <v>-42.419173999999998</v>
      </c>
      <c r="J597">
        <f>0</f>
        <v>0</v>
      </c>
    </row>
    <row r="598" spans="1:10" x14ac:dyDescent="0.25">
      <c r="A598" t="s">
        <v>607</v>
      </c>
      <c r="B598" t="s">
        <v>11</v>
      </c>
      <c r="C598">
        <v>0</v>
      </c>
      <c r="D598">
        <f>2</f>
        <v>2</v>
      </c>
      <c r="F598">
        <f>2</f>
        <v>2</v>
      </c>
      <c r="H598">
        <f>2</f>
        <v>2</v>
      </c>
      <c r="J598">
        <f>2</f>
        <v>2</v>
      </c>
    </row>
    <row r="599" spans="1:10" x14ac:dyDescent="0.25">
      <c r="A599" t="s">
        <v>608</v>
      </c>
      <c r="B599" t="s">
        <v>11</v>
      </c>
      <c r="C599">
        <v>115.872664063</v>
      </c>
      <c r="D599">
        <f>0</f>
        <v>0</v>
      </c>
      <c r="E599">
        <f>678687378/10^6</f>
        <v>678.68737799999997</v>
      </c>
      <c r="F599">
        <f>0</f>
        <v>0</v>
      </c>
      <c r="G599">
        <f>230757019/10^6</f>
        <v>230.75701900000001</v>
      </c>
      <c r="H599">
        <f>0</f>
        <v>0</v>
      </c>
      <c r="I599">
        <f>-42478687/10^6</f>
        <v>-42.478687000000001</v>
      </c>
      <c r="J599">
        <f>0</f>
        <v>0</v>
      </c>
    </row>
    <row r="600" spans="1:10" x14ac:dyDescent="0.25">
      <c r="A600" t="s">
        <v>609</v>
      </c>
      <c r="B600" t="s">
        <v>11</v>
      </c>
      <c r="C600">
        <v>116.12210937499999</v>
      </c>
      <c r="D600">
        <f>0</f>
        <v>0</v>
      </c>
      <c r="E600">
        <f>677194763/10^6</f>
        <v>677.19476299999997</v>
      </c>
      <c r="F600">
        <f>0</f>
        <v>0</v>
      </c>
      <c r="G600">
        <f>230800644/10^6</f>
        <v>230.80064400000001</v>
      </c>
      <c r="H600">
        <f>0</f>
        <v>0</v>
      </c>
      <c r="I600">
        <f>-42251472/10^6</f>
        <v>-42.251472</v>
      </c>
      <c r="J600">
        <f>0</f>
        <v>0</v>
      </c>
    </row>
    <row r="601" spans="1:10" x14ac:dyDescent="0.25">
      <c r="A601" t="s">
        <v>610</v>
      </c>
      <c r="B601" t="s">
        <v>11</v>
      </c>
      <c r="C601">
        <v>0</v>
      </c>
      <c r="D601">
        <f>2</f>
        <v>2</v>
      </c>
      <c r="F601">
        <f>2</f>
        <v>2</v>
      </c>
      <c r="H601">
        <f>2</f>
        <v>2</v>
      </c>
      <c r="J601">
        <f>2</f>
        <v>2</v>
      </c>
    </row>
    <row r="602" spans="1:10" x14ac:dyDescent="0.25">
      <c r="A602" t="s">
        <v>611</v>
      </c>
      <c r="B602" t="s">
        <v>11</v>
      </c>
      <c r="C602">
        <v>116.77727343800001</v>
      </c>
      <c r="D602">
        <f>0</f>
        <v>0</v>
      </c>
      <c r="E602">
        <f>673332092/10^6</f>
        <v>673.33209199999999</v>
      </c>
      <c r="F602">
        <f>0</f>
        <v>0</v>
      </c>
      <c r="G602">
        <f>230882523/10^6</f>
        <v>230.88252299999999</v>
      </c>
      <c r="H602">
        <f>0</f>
        <v>0</v>
      </c>
      <c r="I602">
        <f>-41672417/10^6</f>
        <v>-41.672417000000003</v>
      </c>
      <c r="J602">
        <f>0</f>
        <v>0</v>
      </c>
    </row>
    <row r="603" spans="1:10" x14ac:dyDescent="0.25">
      <c r="A603" t="s">
        <v>612</v>
      </c>
      <c r="B603" t="s">
        <v>11</v>
      </c>
      <c r="C603">
        <v>117.172054688</v>
      </c>
      <c r="D603">
        <f>0</f>
        <v>0</v>
      </c>
      <c r="E603">
        <f>671075989/10^6</f>
        <v>671.07598900000005</v>
      </c>
      <c r="F603">
        <f>0</f>
        <v>0</v>
      </c>
      <c r="G603">
        <f>230941528/10^6</f>
        <v>230.94152800000001</v>
      </c>
      <c r="H603">
        <f>0</f>
        <v>0</v>
      </c>
      <c r="I603">
        <f>-41498337/10^6</f>
        <v>-41.498336999999999</v>
      </c>
      <c r="J603">
        <f>0</f>
        <v>0</v>
      </c>
    </row>
    <row r="604" spans="1:10" x14ac:dyDescent="0.25">
      <c r="A604" t="s">
        <v>613</v>
      </c>
      <c r="B604" t="s">
        <v>11</v>
      </c>
      <c r="C604">
        <v>117.62678124999999</v>
      </c>
      <c r="D604">
        <f>0</f>
        <v>0</v>
      </c>
      <c r="E604">
        <f>668504883/10^6</f>
        <v>668.50488299999995</v>
      </c>
      <c r="F604">
        <f>0</f>
        <v>0</v>
      </c>
      <c r="G604">
        <f>231010742/10^6</f>
        <v>231.01074199999999</v>
      </c>
      <c r="H604">
        <f>0</f>
        <v>0</v>
      </c>
      <c r="I604">
        <f>-41250175/10^6</f>
        <v>-41.250174999999999</v>
      </c>
      <c r="J604">
        <f>0</f>
        <v>0</v>
      </c>
    </row>
    <row r="605" spans="1:10" x14ac:dyDescent="0.25">
      <c r="A605" t="s">
        <v>614</v>
      </c>
      <c r="B605" t="s">
        <v>11</v>
      </c>
      <c r="C605">
        <v>118.121945313</v>
      </c>
      <c r="D605">
        <f>0</f>
        <v>0</v>
      </c>
      <c r="E605">
        <f>66567041/10^5</f>
        <v>665.67040999999995</v>
      </c>
      <c r="F605">
        <f>0</f>
        <v>0</v>
      </c>
      <c r="G605">
        <f>231071777/10^6</f>
        <v>231.071777</v>
      </c>
      <c r="H605">
        <f>0</f>
        <v>0</v>
      </c>
      <c r="I605">
        <f>-40974537/10^6</f>
        <v>-40.974536999999998</v>
      </c>
      <c r="J605">
        <f>0</f>
        <v>0</v>
      </c>
    </row>
    <row r="606" spans="1:10" x14ac:dyDescent="0.25">
      <c r="A606" t="s">
        <v>615</v>
      </c>
      <c r="B606" t="s">
        <v>11</v>
      </c>
      <c r="C606">
        <v>118.649703125</v>
      </c>
      <c r="D606">
        <f>0</f>
        <v>0</v>
      </c>
      <c r="E606">
        <f>662748657/10^6</f>
        <v>662.74865699999998</v>
      </c>
      <c r="F606">
        <f>0</f>
        <v>0</v>
      </c>
      <c r="G606">
        <f>231141586/10^6</f>
        <v>231.14158599999999</v>
      </c>
      <c r="H606">
        <f>0</f>
        <v>0</v>
      </c>
      <c r="I606">
        <f>-40831665/10^6</f>
        <v>-40.831665000000001</v>
      </c>
      <c r="J606">
        <f>0</f>
        <v>0</v>
      </c>
    </row>
    <row r="607" spans="1:10" x14ac:dyDescent="0.25">
      <c r="A607" t="s">
        <v>616</v>
      </c>
      <c r="B607" t="s">
        <v>11</v>
      </c>
      <c r="C607">
        <v>119.20274999999999</v>
      </c>
      <c r="D607">
        <f>0</f>
        <v>0</v>
      </c>
      <c r="E607">
        <f>659618958/10^6</f>
        <v>659.61895800000002</v>
      </c>
      <c r="F607">
        <f>0</f>
        <v>0</v>
      </c>
      <c r="G607">
        <f>231208313/10^6</f>
        <v>231.208313</v>
      </c>
      <c r="H607">
        <f>0</f>
        <v>0</v>
      </c>
      <c r="I607">
        <f>-40492104/10^6</f>
        <v>-40.492103999999998</v>
      </c>
      <c r="J607">
        <f>0</f>
        <v>0</v>
      </c>
    </row>
    <row r="608" spans="1:10" x14ac:dyDescent="0.25">
      <c r="A608" t="s">
        <v>617</v>
      </c>
      <c r="B608" t="s">
        <v>11</v>
      </c>
      <c r="C608">
        <v>119.7119375</v>
      </c>
      <c r="D608">
        <f>0</f>
        <v>0</v>
      </c>
      <c r="E608">
        <f>656708679/10^6</f>
        <v>656.70867899999996</v>
      </c>
      <c r="F608">
        <f>0</f>
        <v>0</v>
      </c>
      <c r="G608">
        <f>231248398/10^6</f>
        <v>231.24839800000001</v>
      </c>
      <c r="H608">
        <f>0</f>
        <v>0</v>
      </c>
      <c r="I608">
        <f>-4004147/10^5</f>
        <v>-40.041469999999997</v>
      </c>
      <c r="J608">
        <f>0</f>
        <v>0</v>
      </c>
    </row>
    <row r="609" spans="1:10" x14ac:dyDescent="0.25">
      <c r="A609" t="s">
        <v>618</v>
      </c>
      <c r="B609" t="s">
        <v>11</v>
      </c>
      <c r="C609">
        <v>120.133703125</v>
      </c>
      <c r="D609">
        <f>0</f>
        <v>0</v>
      </c>
      <c r="E609">
        <f>654358093/10^6</f>
        <v>654.35809300000005</v>
      </c>
      <c r="F609">
        <f>0</f>
        <v>0</v>
      </c>
      <c r="G609">
        <f>231306534/10^6</f>
        <v>231.306534</v>
      </c>
      <c r="H609">
        <f>0</f>
        <v>0</v>
      </c>
      <c r="I609">
        <f>-39757401/10^6</f>
        <v>-39.757401000000002</v>
      </c>
      <c r="J609">
        <f>0</f>
        <v>0</v>
      </c>
    </row>
    <row r="610" spans="1:10" x14ac:dyDescent="0.25">
      <c r="A610" t="s">
        <v>619</v>
      </c>
      <c r="B610" t="s">
        <v>11</v>
      </c>
      <c r="C610">
        <v>120.49546875</v>
      </c>
      <c r="D610">
        <f>0</f>
        <v>0</v>
      </c>
      <c r="E610">
        <f>652355347/10^6</f>
        <v>652.35534700000005</v>
      </c>
      <c r="F610">
        <f>0</f>
        <v>0</v>
      </c>
      <c r="G610">
        <f>231359253/10^6</f>
        <v>231.359253</v>
      </c>
      <c r="H610">
        <f>0</f>
        <v>0</v>
      </c>
      <c r="I610">
        <f>-39560425/10^6</f>
        <v>-39.560425000000002</v>
      </c>
      <c r="J610">
        <f>0</f>
        <v>0</v>
      </c>
    </row>
    <row r="611" spans="1:10" x14ac:dyDescent="0.25">
      <c r="A611" t="s">
        <v>620</v>
      </c>
      <c r="B611" t="s">
        <v>11</v>
      </c>
      <c r="C611">
        <v>120.78871093800001</v>
      </c>
      <c r="D611">
        <f>0</f>
        <v>0</v>
      </c>
      <c r="E611">
        <f>650665771/10^6</f>
        <v>650.66577099999995</v>
      </c>
      <c r="F611">
        <f>0</f>
        <v>0</v>
      </c>
      <c r="G611">
        <f>231375488/10^6</f>
        <v>231.37548799999999</v>
      </c>
      <c r="H611">
        <f>0</f>
        <v>0</v>
      </c>
      <c r="I611">
        <f>-39359623/10^6</f>
        <v>-39.359622999999999</v>
      </c>
      <c r="J611">
        <f>0</f>
        <v>0</v>
      </c>
    </row>
    <row r="612" spans="1:10" x14ac:dyDescent="0.25">
      <c r="A612" t="s">
        <v>621</v>
      </c>
      <c r="B612" t="s">
        <v>11</v>
      </c>
      <c r="C612">
        <v>120.97467968800001</v>
      </c>
      <c r="D612">
        <f>0</f>
        <v>0</v>
      </c>
      <c r="E612">
        <f>649629089/10^6</f>
        <v>649.62908900000002</v>
      </c>
      <c r="F612">
        <f>0</f>
        <v>0</v>
      </c>
      <c r="G612">
        <f>231405258/10^6</f>
        <v>231.405258</v>
      </c>
      <c r="H612">
        <f>0</f>
        <v>0</v>
      </c>
      <c r="I612">
        <f>-3923423/10^5</f>
        <v>-39.234229999999997</v>
      </c>
      <c r="J612">
        <f>0</f>
        <v>0</v>
      </c>
    </row>
    <row r="613" spans="1:10" x14ac:dyDescent="0.25">
      <c r="A613" t="s">
        <v>622</v>
      </c>
      <c r="B613" t="s">
        <v>11</v>
      </c>
      <c r="C613">
        <v>121.073132813</v>
      </c>
      <c r="D613">
        <f>0</f>
        <v>0</v>
      </c>
      <c r="E613">
        <f>649221619/10^6</f>
        <v>649.22161900000003</v>
      </c>
      <c r="F613">
        <f>0</f>
        <v>0</v>
      </c>
      <c r="G613">
        <f>231444946/10^6</f>
        <v>231.44494599999999</v>
      </c>
      <c r="H613">
        <f>0</f>
        <v>0</v>
      </c>
      <c r="I613">
        <f>-39264309/10^6</f>
        <v>-39.264308999999997</v>
      </c>
      <c r="J613">
        <f>0</f>
        <v>0</v>
      </c>
    </row>
    <row r="614" spans="1:10" x14ac:dyDescent="0.25">
      <c r="A614" t="s">
        <v>623</v>
      </c>
      <c r="B614" t="s">
        <v>11</v>
      </c>
      <c r="C614">
        <v>121.130882813</v>
      </c>
      <c r="D614">
        <f>0</f>
        <v>0</v>
      </c>
      <c r="E614">
        <f>648952209/10^6</f>
        <v>648.95220900000004</v>
      </c>
      <c r="F614">
        <f>0</f>
        <v>0</v>
      </c>
      <c r="G614">
        <f>231470276/10^6</f>
        <v>231.47027600000001</v>
      </c>
      <c r="H614">
        <f>0</f>
        <v>0</v>
      </c>
      <c r="I614">
        <f>-39118313/10^6</f>
        <v>-39.118313000000001</v>
      </c>
      <c r="J614">
        <f>0</f>
        <v>0</v>
      </c>
    </row>
    <row r="615" spans="1:10" x14ac:dyDescent="0.25">
      <c r="A615" t="s">
        <v>624</v>
      </c>
      <c r="B615" t="s">
        <v>11</v>
      </c>
      <c r="C615">
        <v>121.172820313</v>
      </c>
      <c r="D615">
        <f>0</f>
        <v>0</v>
      </c>
      <c r="E615">
        <f>648695984/10^6</f>
        <v>648.69598399999995</v>
      </c>
      <c r="F615">
        <f>0</f>
        <v>0</v>
      </c>
      <c r="G615">
        <f>231491898/10^6</f>
        <v>231.49189799999999</v>
      </c>
      <c r="H615">
        <f>0</f>
        <v>0</v>
      </c>
      <c r="I615">
        <f>-3887904/10^5</f>
        <v>-38.879040000000003</v>
      </c>
      <c r="J615">
        <f>0</f>
        <v>0</v>
      </c>
    </row>
    <row r="616" spans="1:10" x14ac:dyDescent="0.25">
      <c r="A616" t="s">
        <v>625</v>
      </c>
      <c r="B616" t="s">
        <v>11</v>
      </c>
      <c r="C616">
        <v>121.2029375</v>
      </c>
      <c r="D616">
        <f>0</f>
        <v>0</v>
      </c>
      <c r="E616">
        <f>648549438/10^6</f>
        <v>648.54943800000001</v>
      </c>
      <c r="F616">
        <f>0</f>
        <v>0</v>
      </c>
      <c r="G616">
        <f>231498947/10^6</f>
        <v>231.49894699999999</v>
      </c>
      <c r="H616">
        <f>0</f>
        <v>0</v>
      </c>
      <c r="I616">
        <f>-38870728/10^6</f>
        <v>-38.870728</v>
      </c>
      <c r="J616">
        <f>0</f>
        <v>0</v>
      </c>
    </row>
    <row r="617" spans="1:10" x14ac:dyDescent="0.25">
      <c r="A617" t="s">
        <v>626</v>
      </c>
      <c r="B617" t="s">
        <v>11</v>
      </c>
      <c r="C617">
        <v>121.20834375</v>
      </c>
      <c r="D617">
        <f>0</f>
        <v>0</v>
      </c>
      <c r="E617">
        <f>648500977/10^6</f>
        <v>648.50097700000003</v>
      </c>
      <c r="F617">
        <f>0</f>
        <v>0</v>
      </c>
      <c r="G617">
        <f>231505508/10^6</f>
        <v>231.50550799999999</v>
      </c>
      <c r="H617">
        <f>0</f>
        <v>0</v>
      </c>
      <c r="I617">
        <f>-38878334/10^6</f>
        <v>-38.878334000000002</v>
      </c>
      <c r="J617">
        <f>0</f>
        <v>0</v>
      </c>
    </row>
    <row r="618" spans="1:10" x14ac:dyDescent="0.25">
      <c r="A618" t="s">
        <v>627</v>
      </c>
      <c r="B618" t="s">
        <v>11</v>
      </c>
      <c r="C618">
        <v>121.184898438</v>
      </c>
      <c r="D618">
        <f>0</f>
        <v>0</v>
      </c>
      <c r="E618">
        <f>648705505/10^6</f>
        <v>648.70550500000002</v>
      </c>
      <c r="F618">
        <f>0</f>
        <v>0</v>
      </c>
      <c r="G618">
        <f>231514511/10^6</f>
        <v>231.514511</v>
      </c>
      <c r="H618">
        <f>0</f>
        <v>0</v>
      </c>
      <c r="I618">
        <f>-39017078/10^6</f>
        <v>-39.017077999999998</v>
      </c>
      <c r="J618">
        <f>0</f>
        <v>0</v>
      </c>
    </row>
    <row r="619" spans="1:10" x14ac:dyDescent="0.25">
      <c r="A619" t="s">
        <v>628</v>
      </c>
      <c r="B619" t="s">
        <v>11</v>
      </c>
      <c r="C619">
        <v>121.15543750000001</v>
      </c>
      <c r="D619">
        <f>0</f>
        <v>0</v>
      </c>
      <c r="E619">
        <f>64897821/10^5</f>
        <v>648.97820999999999</v>
      </c>
      <c r="F619">
        <f>0</f>
        <v>0</v>
      </c>
      <c r="G619">
        <f>231508804/10^6</f>
        <v>231.508804</v>
      </c>
      <c r="H619">
        <f>0</f>
        <v>0</v>
      </c>
      <c r="I619">
        <f>-39073353/10^6</f>
        <v>-39.073352999999997</v>
      </c>
      <c r="J619">
        <f>0</f>
        <v>0</v>
      </c>
    </row>
    <row r="620" spans="1:10" x14ac:dyDescent="0.25">
      <c r="A620" t="s">
        <v>629</v>
      </c>
      <c r="B620" t="s">
        <v>11</v>
      </c>
      <c r="C620">
        <v>121.12255468800001</v>
      </c>
      <c r="D620">
        <f>0</f>
        <v>0</v>
      </c>
      <c r="E620">
        <f>649063416/10^6</f>
        <v>649.06341599999996</v>
      </c>
      <c r="F620">
        <f>0</f>
        <v>0</v>
      </c>
      <c r="G620">
        <f>231500351/10^6</f>
        <v>231.50035099999999</v>
      </c>
      <c r="H620">
        <f>0</f>
        <v>0</v>
      </c>
      <c r="I620">
        <f>-38870075/10^6</f>
        <v>-38.870075</v>
      </c>
      <c r="J620">
        <f>0</f>
        <v>0</v>
      </c>
    </row>
    <row r="621" spans="1:10" x14ac:dyDescent="0.25">
      <c r="A621" t="s">
        <v>630</v>
      </c>
      <c r="B621" t="s">
        <v>11</v>
      </c>
      <c r="C621">
        <v>121.024804688</v>
      </c>
      <c r="D621">
        <f>0</f>
        <v>0</v>
      </c>
      <c r="E621">
        <f>649570435/10^6</f>
        <v>649.57043499999997</v>
      </c>
      <c r="F621">
        <f>0</f>
        <v>0</v>
      </c>
      <c r="G621">
        <f>231485657/10^6</f>
        <v>231.485657</v>
      </c>
      <c r="H621">
        <f>0</f>
        <v>0</v>
      </c>
      <c r="I621">
        <f>-38974689/10^6</f>
        <v>-38.974688999999998</v>
      </c>
      <c r="J621">
        <f>0</f>
        <v>0</v>
      </c>
    </row>
    <row r="622" spans="1:10" x14ac:dyDescent="0.25">
      <c r="A622" t="s">
        <v>631</v>
      </c>
      <c r="B622" t="s">
        <v>11</v>
      </c>
      <c r="C622">
        <v>120.84659375</v>
      </c>
      <c r="D622">
        <f>0</f>
        <v>0</v>
      </c>
      <c r="E622">
        <f>65055542/10^5</f>
        <v>650.55542000000003</v>
      </c>
      <c r="F622">
        <f>0</f>
        <v>0</v>
      </c>
      <c r="G622">
        <f>231463272/10^6</f>
        <v>231.46327199999999</v>
      </c>
      <c r="H622">
        <f>0</f>
        <v>0</v>
      </c>
      <c r="I622">
        <f>-39090721/10^6</f>
        <v>-39.090721000000002</v>
      </c>
      <c r="J622">
        <f>0</f>
        <v>0</v>
      </c>
    </row>
    <row r="623" spans="1:10" x14ac:dyDescent="0.25">
      <c r="A623" t="s">
        <v>632</v>
      </c>
      <c r="B623" t="s">
        <v>11</v>
      </c>
      <c r="C623">
        <v>120.62863281300001</v>
      </c>
      <c r="D623">
        <f>0</f>
        <v>0</v>
      </c>
      <c r="E623">
        <f>651650146/10^6</f>
        <v>651.65014599999995</v>
      </c>
      <c r="F623">
        <f>0</f>
        <v>0</v>
      </c>
      <c r="G623">
        <f>231435471/10^6</f>
        <v>231.43547100000001</v>
      </c>
      <c r="H623">
        <f>0</f>
        <v>0</v>
      </c>
      <c r="I623">
        <f>-38993874/10^6</f>
        <v>-38.993873999999998</v>
      </c>
      <c r="J623">
        <f>0</f>
        <v>0</v>
      </c>
    </row>
    <row r="624" spans="1:10" x14ac:dyDescent="0.25">
      <c r="A624" t="s">
        <v>633</v>
      </c>
      <c r="B624" t="s">
        <v>11</v>
      </c>
      <c r="C624">
        <v>0</v>
      </c>
      <c r="D624">
        <f>2</f>
        <v>2</v>
      </c>
      <c r="F624">
        <f>2</f>
        <v>2</v>
      </c>
      <c r="H624">
        <f>2</f>
        <v>2</v>
      </c>
      <c r="J624">
        <f>2</f>
        <v>2</v>
      </c>
    </row>
    <row r="625" spans="1:10" x14ac:dyDescent="0.25">
      <c r="A625" t="s">
        <v>634</v>
      </c>
      <c r="B625" t="s">
        <v>11</v>
      </c>
      <c r="C625">
        <v>120.11378125</v>
      </c>
      <c r="D625">
        <f>0</f>
        <v>0</v>
      </c>
      <c r="E625">
        <f>654477539/10^6</f>
        <v>654.47753899999998</v>
      </c>
      <c r="F625">
        <f>0</f>
        <v>0</v>
      </c>
      <c r="G625">
        <f>231357895/10^6</f>
        <v>231.35789500000001</v>
      </c>
      <c r="H625">
        <f>0</f>
        <v>0</v>
      </c>
      <c r="I625">
        <f>-39177052/10^6</f>
        <v>-39.177052000000003</v>
      </c>
      <c r="J625">
        <f>0</f>
        <v>0</v>
      </c>
    </row>
    <row r="626" spans="1:10" x14ac:dyDescent="0.25">
      <c r="A626" t="s">
        <v>635</v>
      </c>
      <c r="B626" t="s">
        <v>11</v>
      </c>
      <c r="C626">
        <v>119.83443750000001</v>
      </c>
      <c r="D626">
        <f>0</f>
        <v>0</v>
      </c>
      <c r="E626">
        <f>65595874/10^5</f>
        <v>655.95874000000003</v>
      </c>
      <c r="F626">
        <f>0</f>
        <v>0</v>
      </c>
      <c r="G626">
        <f>231312088/10^6</f>
        <v>231.31208799999999</v>
      </c>
      <c r="H626">
        <f>0</f>
        <v>0</v>
      </c>
      <c r="I626">
        <f>-3935302/10^5</f>
        <v>-39.353020000000001</v>
      </c>
      <c r="J626">
        <f>0</f>
        <v>0</v>
      </c>
    </row>
    <row r="627" spans="1:10" x14ac:dyDescent="0.25">
      <c r="A627" t="s">
        <v>636</v>
      </c>
      <c r="B627" t="s">
        <v>11</v>
      </c>
      <c r="C627">
        <v>119.529539063</v>
      </c>
      <c r="D627">
        <f>0</f>
        <v>0</v>
      </c>
      <c r="E627">
        <f>657644043/10^6</f>
        <v>657.64404300000001</v>
      </c>
      <c r="F627">
        <f>0</f>
        <v>0</v>
      </c>
      <c r="G627">
        <f>231264557/10^6</f>
        <v>231.264557</v>
      </c>
      <c r="H627">
        <f>0</f>
        <v>0</v>
      </c>
      <c r="I627">
        <f>-39599766/10^6</f>
        <v>-39.599766000000002</v>
      </c>
      <c r="J627">
        <f>0</f>
        <v>0</v>
      </c>
    </row>
    <row r="628" spans="1:10" x14ac:dyDescent="0.25">
      <c r="A628" t="s">
        <v>637</v>
      </c>
      <c r="B628" t="s">
        <v>11</v>
      </c>
      <c r="C628">
        <v>119.23587499999999</v>
      </c>
      <c r="D628">
        <f>0</f>
        <v>0</v>
      </c>
      <c r="E628">
        <f>659266357/10^6</f>
        <v>659.26635699999997</v>
      </c>
      <c r="F628">
        <f>0</f>
        <v>0</v>
      </c>
      <c r="G628">
        <f>231208801/10^6</f>
        <v>231.20880099999999</v>
      </c>
      <c r="H628">
        <f>0</f>
        <v>0</v>
      </c>
      <c r="I628">
        <f>-39816734/10^6</f>
        <v>-39.816733999999997</v>
      </c>
      <c r="J628">
        <f>0</f>
        <v>0</v>
      </c>
    </row>
    <row r="629" spans="1:10" x14ac:dyDescent="0.25">
      <c r="A629" t="s">
        <v>638</v>
      </c>
      <c r="B629" t="s">
        <v>11</v>
      </c>
      <c r="C629">
        <v>118.954398438</v>
      </c>
      <c r="D629">
        <f>0</f>
        <v>0</v>
      </c>
      <c r="E629">
        <f>660888428/10^6</f>
        <v>660.88842799999998</v>
      </c>
      <c r="F629">
        <f>0</f>
        <v>0</v>
      </c>
      <c r="G629">
        <f>231163101/10^6</f>
        <v>231.16310100000001</v>
      </c>
      <c r="H629">
        <f>0</f>
        <v>0</v>
      </c>
      <c r="I629">
        <f>-40059025/10^6</f>
        <v>-40.059024999999998</v>
      </c>
      <c r="J629">
        <f>0</f>
        <v>0</v>
      </c>
    </row>
    <row r="630" spans="1:10" x14ac:dyDescent="0.25">
      <c r="A630" t="s">
        <v>639</v>
      </c>
      <c r="B630" t="s">
        <v>11</v>
      </c>
      <c r="C630">
        <v>118.650070313</v>
      </c>
      <c r="D630">
        <f>0</f>
        <v>0</v>
      </c>
      <c r="E630">
        <f>662589661/10^6</f>
        <v>662.58966099999998</v>
      </c>
      <c r="F630">
        <f>0</f>
        <v>0</v>
      </c>
      <c r="G630">
        <f>231111374/10^6</f>
        <v>231.11137400000001</v>
      </c>
      <c r="H630">
        <f>0</f>
        <v>0</v>
      </c>
      <c r="I630">
        <f>-40243008/10^6</f>
        <v>-40.243008000000003</v>
      </c>
      <c r="J630">
        <f>0</f>
        <v>0</v>
      </c>
    </row>
    <row r="631" spans="1:10" x14ac:dyDescent="0.25">
      <c r="A631" t="s">
        <v>640</v>
      </c>
      <c r="B631" t="s">
        <v>11</v>
      </c>
      <c r="C631">
        <v>118.337953125</v>
      </c>
      <c r="D631">
        <f>0</f>
        <v>0</v>
      </c>
      <c r="E631">
        <f>664157898/10^6</f>
        <v>664.15789800000005</v>
      </c>
      <c r="F631">
        <f>0</f>
        <v>0</v>
      </c>
      <c r="G631">
        <f>231058945/10^6</f>
        <v>231.05894499999999</v>
      </c>
      <c r="H631">
        <f>0</f>
        <v>0</v>
      </c>
      <c r="I631">
        <f>-40187332/10^6</f>
        <v>-40.187331999999998</v>
      </c>
      <c r="J631">
        <f>0</f>
        <v>0</v>
      </c>
    </row>
    <row r="632" spans="1:10" x14ac:dyDescent="0.25">
      <c r="A632" t="s">
        <v>641</v>
      </c>
      <c r="B632" t="s">
        <v>11</v>
      </c>
      <c r="C632">
        <v>118.00186718800001</v>
      </c>
      <c r="D632">
        <f>0</f>
        <v>0</v>
      </c>
      <c r="E632">
        <f>665939453/10^6</f>
        <v>665.93945299999996</v>
      </c>
      <c r="F632">
        <f>0</f>
        <v>0</v>
      </c>
      <c r="G632">
        <f>231002045/10^6</f>
        <v>231.00204500000001</v>
      </c>
      <c r="H632">
        <f>0</f>
        <v>0</v>
      </c>
      <c r="I632">
        <f>-40263584/10^6</f>
        <v>-40.263584000000002</v>
      </c>
      <c r="J632">
        <f>0</f>
        <v>0</v>
      </c>
    </row>
    <row r="633" spans="1:10" x14ac:dyDescent="0.25">
      <c r="A633" t="s">
        <v>642</v>
      </c>
      <c r="B633" t="s">
        <v>11</v>
      </c>
      <c r="C633">
        <v>117.646085938</v>
      </c>
      <c r="D633">
        <f>0</f>
        <v>0</v>
      </c>
      <c r="E633">
        <f>667977295/10^6</f>
        <v>667.97729500000003</v>
      </c>
      <c r="F633">
        <f>0</f>
        <v>0</v>
      </c>
      <c r="G633">
        <f>230936478/10^6</f>
        <v>230.93647799999999</v>
      </c>
      <c r="H633">
        <f>0</f>
        <v>0</v>
      </c>
      <c r="I633">
        <f>-40575367/10^6</f>
        <v>-40.575367</v>
      </c>
      <c r="J633">
        <f>0</f>
        <v>0</v>
      </c>
    </row>
    <row r="634" spans="1:10" x14ac:dyDescent="0.25">
      <c r="A634" t="s">
        <v>643</v>
      </c>
      <c r="B634" t="s">
        <v>11</v>
      </c>
      <c r="C634">
        <v>117.276101563</v>
      </c>
      <c r="D634">
        <f>0</f>
        <v>0</v>
      </c>
      <c r="E634">
        <f>670181824/10^6</f>
        <v>670.18182400000001</v>
      </c>
      <c r="F634">
        <f>0</f>
        <v>0</v>
      </c>
      <c r="G634">
        <f>230892426/10^6</f>
        <v>230.892426</v>
      </c>
      <c r="H634">
        <f>0</f>
        <v>0</v>
      </c>
      <c r="I634">
        <f>-40868851/10^6</f>
        <v>-40.868850999999999</v>
      </c>
      <c r="J634">
        <f>0</f>
        <v>0</v>
      </c>
    </row>
    <row r="635" spans="1:10" x14ac:dyDescent="0.25">
      <c r="A635" t="s">
        <v>644</v>
      </c>
      <c r="B635" t="s">
        <v>11</v>
      </c>
      <c r="C635">
        <v>116.8745</v>
      </c>
      <c r="D635">
        <f>0</f>
        <v>0</v>
      </c>
      <c r="E635">
        <f>672602173/10^6</f>
        <v>672.60217299999999</v>
      </c>
      <c r="F635">
        <f>0</f>
        <v>0</v>
      </c>
      <c r="G635">
        <f>230846909/10^6</f>
        <v>230.84690900000001</v>
      </c>
      <c r="H635">
        <f>0</f>
        <v>0</v>
      </c>
      <c r="I635">
        <f>-41309647/10^6</f>
        <v>-41.309646999999998</v>
      </c>
      <c r="J635">
        <f>0</f>
        <v>0</v>
      </c>
    </row>
    <row r="636" spans="1:10" x14ac:dyDescent="0.25">
      <c r="A636" t="s">
        <v>645</v>
      </c>
      <c r="B636" t="s">
        <v>11</v>
      </c>
      <c r="C636">
        <v>116.46912500000001</v>
      </c>
      <c r="D636">
        <f>0</f>
        <v>0</v>
      </c>
      <c r="E636">
        <f>674837341/10^6</f>
        <v>674.83734100000004</v>
      </c>
      <c r="F636">
        <f>0</f>
        <v>0</v>
      </c>
      <c r="G636">
        <f>230774948/10^6</f>
        <v>230.77494799999999</v>
      </c>
      <c r="H636">
        <f>0</f>
        <v>0</v>
      </c>
      <c r="I636">
        <f>-41481354/10^6</f>
        <v>-41.481354000000003</v>
      </c>
      <c r="J636">
        <f>0</f>
        <v>0</v>
      </c>
    </row>
    <row r="637" spans="1:10" x14ac:dyDescent="0.25">
      <c r="A637" t="s">
        <v>646</v>
      </c>
      <c r="B637" t="s">
        <v>11</v>
      </c>
      <c r="C637">
        <v>116.073859375</v>
      </c>
      <c r="D637">
        <f>0</f>
        <v>0</v>
      </c>
      <c r="E637">
        <f>677038147/10^6</f>
        <v>677.03814699999998</v>
      </c>
      <c r="F637">
        <f>0</f>
        <v>0</v>
      </c>
      <c r="G637">
        <f>230691513/10^6</f>
        <v>230.69151299999999</v>
      </c>
      <c r="H637">
        <f>0</f>
        <v>0</v>
      </c>
      <c r="I637">
        <f>-41711929/10^6</f>
        <v>-41.711928999999998</v>
      </c>
      <c r="J637">
        <f>0</f>
        <v>0</v>
      </c>
    </row>
    <row r="638" spans="1:10" x14ac:dyDescent="0.25">
      <c r="A638" t="s">
        <v>647</v>
      </c>
      <c r="B638" t="s">
        <v>11</v>
      </c>
      <c r="C638">
        <v>115.722875</v>
      </c>
      <c r="D638">
        <f>0</f>
        <v>0</v>
      </c>
      <c r="E638">
        <f>679044312/10^6</f>
        <v>679.04431199999999</v>
      </c>
      <c r="F638">
        <f>0</f>
        <v>0</v>
      </c>
      <c r="G638">
        <f>230591354/10^6</f>
        <v>230.591354</v>
      </c>
      <c r="H638">
        <f>0</f>
        <v>0</v>
      </c>
      <c r="I638">
        <f>-42191666/10^6</f>
        <v>-42.191665999999998</v>
      </c>
      <c r="J638">
        <f>0</f>
        <v>0</v>
      </c>
    </row>
    <row r="639" spans="1:10" x14ac:dyDescent="0.25">
      <c r="A639" t="s">
        <v>648</v>
      </c>
      <c r="B639" t="s">
        <v>11</v>
      </c>
      <c r="C639">
        <v>115.46209374999999</v>
      </c>
      <c r="D639">
        <f>0</f>
        <v>0</v>
      </c>
      <c r="E639">
        <f>680509155/10^6</f>
        <v>680.50915499999996</v>
      </c>
      <c r="F639">
        <f>0</f>
        <v>0</v>
      </c>
      <c r="G639">
        <f>230494476/10^6</f>
        <v>230.49447599999999</v>
      </c>
      <c r="H639">
        <f>0</f>
        <v>0</v>
      </c>
      <c r="I639">
        <f>-42495647/10^6</f>
        <v>-42.495646999999998</v>
      </c>
      <c r="J639">
        <f>0</f>
        <v>0</v>
      </c>
    </row>
    <row r="640" spans="1:10" x14ac:dyDescent="0.25">
      <c r="A640" t="s">
        <v>649</v>
      </c>
      <c r="B640" t="s">
        <v>11</v>
      </c>
      <c r="C640">
        <v>115.268125</v>
      </c>
      <c r="D640">
        <f>0</f>
        <v>0</v>
      </c>
      <c r="E640">
        <f>681585938/10^6</f>
        <v>681.58593800000006</v>
      </c>
      <c r="F640">
        <f>0</f>
        <v>0</v>
      </c>
      <c r="G640">
        <f>230429016/10^6</f>
        <v>230.42901599999999</v>
      </c>
      <c r="H640">
        <f>0</f>
        <v>0</v>
      </c>
      <c r="I640">
        <f>-42699242/10^6</f>
        <v>-42.699241999999998</v>
      </c>
      <c r="J640">
        <f>0</f>
        <v>0</v>
      </c>
    </row>
    <row r="641" spans="1:10" x14ac:dyDescent="0.25">
      <c r="A641" t="s">
        <v>650</v>
      </c>
      <c r="B641" t="s">
        <v>11</v>
      </c>
      <c r="C641">
        <v>0</v>
      </c>
      <c r="D641">
        <f>2</f>
        <v>2</v>
      </c>
      <c r="F641">
        <f>2</f>
        <v>2</v>
      </c>
      <c r="H641">
        <f>2</f>
        <v>2</v>
      </c>
      <c r="J641">
        <f>2</f>
        <v>2</v>
      </c>
    </row>
    <row r="642" spans="1:10" x14ac:dyDescent="0.25">
      <c r="A642" t="s">
        <v>651</v>
      </c>
      <c r="B642" t="s">
        <v>11</v>
      </c>
      <c r="C642">
        <v>115.261179688</v>
      </c>
      <c r="D642">
        <f>0</f>
        <v>0</v>
      </c>
      <c r="E642">
        <f>681460632/10^6</f>
        <v>681.46063200000003</v>
      </c>
      <c r="F642">
        <f>0</f>
        <v>0</v>
      </c>
      <c r="G642">
        <f>230448349/10^6</f>
        <v>230.44834900000001</v>
      </c>
      <c r="H642">
        <f>0</f>
        <v>0</v>
      </c>
      <c r="I642">
        <f>-42373672/10^6</f>
        <v>-42.373671999999999</v>
      </c>
      <c r="J642">
        <f>0</f>
        <v>0</v>
      </c>
    </row>
    <row r="643" spans="1:10" x14ac:dyDescent="0.25">
      <c r="A643" t="s">
        <v>652</v>
      </c>
      <c r="B643" t="s">
        <v>11</v>
      </c>
      <c r="C643">
        <v>115.22796093800001</v>
      </c>
      <c r="D643">
        <f>0</f>
        <v>0</v>
      </c>
      <c r="E643">
        <f>681931396/10^6</f>
        <v>681.93139599999995</v>
      </c>
      <c r="F643">
        <f>0</f>
        <v>0</v>
      </c>
      <c r="G643">
        <f>230500381/10^6</f>
        <v>230.500381</v>
      </c>
      <c r="H643">
        <f>0</f>
        <v>0</v>
      </c>
      <c r="I643">
        <f>-42584991/10^6</f>
        <v>-42.584991000000002</v>
      </c>
      <c r="J643">
        <f>0</f>
        <v>0</v>
      </c>
    </row>
    <row r="644" spans="1:10" x14ac:dyDescent="0.25">
      <c r="A644" t="s">
        <v>653</v>
      </c>
      <c r="B644" t="s">
        <v>11</v>
      </c>
      <c r="C644">
        <v>115.072984375</v>
      </c>
      <c r="D644">
        <f>0</f>
        <v>0</v>
      </c>
      <c r="E644">
        <f>68281958/10^5</f>
        <v>682.81957999999997</v>
      </c>
      <c r="F644">
        <f>0</f>
        <v>0</v>
      </c>
      <c r="G644">
        <f>230472794/10^6</f>
        <v>230.47279399999999</v>
      </c>
      <c r="H644">
        <f>0</f>
        <v>0</v>
      </c>
      <c r="I644">
        <f>-4270042/10^5</f>
        <v>-42.700420000000001</v>
      </c>
      <c r="J644">
        <f>0</f>
        <v>0</v>
      </c>
    </row>
    <row r="645" spans="1:10" x14ac:dyDescent="0.25">
      <c r="A645" t="s">
        <v>654</v>
      </c>
      <c r="B645" t="s">
        <v>11</v>
      </c>
      <c r="C645">
        <v>114.873132813</v>
      </c>
      <c r="D645">
        <f>0</f>
        <v>0</v>
      </c>
      <c r="E645">
        <f>683808228/10^6</f>
        <v>683.80822799999999</v>
      </c>
      <c r="F645">
        <f>0</f>
        <v>0</v>
      </c>
      <c r="G645">
        <f>230393539/10^6</f>
        <v>230.393539</v>
      </c>
      <c r="H645">
        <f>0</f>
        <v>0</v>
      </c>
      <c r="I645">
        <f>-42642891/10^6</f>
        <v>-42.642890999999999</v>
      </c>
      <c r="J645">
        <f>0</f>
        <v>0</v>
      </c>
    </row>
    <row r="646" spans="1:10" x14ac:dyDescent="0.25">
      <c r="A646" t="s">
        <v>655</v>
      </c>
      <c r="B646" t="s">
        <v>11</v>
      </c>
      <c r="C646">
        <v>114.700242188</v>
      </c>
      <c r="D646">
        <f>0</f>
        <v>0</v>
      </c>
      <c r="E646">
        <f>684635132/10^6</f>
        <v>684.635132</v>
      </c>
      <c r="F646">
        <f>0</f>
        <v>0</v>
      </c>
      <c r="G646">
        <f>230299225/10^6</f>
        <v>230.29922500000001</v>
      </c>
      <c r="H646">
        <f>0</f>
        <v>0</v>
      </c>
      <c r="I646">
        <f>-42890064/10^6</f>
        <v>-42.890064000000002</v>
      </c>
      <c r="J646">
        <f>0</f>
        <v>0</v>
      </c>
    </row>
    <row r="647" spans="1:10" x14ac:dyDescent="0.25">
      <c r="A647" t="s">
        <v>656</v>
      </c>
      <c r="B647" t="s">
        <v>11</v>
      </c>
      <c r="C647">
        <v>114.586921875</v>
      </c>
      <c r="D647">
        <f>0</f>
        <v>0</v>
      </c>
      <c r="E647">
        <f>685375488/10^6</f>
        <v>685.37548800000002</v>
      </c>
      <c r="F647">
        <f>0</f>
        <v>0</v>
      </c>
      <c r="G647">
        <f>230277252/10^6</f>
        <v>230.277252</v>
      </c>
      <c r="H647">
        <f>0</f>
        <v>0</v>
      </c>
      <c r="I647">
        <f>-43105244/10^6</f>
        <v>-43.105243999999999</v>
      </c>
      <c r="J647">
        <f>0</f>
        <v>0</v>
      </c>
    </row>
    <row r="648" spans="1:10" x14ac:dyDescent="0.25">
      <c r="A648" t="s">
        <v>657</v>
      </c>
      <c r="B648" t="s">
        <v>11</v>
      </c>
      <c r="C648">
        <v>114.512984375</v>
      </c>
      <c r="D648">
        <f>0</f>
        <v>0</v>
      </c>
      <c r="E648">
        <f>685882813/10^6</f>
        <v>685.88281300000006</v>
      </c>
      <c r="F648">
        <f>0</f>
        <v>0</v>
      </c>
      <c r="G648">
        <f>230271805/10^6</f>
        <v>230.271805</v>
      </c>
      <c r="H648">
        <f>0</f>
        <v>0</v>
      </c>
      <c r="I648">
        <f>-43095539/10^6</f>
        <v>-43.095539000000002</v>
      </c>
      <c r="J648">
        <f>0</f>
        <v>0</v>
      </c>
    </row>
    <row r="649" spans="1:10" x14ac:dyDescent="0.25">
      <c r="A649" t="s">
        <v>658</v>
      </c>
      <c r="B649" t="s">
        <v>11</v>
      </c>
      <c r="C649">
        <v>114.47160156300001</v>
      </c>
      <c r="D649">
        <f>0</f>
        <v>0</v>
      </c>
      <c r="E649">
        <f>685889526/10^6</f>
        <v>685.88952600000005</v>
      </c>
      <c r="F649">
        <f>0</f>
        <v>0</v>
      </c>
      <c r="G649">
        <f>230225601/10^6</f>
        <v>230.22560100000001</v>
      </c>
      <c r="H649">
        <f>0</f>
        <v>0</v>
      </c>
      <c r="I649">
        <f>-42964699/10^6</f>
        <v>-42.964699000000003</v>
      </c>
      <c r="J649">
        <f>0</f>
        <v>0</v>
      </c>
    </row>
    <row r="650" spans="1:10" x14ac:dyDescent="0.25">
      <c r="A650" t="s">
        <v>659</v>
      </c>
      <c r="B650" t="s">
        <v>11</v>
      </c>
      <c r="C650">
        <v>114.44864843800001</v>
      </c>
      <c r="D650">
        <f>0</f>
        <v>0</v>
      </c>
      <c r="E650">
        <f>685886292/10^6</f>
        <v>685.88629200000003</v>
      </c>
      <c r="F650">
        <f>0</f>
        <v>0</v>
      </c>
      <c r="G650">
        <f>230197296/10^6</f>
        <v>230.19729599999999</v>
      </c>
      <c r="H650">
        <f>0</f>
        <v>0</v>
      </c>
      <c r="I650">
        <f>-4295512/10^5</f>
        <v>-42.955120000000001</v>
      </c>
      <c r="J650">
        <f>0</f>
        <v>0</v>
      </c>
    </row>
    <row r="651" spans="1:10" x14ac:dyDescent="0.25">
      <c r="A651" t="s">
        <v>660</v>
      </c>
      <c r="B651" t="s">
        <v>11</v>
      </c>
      <c r="C651">
        <v>114.447351563</v>
      </c>
      <c r="D651">
        <f>0</f>
        <v>0</v>
      </c>
      <c r="E651">
        <f>686139648/10^6</f>
        <v>686.13964799999997</v>
      </c>
      <c r="F651">
        <f>0</f>
        <v>0</v>
      </c>
      <c r="G651">
        <f>230244675/10^6</f>
        <v>230.244675</v>
      </c>
      <c r="H651">
        <f>0</f>
        <v>0</v>
      </c>
      <c r="I651">
        <f>-4321656/10^5</f>
        <v>-43.216560000000001</v>
      </c>
      <c r="J651">
        <f>0</f>
        <v>0</v>
      </c>
    </row>
    <row r="652" spans="1:10" x14ac:dyDescent="0.25">
      <c r="A652" t="s">
        <v>661</v>
      </c>
      <c r="B652" t="s">
        <v>11</v>
      </c>
      <c r="C652">
        <v>114.487632813</v>
      </c>
      <c r="D652">
        <f>0</f>
        <v>0</v>
      </c>
      <c r="E652">
        <f>686000122/10^6</f>
        <v>686.00012200000003</v>
      </c>
      <c r="F652">
        <f>0</f>
        <v>0</v>
      </c>
      <c r="G652">
        <f>23024707/10^5</f>
        <v>230.24707000000001</v>
      </c>
      <c r="H652">
        <f>0</f>
        <v>0</v>
      </c>
      <c r="I652">
        <f>-43277855/10^6</f>
        <v>-43.277855000000002</v>
      </c>
      <c r="J652">
        <f>0</f>
        <v>0</v>
      </c>
    </row>
    <row r="653" spans="1:10" x14ac:dyDescent="0.25">
      <c r="A653" t="s">
        <v>662</v>
      </c>
      <c r="B653" t="s">
        <v>11</v>
      </c>
      <c r="C653">
        <v>114.53550781300001</v>
      </c>
      <c r="D653">
        <f>0</f>
        <v>0</v>
      </c>
      <c r="E653">
        <f>68547876/10^5</f>
        <v>685.47875999999997</v>
      </c>
      <c r="F653">
        <f>0</f>
        <v>0</v>
      </c>
      <c r="G653">
        <f>23019133/10^5</f>
        <v>230.19132999999999</v>
      </c>
      <c r="H653">
        <f>0</f>
        <v>0</v>
      </c>
      <c r="I653">
        <f>-43105965/10^6</f>
        <v>-43.105964999999998</v>
      </c>
      <c r="J653">
        <f>0</f>
        <v>0</v>
      </c>
    </row>
    <row r="654" spans="1:10" x14ac:dyDescent="0.25">
      <c r="A654" t="s">
        <v>663</v>
      </c>
      <c r="B654" t="s">
        <v>11</v>
      </c>
      <c r="C654">
        <v>0</v>
      </c>
      <c r="D654">
        <f>2</f>
        <v>2</v>
      </c>
      <c r="F654">
        <f>2</f>
        <v>2</v>
      </c>
      <c r="H654">
        <f>2</f>
        <v>2</v>
      </c>
      <c r="J654">
        <f>2</f>
        <v>2</v>
      </c>
    </row>
    <row r="655" spans="1:10" x14ac:dyDescent="0.25">
      <c r="A655" t="s">
        <v>664</v>
      </c>
      <c r="B655" t="s">
        <v>11</v>
      </c>
      <c r="C655">
        <v>114.569789063</v>
      </c>
      <c r="D655">
        <f>0</f>
        <v>0</v>
      </c>
      <c r="E655">
        <f>685651489/10^6</f>
        <v>685.65148899999997</v>
      </c>
      <c r="F655">
        <f>0</f>
        <v>0</v>
      </c>
      <c r="G655">
        <f>230337662/10^6</f>
        <v>230.33766199999999</v>
      </c>
      <c r="H655">
        <f>0</f>
        <v>0</v>
      </c>
      <c r="I655">
        <f>-43086651/10^6</f>
        <v>-43.086651000000003</v>
      </c>
      <c r="J655">
        <f>0</f>
        <v>0</v>
      </c>
    </row>
    <row r="656" spans="1:10" x14ac:dyDescent="0.25">
      <c r="A656" t="s">
        <v>665</v>
      </c>
      <c r="B656" t="s">
        <v>11</v>
      </c>
      <c r="C656">
        <v>114.583507813</v>
      </c>
      <c r="D656">
        <f>0</f>
        <v>0</v>
      </c>
      <c r="E656">
        <f>685705688/10^6</f>
        <v>685.70568800000001</v>
      </c>
      <c r="F656">
        <f>0</f>
        <v>0</v>
      </c>
      <c r="G656">
        <f>230322571/10^6</f>
        <v>230.32257100000001</v>
      </c>
      <c r="H656">
        <f>0</f>
        <v>0</v>
      </c>
      <c r="I656">
        <f>-43330391/10^6</f>
        <v>-43.330390999999999</v>
      </c>
      <c r="J656">
        <f>0</f>
        <v>0</v>
      </c>
    </row>
    <row r="657" spans="1:10" x14ac:dyDescent="0.25">
      <c r="A657" t="s">
        <v>666</v>
      </c>
      <c r="B657" t="s">
        <v>11</v>
      </c>
      <c r="C657">
        <v>114.636320313</v>
      </c>
      <c r="D657">
        <f>0</f>
        <v>0</v>
      </c>
      <c r="E657">
        <f>685124878/10^6</f>
        <v>685.12487799999997</v>
      </c>
      <c r="F657">
        <f>0</f>
        <v>0</v>
      </c>
      <c r="G657">
        <f>230295288/10^6</f>
        <v>230.295288</v>
      </c>
      <c r="H657">
        <f>0</f>
        <v>0</v>
      </c>
      <c r="I657">
        <f>-43108166/10^6</f>
        <v>-43.108165999999997</v>
      </c>
      <c r="J657">
        <f>0</f>
        <v>0</v>
      </c>
    </row>
    <row r="658" spans="1:10" x14ac:dyDescent="0.25">
      <c r="A658" t="s">
        <v>667</v>
      </c>
      <c r="B658" t="s">
        <v>11</v>
      </c>
      <c r="C658">
        <v>114.7149375</v>
      </c>
      <c r="D658">
        <f>0</f>
        <v>0</v>
      </c>
      <c r="E658">
        <f>684707458/10^6</f>
        <v>684.70745799999997</v>
      </c>
      <c r="F658">
        <f>0</f>
        <v>0</v>
      </c>
      <c r="G658">
        <f>230345657/10^6</f>
        <v>230.34565699999999</v>
      </c>
      <c r="H658">
        <f>0</f>
        <v>0</v>
      </c>
      <c r="I658">
        <f>-42859497/10^6</f>
        <v>-42.859496999999998</v>
      </c>
      <c r="J658">
        <f>0</f>
        <v>0</v>
      </c>
    </row>
    <row r="659" spans="1:10" x14ac:dyDescent="0.25">
      <c r="A659" t="s">
        <v>668</v>
      </c>
      <c r="B659" t="s">
        <v>11</v>
      </c>
      <c r="C659">
        <v>0</v>
      </c>
      <c r="D659">
        <f>2</f>
        <v>2</v>
      </c>
      <c r="F659">
        <f>2</f>
        <v>2</v>
      </c>
      <c r="H659">
        <f>2</f>
        <v>2</v>
      </c>
      <c r="J659">
        <f>2</f>
        <v>2</v>
      </c>
    </row>
    <row r="660" spans="1:10" x14ac:dyDescent="0.25">
      <c r="A660" t="s">
        <v>669</v>
      </c>
      <c r="B660" t="s">
        <v>11</v>
      </c>
      <c r="C660">
        <v>114.905953125</v>
      </c>
      <c r="D660">
        <f>0</f>
        <v>0</v>
      </c>
      <c r="E660">
        <f>683984009/10^6</f>
        <v>683.98400900000001</v>
      </c>
      <c r="F660">
        <f>0</f>
        <v>0</v>
      </c>
      <c r="G660">
        <f>230454498/10^6</f>
        <v>230.454498</v>
      </c>
      <c r="H660">
        <f>0</f>
        <v>0</v>
      </c>
      <c r="I660">
        <f>-43060131/10^6</f>
        <v>-43.060130999999998</v>
      </c>
      <c r="J660">
        <f>0</f>
        <v>0</v>
      </c>
    </row>
    <row r="661" spans="1:10" x14ac:dyDescent="0.25">
      <c r="A661" t="s">
        <v>670</v>
      </c>
      <c r="B661" t="s">
        <v>11</v>
      </c>
      <c r="C661">
        <v>115.06555468800001</v>
      </c>
      <c r="D661">
        <f>0</f>
        <v>0</v>
      </c>
      <c r="E661">
        <f>683134277/10^6</f>
        <v>683.134277</v>
      </c>
      <c r="F661">
        <f>0</f>
        <v>0</v>
      </c>
      <c r="G661">
        <f>23053862/10^5</f>
        <v>230.53862000000001</v>
      </c>
      <c r="H661">
        <f>0</f>
        <v>0</v>
      </c>
      <c r="I661">
        <f>-42916111/10^6</f>
        <v>-42.916111000000001</v>
      </c>
      <c r="J661">
        <f>0</f>
        <v>0</v>
      </c>
    </row>
    <row r="662" spans="1:10" x14ac:dyDescent="0.25">
      <c r="A662" t="s">
        <v>671</v>
      </c>
      <c r="B662" t="s">
        <v>11</v>
      </c>
      <c r="C662">
        <v>115.26675</v>
      </c>
      <c r="D662">
        <f>0</f>
        <v>0</v>
      </c>
      <c r="E662">
        <f>682071167/10^6</f>
        <v>682.07116699999995</v>
      </c>
      <c r="F662">
        <f>0</f>
        <v>0</v>
      </c>
      <c r="G662">
        <f>230608673/10^6</f>
        <v>230.60867300000001</v>
      </c>
      <c r="H662">
        <f>0</f>
        <v>0</v>
      </c>
      <c r="I662">
        <f>-42760391/10^6</f>
        <v>-42.760390999999998</v>
      </c>
      <c r="J662">
        <f>0</f>
        <v>0</v>
      </c>
    </row>
    <row r="663" spans="1:10" x14ac:dyDescent="0.25">
      <c r="A663" t="s">
        <v>672</v>
      </c>
      <c r="B663" t="s">
        <v>11</v>
      </c>
      <c r="C663">
        <v>115.477132813</v>
      </c>
      <c r="D663">
        <f>0</f>
        <v>0</v>
      </c>
      <c r="E663">
        <f>68098584/10^5</f>
        <v>680.98584000000005</v>
      </c>
      <c r="F663">
        <f>0</f>
        <v>0</v>
      </c>
      <c r="G663">
        <f>230686844/10^6</f>
        <v>230.68684400000001</v>
      </c>
      <c r="H663">
        <f>0</f>
        <v>0</v>
      </c>
      <c r="I663">
        <f>-42525173/10^6</f>
        <v>-42.525173000000002</v>
      </c>
      <c r="J663">
        <f>0</f>
        <v>0</v>
      </c>
    </row>
    <row r="664" spans="1:10" x14ac:dyDescent="0.25">
      <c r="A664" t="s">
        <v>673</v>
      </c>
      <c r="B664" t="s">
        <v>11</v>
      </c>
      <c r="C664">
        <v>115.69780468800001</v>
      </c>
      <c r="D664">
        <f>0</f>
        <v>0</v>
      </c>
      <c r="E664">
        <f>679809021/10^6</f>
        <v>679.80902100000003</v>
      </c>
      <c r="F664">
        <f>0</f>
        <v>0</v>
      </c>
      <c r="G664">
        <f>230769211/10^6</f>
        <v>230.76921100000001</v>
      </c>
      <c r="H664">
        <f>0</f>
        <v>0</v>
      </c>
      <c r="I664">
        <f>-42348072/10^6</f>
        <v>-42.348072000000002</v>
      </c>
      <c r="J664">
        <f>0</f>
        <v>0</v>
      </c>
    </row>
    <row r="665" spans="1:10" x14ac:dyDescent="0.25">
      <c r="A665" t="s">
        <v>674</v>
      </c>
      <c r="B665" t="s">
        <v>11</v>
      </c>
      <c r="C665">
        <v>115.951476563</v>
      </c>
      <c r="D665">
        <f>0</f>
        <v>0</v>
      </c>
      <c r="E665">
        <f>678237854/10^6</f>
        <v>678.23785399999997</v>
      </c>
      <c r="F665">
        <f>0</f>
        <v>0</v>
      </c>
      <c r="G665">
        <f>23079628/10^5</f>
        <v>230.79628</v>
      </c>
      <c r="H665">
        <f>0</f>
        <v>0</v>
      </c>
      <c r="I665">
        <f>-42199097/10^6</f>
        <v>-42.199097000000002</v>
      </c>
      <c r="J665">
        <f>0</f>
        <v>0</v>
      </c>
    </row>
    <row r="666" spans="1:10" x14ac:dyDescent="0.25">
      <c r="A666" t="s">
        <v>675</v>
      </c>
      <c r="B666" t="s">
        <v>11</v>
      </c>
      <c r="C666">
        <v>116.259140625</v>
      </c>
      <c r="D666">
        <f>0</f>
        <v>0</v>
      </c>
      <c r="E666">
        <f>676429077/10^6</f>
        <v>676.42907700000001</v>
      </c>
      <c r="F666">
        <f>0</f>
        <v>0</v>
      </c>
      <c r="G666">
        <f>230821182/10^6</f>
        <v>230.82118199999999</v>
      </c>
      <c r="H666">
        <f>0</f>
        <v>0</v>
      </c>
      <c r="I666">
        <f>-42146374/10^6</f>
        <v>-42.146374000000002</v>
      </c>
      <c r="J666">
        <f>0</f>
        <v>0</v>
      </c>
    </row>
    <row r="667" spans="1:10" x14ac:dyDescent="0.25">
      <c r="A667" t="s">
        <v>676</v>
      </c>
      <c r="B667" t="s">
        <v>11</v>
      </c>
      <c r="C667">
        <v>116.653679688</v>
      </c>
      <c r="D667">
        <f>0</f>
        <v>0</v>
      </c>
      <c r="E667">
        <f>674252441/10^6</f>
        <v>674.25244099999998</v>
      </c>
      <c r="F667">
        <f>0</f>
        <v>0</v>
      </c>
      <c r="G667">
        <f>230883392/10^6</f>
        <v>230.88339199999999</v>
      </c>
      <c r="H667">
        <f>0</f>
        <v>0</v>
      </c>
      <c r="I667">
        <f>-42010113/10^6</f>
        <v>-42.010112999999997</v>
      </c>
      <c r="J667">
        <f>0</f>
        <v>0</v>
      </c>
    </row>
    <row r="668" spans="1:10" x14ac:dyDescent="0.25">
      <c r="A668" t="s">
        <v>677</v>
      </c>
      <c r="B668" t="s">
        <v>11</v>
      </c>
      <c r="C668">
        <v>117.132554688</v>
      </c>
      <c r="D668">
        <f>0</f>
        <v>0</v>
      </c>
      <c r="E668">
        <f>671481567/10^6</f>
        <v>671.48156700000004</v>
      </c>
      <c r="F668">
        <f>0</f>
        <v>0</v>
      </c>
      <c r="G668">
        <f>230968506/10^6</f>
        <v>230.96850599999999</v>
      </c>
      <c r="H668">
        <f>0</f>
        <v>0</v>
      </c>
      <c r="I668">
        <f>-41571255/10^6</f>
        <v>-41.571255000000001</v>
      </c>
      <c r="J668">
        <f>0</f>
        <v>0</v>
      </c>
    </row>
    <row r="669" spans="1:10" x14ac:dyDescent="0.25">
      <c r="A669" t="s">
        <v>678</v>
      </c>
      <c r="B669" t="s">
        <v>11</v>
      </c>
      <c r="C669">
        <v>117.652601563</v>
      </c>
      <c r="D669">
        <f>0</f>
        <v>0</v>
      </c>
      <c r="E669">
        <f>668491699/10^6</f>
        <v>668.49169900000004</v>
      </c>
      <c r="F669">
        <f>0</f>
        <v>0</v>
      </c>
      <c r="G669">
        <f>231041656/10^6</f>
        <v>231.04165599999999</v>
      </c>
      <c r="H669">
        <f>0</f>
        <v>0</v>
      </c>
      <c r="I669">
        <f>-41366619/10^6</f>
        <v>-41.366619</v>
      </c>
      <c r="J669">
        <f>0</f>
        <v>0</v>
      </c>
    </row>
    <row r="670" spans="1:10" x14ac:dyDescent="0.25">
      <c r="A670" t="s">
        <v>679</v>
      </c>
      <c r="B670" t="s">
        <v>11</v>
      </c>
      <c r="C670">
        <v>118.21942187499999</v>
      </c>
      <c r="D670">
        <f>0</f>
        <v>0</v>
      </c>
      <c r="E670">
        <f>665270203/10^6</f>
        <v>665.27020300000004</v>
      </c>
      <c r="F670">
        <f>0</f>
        <v>0</v>
      </c>
      <c r="G670">
        <f>231110596/10^6</f>
        <v>231.11059599999999</v>
      </c>
      <c r="H670">
        <f>0</f>
        <v>0</v>
      </c>
      <c r="I670">
        <f>-41184601/10^6</f>
        <v>-41.184601000000001</v>
      </c>
      <c r="J670">
        <f>0</f>
        <v>0</v>
      </c>
    </row>
    <row r="671" spans="1:10" x14ac:dyDescent="0.25">
      <c r="A671" t="s">
        <v>680</v>
      </c>
      <c r="B671" t="s">
        <v>11</v>
      </c>
      <c r="C671">
        <v>118.841117188</v>
      </c>
      <c r="D671">
        <f>0</f>
        <v>0</v>
      </c>
      <c r="E671">
        <f>661769348/10^6</f>
        <v>661.76934800000004</v>
      </c>
      <c r="F671">
        <f>0</f>
        <v>0</v>
      </c>
      <c r="G671">
        <f>231195938/10^6</f>
        <v>231.19593800000001</v>
      </c>
      <c r="H671">
        <f>0</f>
        <v>0</v>
      </c>
      <c r="I671">
        <f>-40702541/10^6</f>
        <v>-40.702540999999997</v>
      </c>
      <c r="J671">
        <f>0</f>
        <v>0</v>
      </c>
    </row>
    <row r="672" spans="1:10" x14ac:dyDescent="0.25">
      <c r="A672" t="s">
        <v>681</v>
      </c>
      <c r="B672" t="s">
        <v>11</v>
      </c>
      <c r="C672">
        <v>119.463390625</v>
      </c>
      <c r="D672">
        <f>0</f>
        <v>0</v>
      </c>
      <c r="E672">
        <f>658322205/10^6</f>
        <v>658.32220500000005</v>
      </c>
      <c r="F672">
        <f>0</f>
        <v>0</v>
      </c>
      <c r="G672">
        <f>231266693/10^6</f>
        <v>231.266693</v>
      </c>
      <c r="H672">
        <f>0</f>
        <v>0</v>
      </c>
      <c r="I672">
        <f>-40371769/10^6</f>
        <v>-40.371769</v>
      </c>
      <c r="J672">
        <f>0</f>
        <v>0</v>
      </c>
    </row>
    <row r="673" spans="1:10" x14ac:dyDescent="0.25">
      <c r="A673" t="s">
        <v>682</v>
      </c>
      <c r="B673" t="s">
        <v>11</v>
      </c>
      <c r="C673">
        <v>120.07799218800001</v>
      </c>
      <c r="D673">
        <f>0</f>
        <v>0</v>
      </c>
      <c r="E673">
        <f>654777344/10^6</f>
        <v>654.77734399999997</v>
      </c>
      <c r="F673">
        <f>0</f>
        <v>0</v>
      </c>
      <c r="G673">
        <f>231325592/10^6</f>
        <v>231.325592</v>
      </c>
      <c r="H673">
        <f>0</f>
        <v>0</v>
      </c>
      <c r="I673">
        <f>-39944191/10^6</f>
        <v>-39.944190999999996</v>
      </c>
      <c r="J673">
        <f>0</f>
        <v>0</v>
      </c>
    </row>
    <row r="674" spans="1:10" x14ac:dyDescent="0.25">
      <c r="A674" t="s">
        <v>683</v>
      </c>
      <c r="B674" t="s">
        <v>11</v>
      </c>
      <c r="C674">
        <v>120.65625781300001</v>
      </c>
      <c r="D674">
        <f>0</f>
        <v>0</v>
      </c>
      <c r="E674">
        <f>651473694/10^6</f>
        <v>651.47369400000002</v>
      </c>
      <c r="F674">
        <f>0</f>
        <v>0</v>
      </c>
      <c r="G674">
        <f>231372391/10^6</f>
        <v>231.37239099999999</v>
      </c>
      <c r="H674">
        <f>0</f>
        <v>0</v>
      </c>
      <c r="I674">
        <f>-39582886/10^6</f>
        <v>-39.582886000000002</v>
      </c>
      <c r="J674">
        <f>0</f>
        <v>0</v>
      </c>
    </row>
    <row r="675" spans="1:10" x14ac:dyDescent="0.25">
      <c r="A675" t="s">
        <v>684</v>
      </c>
      <c r="B675" t="s">
        <v>11</v>
      </c>
      <c r="C675">
        <v>0</v>
      </c>
      <c r="D675">
        <f>2</f>
        <v>2</v>
      </c>
      <c r="F675">
        <f>2</f>
        <v>2</v>
      </c>
      <c r="H675">
        <f>2</f>
        <v>2</v>
      </c>
      <c r="J675">
        <f>2</f>
        <v>2</v>
      </c>
    </row>
    <row r="676" spans="1:10" x14ac:dyDescent="0.25">
      <c r="A676" t="s">
        <v>685</v>
      </c>
      <c r="B676" t="s">
        <v>11</v>
      </c>
      <c r="C676">
        <v>0</v>
      </c>
      <c r="D676">
        <f>2</f>
        <v>2</v>
      </c>
      <c r="F676">
        <f>2</f>
        <v>2</v>
      </c>
      <c r="H676">
        <f>2</f>
        <v>2</v>
      </c>
      <c r="J676">
        <f>2</f>
        <v>2</v>
      </c>
    </row>
    <row r="677" spans="1:10" x14ac:dyDescent="0.25">
      <c r="A677" t="s">
        <v>686</v>
      </c>
      <c r="B677" t="s">
        <v>11</v>
      </c>
      <c r="C677">
        <v>121.4310625</v>
      </c>
      <c r="D677">
        <f>0</f>
        <v>0</v>
      </c>
      <c r="E677">
        <f>647199707/10^6</f>
        <v>647.19970699999999</v>
      </c>
      <c r="F677">
        <f>0</f>
        <v>0</v>
      </c>
      <c r="G677">
        <f>231484314/10^6</f>
        <v>231.48431400000001</v>
      </c>
      <c r="H677">
        <f>0</f>
        <v>0</v>
      </c>
      <c r="I677">
        <f>-38948425/10^6</f>
        <v>-38.948425</v>
      </c>
      <c r="J677">
        <f>0</f>
        <v>0</v>
      </c>
    </row>
    <row r="678" spans="1:10" x14ac:dyDescent="0.25">
      <c r="A678" t="s">
        <v>687</v>
      </c>
      <c r="B678" t="s">
        <v>11</v>
      </c>
      <c r="C678">
        <v>121.479992188</v>
      </c>
      <c r="D678">
        <f>0</f>
        <v>0</v>
      </c>
      <c r="E678">
        <f>647091248/10^6</f>
        <v>647.09124799999995</v>
      </c>
      <c r="F678">
        <f>0</f>
        <v>0</v>
      </c>
      <c r="G678">
        <f>231528152/10^6</f>
        <v>231.52815200000001</v>
      </c>
      <c r="H678">
        <f>0</f>
        <v>0</v>
      </c>
      <c r="I678">
        <f>-39028625/10^6</f>
        <v>-39.028624999999998</v>
      </c>
      <c r="J678">
        <f>0</f>
        <v>0</v>
      </c>
    </row>
    <row r="679" spans="1:10" x14ac:dyDescent="0.25">
      <c r="A679" t="s">
        <v>688</v>
      </c>
      <c r="B679" t="s">
        <v>11</v>
      </c>
      <c r="C679">
        <v>121.536625</v>
      </c>
      <c r="D679">
        <f>0</f>
        <v>0</v>
      </c>
      <c r="E679">
        <f>646847656/10^6</f>
        <v>646.84765600000003</v>
      </c>
      <c r="F679">
        <f>0</f>
        <v>0</v>
      </c>
      <c r="G679">
        <f>231565979/10^6</f>
        <v>231.565979</v>
      </c>
      <c r="H679">
        <f>0</f>
        <v>0</v>
      </c>
      <c r="I679">
        <f>-38902962/10^6</f>
        <v>-38.902962000000002</v>
      </c>
      <c r="J679">
        <f>0</f>
        <v>0</v>
      </c>
    </row>
    <row r="680" spans="1:10" x14ac:dyDescent="0.25">
      <c r="A680" t="s">
        <v>689</v>
      </c>
      <c r="B680" t="s">
        <v>11</v>
      </c>
      <c r="C680">
        <v>121.58004687499999</v>
      </c>
      <c r="D680">
        <f>0</f>
        <v>0</v>
      </c>
      <c r="E680">
        <f>646698975/10^6</f>
        <v>646.69897500000002</v>
      </c>
      <c r="F680">
        <f>0</f>
        <v>0</v>
      </c>
      <c r="G680">
        <f>231593689/10^6</f>
        <v>231.59368900000001</v>
      </c>
      <c r="H680">
        <f>0</f>
        <v>0</v>
      </c>
      <c r="I680">
        <f>-38859093/10^6</f>
        <v>-38.859093000000001</v>
      </c>
      <c r="J680">
        <f>0</f>
        <v>0</v>
      </c>
    </row>
    <row r="681" spans="1:10" x14ac:dyDescent="0.25">
      <c r="A681" t="s">
        <v>690</v>
      </c>
      <c r="B681" t="s">
        <v>11</v>
      </c>
      <c r="C681">
        <v>121.61166406300001</v>
      </c>
      <c r="D681">
        <f>0</f>
        <v>0</v>
      </c>
      <c r="E681">
        <f>646609741/10^6</f>
        <v>646.60974099999999</v>
      </c>
      <c r="F681">
        <f>0</f>
        <v>0</v>
      </c>
      <c r="G681">
        <f>231621628/10^6</f>
        <v>231.62162799999999</v>
      </c>
      <c r="H681">
        <f>0</f>
        <v>0</v>
      </c>
      <c r="I681">
        <f>-3888287/10^5</f>
        <v>-38.882869999999997</v>
      </c>
      <c r="J681">
        <f>0</f>
        <v>0</v>
      </c>
    </row>
    <row r="682" spans="1:10" x14ac:dyDescent="0.25">
      <c r="A682" t="s">
        <v>691</v>
      </c>
      <c r="B682" t="s">
        <v>11</v>
      </c>
      <c r="C682">
        <v>121.619226563</v>
      </c>
      <c r="D682">
        <f>0</f>
        <v>0</v>
      </c>
      <c r="E682">
        <f>646663574/10^6</f>
        <v>646.66357400000004</v>
      </c>
      <c r="F682">
        <f>0</f>
        <v>0</v>
      </c>
      <c r="G682">
        <f>231638107/10^6</f>
        <v>231.63810699999999</v>
      </c>
      <c r="H682">
        <f>0</f>
        <v>0</v>
      </c>
      <c r="I682">
        <f>-38870071/10^6</f>
        <v>-38.870071000000003</v>
      </c>
      <c r="J682">
        <f>0</f>
        <v>0</v>
      </c>
    </row>
    <row r="683" spans="1:10" x14ac:dyDescent="0.25">
      <c r="A683" t="s">
        <v>692</v>
      </c>
      <c r="B683" t="s">
        <v>11</v>
      </c>
      <c r="C683">
        <v>121.58848437499999</v>
      </c>
      <c r="D683">
        <f>0</f>
        <v>0</v>
      </c>
      <c r="E683">
        <f>646778137/10^6</f>
        <v>646.77813700000002</v>
      </c>
      <c r="F683">
        <f>0</f>
        <v>0</v>
      </c>
      <c r="G683">
        <f>231640472/10^6</f>
        <v>231.64047199999999</v>
      </c>
      <c r="H683">
        <f>0</f>
        <v>0</v>
      </c>
      <c r="I683">
        <f>-38756107/10^6</f>
        <v>-38.756107</v>
      </c>
      <c r="J683">
        <f>0</f>
        <v>0</v>
      </c>
    </row>
    <row r="684" spans="1:10" x14ac:dyDescent="0.25">
      <c r="A684" t="s">
        <v>693</v>
      </c>
      <c r="B684" t="s">
        <v>11</v>
      </c>
      <c r="C684">
        <v>121.50969531300001</v>
      </c>
      <c r="D684">
        <f>0</f>
        <v>0</v>
      </c>
      <c r="E684">
        <f>647139709/10^6</f>
        <v>647.13970900000004</v>
      </c>
      <c r="F684">
        <f>0</f>
        <v>0</v>
      </c>
      <c r="G684">
        <f>231630188/10^6</f>
        <v>231.630188</v>
      </c>
      <c r="H684">
        <f>0</f>
        <v>0</v>
      </c>
      <c r="I684">
        <f>-3865044/10^5</f>
        <v>-38.650440000000003</v>
      </c>
      <c r="J684">
        <f>0</f>
        <v>0</v>
      </c>
    </row>
    <row r="685" spans="1:10" x14ac:dyDescent="0.25">
      <c r="A685" t="s">
        <v>694</v>
      </c>
      <c r="B685" t="s">
        <v>11</v>
      </c>
      <c r="C685">
        <v>121.35080468800001</v>
      </c>
      <c r="D685">
        <f>0</f>
        <v>0</v>
      </c>
      <c r="E685">
        <f>648022461/10^6</f>
        <v>648.02246100000002</v>
      </c>
      <c r="F685">
        <f>0</f>
        <v>0</v>
      </c>
      <c r="G685">
        <f>23160759/10^5</f>
        <v>231.60758999999999</v>
      </c>
      <c r="H685">
        <f>0</f>
        <v>0</v>
      </c>
      <c r="I685">
        <f>-38733372/10^6</f>
        <v>-38.733372000000003</v>
      </c>
      <c r="J685">
        <f>0</f>
        <v>0</v>
      </c>
    </row>
    <row r="686" spans="1:10" x14ac:dyDescent="0.25">
      <c r="A686" t="s">
        <v>695</v>
      </c>
      <c r="B686" t="s">
        <v>11</v>
      </c>
      <c r="C686">
        <v>121.112734375</v>
      </c>
      <c r="D686">
        <f>0</f>
        <v>0</v>
      </c>
      <c r="E686">
        <f>649343994/10^6</f>
        <v>649.34399399999995</v>
      </c>
      <c r="F686">
        <f>0</f>
        <v>0</v>
      </c>
      <c r="G686">
        <f>231586563/10^6</f>
        <v>231.58656300000001</v>
      </c>
      <c r="H686">
        <f>0</f>
        <v>0</v>
      </c>
      <c r="I686">
        <f>-38916416/10^6</f>
        <v>-38.916415999999998</v>
      </c>
      <c r="J686">
        <f>0</f>
        <v>0</v>
      </c>
    </row>
    <row r="687" spans="1:10" x14ac:dyDescent="0.25">
      <c r="A687" t="s">
        <v>696</v>
      </c>
      <c r="B687" t="s">
        <v>11</v>
      </c>
      <c r="C687">
        <v>0</v>
      </c>
      <c r="D687">
        <f>2</f>
        <v>2</v>
      </c>
      <c r="F687">
        <f>2</f>
        <v>2</v>
      </c>
      <c r="H687">
        <f>2</f>
        <v>2</v>
      </c>
      <c r="J687">
        <f>2</f>
        <v>2</v>
      </c>
    </row>
    <row r="688" spans="1:10" x14ac:dyDescent="0.25">
      <c r="A688" t="s">
        <v>697</v>
      </c>
      <c r="B688" t="s">
        <v>11</v>
      </c>
      <c r="C688">
        <v>120.528453125</v>
      </c>
      <c r="D688">
        <f>0</f>
        <v>0</v>
      </c>
      <c r="E688">
        <f>652585632/10^6</f>
        <v>652.58563200000003</v>
      </c>
      <c r="F688">
        <f>0</f>
        <v>0</v>
      </c>
      <c r="G688">
        <f>231510529/10^6</f>
        <v>231.51052899999999</v>
      </c>
      <c r="H688">
        <f>0</f>
        <v>0</v>
      </c>
      <c r="I688">
        <f>-39082287/10^6</f>
        <v>-39.082287000000001</v>
      </c>
      <c r="J688">
        <f>0</f>
        <v>0</v>
      </c>
    </row>
    <row r="689" spans="1:10" x14ac:dyDescent="0.25">
      <c r="A689" t="s">
        <v>698</v>
      </c>
      <c r="B689" t="s">
        <v>11</v>
      </c>
      <c r="C689">
        <v>120.188070313</v>
      </c>
      <c r="D689">
        <f>0</f>
        <v>0</v>
      </c>
      <c r="E689">
        <f>654261292/10^6</f>
        <v>654.26129200000003</v>
      </c>
      <c r="F689">
        <f>0</f>
        <v>0</v>
      </c>
      <c r="G689">
        <f>231454132/10^6</f>
        <v>231.45413199999999</v>
      </c>
      <c r="H689">
        <f>0</f>
        <v>0</v>
      </c>
      <c r="I689">
        <f>-39016121/10^6</f>
        <v>-39.016120999999998</v>
      </c>
      <c r="J689">
        <f>0</f>
        <v>0</v>
      </c>
    </row>
    <row r="690" spans="1:10" x14ac:dyDescent="0.25">
      <c r="A690" t="s">
        <v>699</v>
      </c>
      <c r="B690" t="s">
        <v>11</v>
      </c>
      <c r="C690">
        <v>119.830117188</v>
      </c>
      <c r="D690">
        <f>0</f>
        <v>0</v>
      </c>
      <c r="E690">
        <f>65628241/10^5</f>
        <v>656.28241000000003</v>
      </c>
      <c r="F690">
        <f>0</f>
        <v>0</v>
      </c>
      <c r="G690">
        <f>231402008/10^6</f>
        <v>231.402008</v>
      </c>
      <c r="H690">
        <f>0</f>
        <v>0</v>
      </c>
      <c r="I690">
        <f>-39353466/10^6</f>
        <v>-39.353465999999997</v>
      </c>
      <c r="J690">
        <f>0</f>
        <v>0</v>
      </c>
    </row>
    <row r="691" spans="1:10" x14ac:dyDescent="0.25">
      <c r="A691" t="s">
        <v>700</v>
      </c>
      <c r="B691" t="s">
        <v>11</v>
      </c>
      <c r="C691">
        <v>119.441109375</v>
      </c>
      <c r="D691">
        <f>0</f>
        <v>0</v>
      </c>
      <c r="E691">
        <f>658468079/10^6</f>
        <v>658.46807899999999</v>
      </c>
      <c r="F691">
        <f>0</f>
        <v>0</v>
      </c>
      <c r="G691">
        <f>231336868/10^6</f>
        <v>231.33686800000001</v>
      </c>
      <c r="H691">
        <f>0</f>
        <v>0</v>
      </c>
      <c r="I691">
        <f>-39721943/10^6</f>
        <v>-39.721943000000003</v>
      </c>
      <c r="J691">
        <f>0</f>
        <v>0</v>
      </c>
    </row>
    <row r="692" spans="1:10" x14ac:dyDescent="0.25">
      <c r="A692" t="s">
        <v>701</v>
      </c>
      <c r="B692" t="s">
        <v>11</v>
      </c>
      <c r="C692">
        <v>119.04016406300001</v>
      </c>
      <c r="D692">
        <f>0</f>
        <v>0</v>
      </c>
      <c r="E692">
        <f>660532898/10^6</f>
        <v>660.53289800000005</v>
      </c>
      <c r="F692">
        <f>0</f>
        <v>0</v>
      </c>
      <c r="G692">
        <f>231258698/10^6</f>
        <v>231.25869800000001</v>
      </c>
      <c r="H692">
        <f>0</f>
        <v>0</v>
      </c>
      <c r="I692">
        <f>-39850975/10^6</f>
        <v>-39.850974999999998</v>
      </c>
      <c r="J692">
        <f>0</f>
        <v>0</v>
      </c>
    </row>
    <row r="693" spans="1:10" x14ac:dyDescent="0.25">
      <c r="A693" t="s">
        <v>702</v>
      </c>
      <c r="B693" t="s">
        <v>11</v>
      </c>
      <c r="C693">
        <v>118.64684375</v>
      </c>
      <c r="D693">
        <f>0</f>
        <v>0</v>
      </c>
      <c r="E693">
        <f>662733093/10^6</f>
        <v>662.73309300000005</v>
      </c>
      <c r="F693">
        <f>0</f>
        <v>0</v>
      </c>
      <c r="G693">
        <f>231178299/10^6</f>
        <v>231.17829900000001</v>
      </c>
      <c r="H693">
        <f>0</f>
        <v>0</v>
      </c>
      <c r="I693">
        <f>-40098896/10^6</f>
        <v>-40.098896000000003</v>
      </c>
      <c r="J693">
        <f>0</f>
        <v>0</v>
      </c>
    </row>
    <row r="694" spans="1:10" x14ac:dyDescent="0.25">
      <c r="A694" t="s">
        <v>703</v>
      </c>
      <c r="B694" t="s">
        <v>11</v>
      </c>
      <c r="C694">
        <v>118.211304688</v>
      </c>
      <c r="D694">
        <f>0</f>
        <v>0</v>
      </c>
      <c r="E694">
        <f>665114319/10^6</f>
        <v>665.11431900000002</v>
      </c>
      <c r="F694">
        <f>0</f>
        <v>0</v>
      </c>
      <c r="G694">
        <f>231104935/10^6</f>
        <v>231.10493500000001</v>
      </c>
      <c r="H694">
        <f>0</f>
        <v>0</v>
      </c>
      <c r="I694">
        <f>-40320526/10^6</f>
        <v>-40.320526000000001</v>
      </c>
      <c r="J694">
        <f>0</f>
        <v>0</v>
      </c>
    </row>
    <row r="695" spans="1:10" x14ac:dyDescent="0.25">
      <c r="A695" t="s">
        <v>704</v>
      </c>
      <c r="B695" t="s">
        <v>11</v>
      </c>
      <c r="C695">
        <v>117.738804688</v>
      </c>
      <c r="D695">
        <f>0</f>
        <v>0</v>
      </c>
      <c r="E695">
        <f>667640381/10^6</f>
        <v>667.64038100000005</v>
      </c>
      <c r="F695">
        <f>0</f>
        <v>0</v>
      </c>
      <c r="G695">
        <f>231028046/10^6</f>
        <v>231.02804599999999</v>
      </c>
      <c r="H695">
        <f>0</f>
        <v>0</v>
      </c>
      <c r="I695">
        <f>-40448204/10^6</f>
        <v>-40.448203999999997</v>
      </c>
      <c r="J695">
        <f>0</f>
        <v>0</v>
      </c>
    </row>
    <row r="696" spans="1:10" x14ac:dyDescent="0.25">
      <c r="A696" t="s">
        <v>705</v>
      </c>
      <c r="B696" t="s">
        <v>11</v>
      </c>
      <c r="C696">
        <v>117.27926562499999</v>
      </c>
      <c r="D696">
        <f>0</f>
        <v>0</v>
      </c>
      <c r="E696">
        <f>670203003/10^6</f>
        <v>670.20300299999997</v>
      </c>
      <c r="F696">
        <f>0</f>
        <v>0</v>
      </c>
      <c r="G696">
        <f>230946045/10^6</f>
        <v>230.946045</v>
      </c>
      <c r="H696">
        <f>0</f>
        <v>0</v>
      </c>
      <c r="I696">
        <f>-4073848/10^5</f>
        <v>-40.738480000000003</v>
      </c>
      <c r="J696">
        <f>0</f>
        <v>0</v>
      </c>
    </row>
    <row r="697" spans="1:10" x14ac:dyDescent="0.25">
      <c r="A697" t="s">
        <v>706</v>
      </c>
      <c r="B697" t="s">
        <v>11</v>
      </c>
      <c r="C697">
        <v>116.840351563</v>
      </c>
      <c r="D697">
        <f>0</f>
        <v>0</v>
      </c>
      <c r="E697">
        <f>672739868/10^6</f>
        <v>672.739868</v>
      </c>
      <c r="F697">
        <f>0</f>
        <v>0</v>
      </c>
      <c r="G697">
        <f>230865372/10^6</f>
        <v>230.86537200000001</v>
      </c>
      <c r="H697">
        <f>0</f>
        <v>0</v>
      </c>
      <c r="I697">
        <f>-41113583/10^6</f>
        <v>-41.113582999999998</v>
      </c>
      <c r="J697">
        <f>0</f>
        <v>0</v>
      </c>
    </row>
    <row r="698" spans="1:10" x14ac:dyDescent="0.25">
      <c r="A698" t="s">
        <v>707</v>
      </c>
      <c r="B698" t="s">
        <v>11</v>
      </c>
      <c r="C698">
        <v>116.397578125</v>
      </c>
      <c r="D698">
        <f>0</f>
        <v>0</v>
      </c>
      <c r="E698">
        <f>675432922/10^6</f>
        <v>675.43292199999996</v>
      </c>
      <c r="F698">
        <f>0</f>
        <v>0</v>
      </c>
      <c r="G698">
        <f>230788361/10^6</f>
        <v>230.78836100000001</v>
      </c>
      <c r="H698">
        <f>0</f>
        <v>0</v>
      </c>
      <c r="I698">
        <f>-41678829/10^6</f>
        <v>-41.678829</v>
      </c>
      <c r="J698">
        <f>0</f>
        <v>0</v>
      </c>
    </row>
    <row r="699" spans="1:10" x14ac:dyDescent="0.25">
      <c r="A699" t="s">
        <v>708</v>
      </c>
      <c r="B699" t="s">
        <v>11</v>
      </c>
      <c r="C699">
        <v>116.007234375</v>
      </c>
      <c r="D699">
        <f>0</f>
        <v>0</v>
      </c>
      <c r="E699">
        <f>677661255/10^6</f>
        <v>677.66125499999998</v>
      </c>
      <c r="F699">
        <f>0</f>
        <v>0</v>
      </c>
      <c r="G699">
        <f>230698944/10^6</f>
        <v>230.69894400000001</v>
      </c>
      <c r="H699">
        <f>0</f>
        <v>0</v>
      </c>
      <c r="I699">
        <f>-42045567/10^6</f>
        <v>-42.045566999999998</v>
      </c>
      <c r="J699">
        <f>0</f>
        <v>0</v>
      </c>
    </row>
    <row r="700" spans="1:10" x14ac:dyDescent="0.25">
      <c r="A700" t="s">
        <v>709</v>
      </c>
      <c r="B700" t="s">
        <v>11</v>
      </c>
      <c r="C700">
        <v>115.70901562500001</v>
      </c>
      <c r="D700">
        <f>0</f>
        <v>0</v>
      </c>
      <c r="E700">
        <f>679195557/10^6</f>
        <v>679.19555700000001</v>
      </c>
      <c r="F700">
        <f>0</f>
        <v>0</v>
      </c>
      <c r="G700">
        <f>230615189/10^6</f>
        <v>230.61518899999999</v>
      </c>
      <c r="H700">
        <f>0</f>
        <v>0</v>
      </c>
      <c r="I700">
        <f>-41988857/10^6</f>
        <v>-41.988857000000003</v>
      </c>
      <c r="J700">
        <f>0</f>
        <v>0</v>
      </c>
    </row>
    <row r="701" spans="1:10" x14ac:dyDescent="0.25">
      <c r="A701" t="s">
        <v>710</v>
      </c>
      <c r="B701" t="s">
        <v>11</v>
      </c>
      <c r="C701">
        <v>115.463773438</v>
      </c>
      <c r="D701">
        <f>0</f>
        <v>0</v>
      </c>
      <c r="E701">
        <f>680486694/10^6</f>
        <v>680.48669400000006</v>
      </c>
      <c r="F701">
        <f>0</f>
        <v>0</v>
      </c>
      <c r="G701">
        <f>230502823/10^6</f>
        <v>230.50282300000001</v>
      </c>
      <c r="H701">
        <f>0</f>
        <v>0</v>
      </c>
      <c r="I701">
        <f>-42329453/10^6</f>
        <v>-42.329453000000001</v>
      </c>
      <c r="J701">
        <f>0</f>
        <v>0</v>
      </c>
    </row>
    <row r="702" spans="1:10" x14ac:dyDescent="0.25">
      <c r="A702" t="s">
        <v>711</v>
      </c>
      <c r="B702" t="s">
        <v>11</v>
      </c>
      <c r="C702">
        <v>115.26551562500001</v>
      </c>
      <c r="D702">
        <f>0</f>
        <v>0</v>
      </c>
      <c r="E702">
        <f>681400269/10^6</f>
        <v>681.40026899999998</v>
      </c>
      <c r="F702">
        <f>0</f>
        <v>0</v>
      </c>
      <c r="G702">
        <f>230369476/10^6</f>
        <v>230.36947599999999</v>
      </c>
      <c r="H702">
        <f>0</f>
        <v>0</v>
      </c>
      <c r="I702">
        <f>-42687241/10^6</f>
        <v>-42.687241</v>
      </c>
      <c r="J702">
        <f>0</f>
        <v>0</v>
      </c>
    </row>
    <row r="703" spans="1:10" x14ac:dyDescent="0.25">
      <c r="A703" t="s">
        <v>712</v>
      </c>
      <c r="B703" t="s">
        <v>11</v>
      </c>
      <c r="C703">
        <v>115.077726563</v>
      </c>
      <c r="D703">
        <f>0</f>
        <v>0</v>
      </c>
      <c r="E703">
        <f>68252002/10^5</f>
        <v>682.52002000000005</v>
      </c>
      <c r="F703">
        <f>0</f>
        <v>0</v>
      </c>
      <c r="G703">
        <f>230370178/10^6</f>
        <v>230.37017800000001</v>
      </c>
      <c r="H703">
        <f>0</f>
        <v>0</v>
      </c>
      <c r="I703">
        <f>-42683018/10^6</f>
        <v>-42.683017999999997</v>
      </c>
      <c r="J703">
        <f>0</f>
        <v>0</v>
      </c>
    </row>
    <row r="704" spans="1:10" x14ac:dyDescent="0.25">
      <c r="A704" t="s">
        <v>713</v>
      </c>
      <c r="B704" t="s">
        <v>11</v>
      </c>
      <c r="C704">
        <v>114.89895312500001</v>
      </c>
      <c r="D704">
        <f>0</f>
        <v>0</v>
      </c>
      <c r="E704">
        <f>683769897/10^6</f>
        <v>683.76989700000001</v>
      </c>
      <c r="F704">
        <f>0</f>
        <v>0</v>
      </c>
      <c r="G704">
        <f>230386169/10^6</f>
        <v>230.386169</v>
      </c>
      <c r="H704">
        <f>0</f>
        <v>0</v>
      </c>
      <c r="I704">
        <f>-42895889/10^6</f>
        <v>-42.895888999999997</v>
      </c>
      <c r="J704">
        <f>0</f>
        <v>0</v>
      </c>
    </row>
    <row r="705" spans="1:10" x14ac:dyDescent="0.25">
      <c r="A705" t="s">
        <v>714</v>
      </c>
      <c r="B705" t="s">
        <v>11</v>
      </c>
      <c r="C705">
        <v>114.831492188</v>
      </c>
      <c r="D705">
        <f>0</f>
        <v>0</v>
      </c>
      <c r="E705">
        <f>684200745/10^6</f>
        <v>684.20074499999998</v>
      </c>
      <c r="F705">
        <f>0</f>
        <v>0</v>
      </c>
      <c r="G705">
        <f>230361481/10^6</f>
        <v>230.361481</v>
      </c>
      <c r="H705">
        <f>0</f>
        <v>0</v>
      </c>
      <c r="I705">
        <f>-43055962/10^6</f>
        <v>-43.055962000000001</v>
      </c>
      <c r="J705">
        <f>0</f>
        <v>0</v>
      </c>
    </row>
    <row r="706" spans="1:10" x14ac:dyDescent="0.25">
      <c r="A706" t="s">
        <v>715</v>
      </c>
      <c r="B706" t="s">
        <v>11</v>
      </c>
      <c r="C706">
        <v>114.86799999999999</v>
      </c>
      <c r="D706">
        <f>0</f>
        <v>0</v>
      </c>
      <c r="E706">
        <f>684096497/10^6</f>
        <v>684.096497</v>
      </c>
      <c r="F706">
        <f>0</f>
        <v>0</v>
      </c>
      <c r="G706">
        <f>230408508/10^6</f>
        <v>230.40850800000001</v>
      </c>
      <c r="H706">
        <f>0</f>
        <v>0</v>
      </c>
      <c r="I706">
        <f>-42980438/10^6</f>
        <v>-42.980437999999999</v>
      </c>
      <c r="J706">
        <f>0</f>
        <v>0</v>
      </c>
    </row>
    <row r="707" spans="1:10" x14ac:dyDescent="0.25">
      <c r="A707" t="s">
        <v>716</v>
      </c>
      <c r="B707" t="s">
        <v>11</v>
      </c>
      <c r="C707">
        <v>114.90831249999999</v>
      </c>
      <c r="D707">
        <f>0</f>
        <v>0</v>
      </c>
      <c r="E707">
        <f>683808716/10^6</f>
        <v>683.808716</v>
      </c>
      <c r="F707">
        <f>0</f>
        <v>0</v>
      </c>
      <c r="G707">
        <f>2304189/10^4</f>
        <v>230.41890000000001</v>
      </c>
      <c r="H707">
        <f>0</f>
        <v>0</v>
      </c>
      <c r="I707">
        <f>-42891571/10^6</f>
        <v>-42.891570999999999</v>
      </c>
      <c r="J707">
        <f>0</f>
        <v>0</v>
      </c>
    </row>
    <row r="708" spans="1:10" x14ac:dyDescent="0.25">
      <c r="A708" t="s">
        <v>717</v>
      </c>
      <c r="B708" t="s">
        <v>11</v>
      </c>
      <c r="C708">
        <v>114.92353125</v>
      </c>
      <c r="D708">
        <f>0</f>
        <v>0</v>
      </c>
      <c r="E708">
        <f>683538818/10^6</f>
        <v>683.53881799999999</v>
      </c>
      <c r="F708">
        <f>0</f>
        <v>0</v>
      </c>
      <c r="G708">
        <f>230375168/10^6</f>
        <v>230.375168</v>
      </c>
      <c r="H708">
        <f>0</f>
        <v>0</v>
      </c>
      <c r="I708">
        <f>-42810902/10^6</f>
        <v>-42.810901999999999</v>
      </c>
      <c r="J708">
        <f>0</f>
        <v>0</v>
      </c>
    </row>
    <row r="709" spans="1:10" x14ac:dyDescent="0.25">
      <c r="A709" t="s">
        <v>718</v>
      </c>
      <c r="B709" t="s">
        <v>11</v>
      </c>
      <c r="C709">
        <v>114.91453906300001</v>
      </c>
      <c r="D709">
        <f>0</f>
        <v>0</v>
      </c>
      <c r="E709">
        <f>683711182/10^6</f>
        <v>683.71118200000001</v>
      </c>
      <c r="F709">
        <f>0</f>
        <v>0</v>
      </c>
      <c r="G709">
        <f>230402939/10^6</f>
        <v>230.402939</v>
      </c>
      <c r="H709">
        <f>0</f>
        <v>0</v>
      </c>
      <c r="I709">
        <f>-42866924/10^6</f>
        <v>-42.866923999999997</v>
      </c>
      <c r="J709">
        <f>0</f>
        <v>0</v>
      </c>
    </row>
    <row r="710" spans="1:10" x14ac:dyDescent="0.25">
      <c r="A710" t="s">
        <v>719</v>
      </c>
      <c r="B710" t="s">
        <v>11</v>
      </c>
      <c r="C710">
        <v>114.88290625</v>
      </c>
      <c r="D710">
        <f>0</f>
        <v>0</v>
      </c>
      <c r="E710">
        <f>684019531/10^6</f>
        <v>684.01953100000003</v>
      </c>
      <c r="F710">
        <f>0</f>
        <v>0</v>
      </c>
      <c r="G710">
        <f>230435226/10^6</f>
        <v>230.435226</v>
      </c>
      <c r="H710">
        <f>0</f>
        <v>0</v>
      </c>
      <c r="I710">
        <f>-42973751/10^6</f>
        <v>-42.973751</v>
      </c>
      <c r="J710">
        <f>0</f>
        <v>0</v>
      </c>
    </row>
    <row r="711" spans="1:10" x14ac:dyDescent="0.25">
      <c r="A711" t="s">
        <v>720</v>
      </c>
      <c r="B711" t="s">
        <v>11</v>
      </c>
      <c r="C711">
        <v>114.854640625</v>
      </c>
      <c r="D711">
        <f>0</f>
        <v>0</v>
      </c>
      <c r="E711">
        <f>684135315/10^6</f>
        <v>684.13531499999999</v>
      </c>
      <c r="F711">
        <f>0</f>
        <v>0</v>
      </c>
      <c r="G711">
        <f>230446335/10^6</f>
        <v>230.446335</v>
      </c>
      <c r="H711">
        <f>0</f>
        <v>0</v>
      </c>
      <c r="I711">
        <f>-42832069/10^6</f>
        <v>-42.832068999999997</v>
      </c>
      <c r="J711">
        <f>0</f>
        <v>0</v>
      </c>
    </row>
    <row r="712" spans="1:10" x14ac:dyDescent="0.25">
      <c r="A712" t="s">
        <v>721</v>
      </c>
      <c r="B712" t="s">
        <v>11</v>
      </c>
      <c r="C712">
        <v>114.833523438</v>
      </c>
      <c r="D712">
        <f>0</f>
        <v>0</v>
      </c>
      <c r="E712">
        <f>684282166/10^6</f>
        <v>684.28216599999996</v>
      </c>
      <c r="F712">
        <f>0</f>
        <v>0</v>
      </c>
      <c r="G712">
        <f>23048497/10^5</f>
        <v>230.48497</v>
      </c>
      <c r="H712">
        <f>0</f>
        <v>0</v>
      </c>
      <c r="I712">
        <f>-42615536/10^6</f>
        <v>-42.615535999999999</v>
      </c>
      <c r="J712">
        <f>0</f>
        <v>0</v>
      </c>
    </row>
    <row r="713" spans="1:10" x14ac:dyDescent="0.25">
      <c r="A713" t="s">
        <v>722</v>
      </c>
      <c r="B713" t="s">
        <v>11</v>
      </c>
      <c r="C713">
        <v>114.81840625</v>
      </c>
      <c r="D713">
        <f>0</f>
        <v>0</v>
      </c>
      <c r="E713">
        <f>684211914/10^6</f>
        <v>684.21191399999998</v>
      </c>
      <c r="F713">
        <f>0</f>
        <v>0</v>
      </c>
      <c r="G713">
        <f>230418274/10^6</f>
        <v>230.418274</v>
      </c>
      <c r="H713">
        <f>0</f>
        <v>0</v>
      </c>
      <c r="I713">
        <f>-42661915/10^6</f>
        <v>-42.661915</v>
      </c>
      <c r="J713">
        <f>0</f>
        <v>0</v>
      </c>
    </row>
    <row r="714" spans="1:10" x14ac:dyDescent="0.25">
      <c r="A714" t="s">
        <v>723</v>
      </c>
      <c r="B714" t="s">
        <v>11</v>
      </c>
      <c r="C714">
        <v>114.81651562499999</v>
      </c>
      <c r="D714">
        <f>0</f>
        <v>0</v>
      </c>
      <c r="E714">
        <f>68420459/10^5</f>
        <v>684.20459000000005</v>
      </c>
      <c r="F714">
        <f>0</f>
        <v>0</v>
      </c>
      <c r="G714">
        <f>230385208/10^6</f>
        <v>230.38520800000001</v>
      </c>
      <c r="H714">
        <f>0</f>
        <v>0</v>
      </c>
      <c r="I714">
        <f>-42842182/10^6</f>
        <v>-42.842182000000001</v>
      </c>
      <c r="J714">
        <f>0</f>
        <v>0</v>
      </c>
    </row>
    <row r="715" spans="1:10" x14ac:dyDescent="0.25">
      <c r="A715" t="s">
        <v>724</v>
      </c>
      <c r="B715" t="s">
        <v>11</v>
      </c>
      <c r="C715">
        <v>114.79428125</v>
      </c>
      <c r="D715">
        <f>0</f>
        <v>0</v>
      </c>
      <c r="E715">
        <f>684568237/10^6</f>
        <v>684.56823699999995</v>
      </c>
      <c r="F715">
        <f>0</f>
        <v>0</v>
      </c>
      <c r="G715">
        <f>230437988/10^6</f>
        <v>230.43798799999999</v>
      </c>
      <c r="H715">
        <f>0</f>
        <v>0</v>
      </c>
      <c r="I715">
        <f>-43018185/10^6</f>
        <v>-43.018185000000003</v>
      </c>
      <c r="J715">
        <f>0</f>
        <v>0</v>
      </c>
    </row>
    <row r="716" spans="1:10" x14ac:dyDescent="0.25">
      <c r="A716" t="s">
        <v>725</v>
      </c>
      <c r="B716" t="s">
        <v>11</v>
      </c>
      <c r="C716">
        <v>114.74657031300001</v>
      </c>
      <c r="D716">
        <f>0</f>
        <v>0</v>
      </c>
      <c r="E716">
        <f>684929199/10^6</f>
        <v>684.92919900000004</v>
      </c>
      <c r="F716">
        <f>0</f>
        <v>0</v>
      </c>
      <c r="G716">
        <f>230445953/10^6</f>
        <v>230.445953</v>
      </c>
      <c r="H716">
        <f>0</f>
        <v>0</v>
      </c>
      <c r="I716">
        <f>-43036926/10^6</f>
        <v>-43.036926000000001</v>
      </c>
      <c r="J716">
        <f>0</f>
        <v>0</v>
      </c>
    </row>
    <row r="717" spans="1:10" x14ac:dyDescent="0.25">
      <c r="A717" t="s">
        <v>726</v>
      </c>
      <c r="B717" t="s">
        <v>11</v>
      </c>
      <c r="C717">
        <v>114.72182031300001</v>
      </c>
      <c r="D717">
        <f>0</f>
        <v>0</v>
      </c>
      <c r="E717">
        <f>684962646/10^6</f>
        <v>684.96264599999995</v>
      </c>
      <c r="F717">
        <f>0</f>
        <v>0</v>
      </c>
      <c r="G717">
        <f>230402481/10^6</f>
        <v>230.40248099999999</v>
      </c>
      <c r="H717">
        <f>0</f>
        <v>0</v>
      </c>
      <c r="I717">
        <f>-43025768/10^6</f>
        <v>-43.025767999999999</v>
      </c>
      <c r="J717">
        <f>0</f>
        <v>0</v>
      </c>
    </row>
    <row r="718" spans="1:10" x14ac:dyDescent="0.25">
      <c r="A718" t="s">
        <v>727</v>
      </c>
      <c r="B718" t="s">
        <v>11</v>
      </c>
      <c r="C718">
        <v>114.73597656300001</v>
      </c>
      <c r="D718">
        <f>0</f>
        <v>0</v>
      </c>
      <c r="E718">
        <f>684687561/10^6</f>
        <v>684.68756099999996</v>
      </c>
      <c r="F718">
        <f>0</f>
        <v>0</v>
      </c>
      <c r="G718">
        <f>23035434/10^5</f>
        <v>230.35434000000001</v>
      </c>
      <c r="H718">
        <f>0</f>
        <v>0</v>
      </c>
      <c r="I718">
        <f>-42998524/10^6</f>
        <v>-42.998524000000003</v>
      </c>
      <c r="J718">
        <f>0</f>
        <v>0</v>
      </c>
    </row>
    <row r="719" spans="1:10" x14ac:dyDescent="0.25">
      <c r="A719" t="s">
        <v>728</v>
      </c>
      <c r="B719" t="s">
        <v>11</v>
      </c>
      <c r="C719">
        <v>114.741179688</v>
      </c>
      <c r="D719">
        <f>0</f>
        <v>0</v>
      </c>
      <c r="E719">
        <f>684655212/10^6</f>
        <v>684.65521200000001</v>
      </c>
      <c r="F719">
        <f>0</f>
        <v>0</v>
      </c>
      <c r="G719">
        <f>230361816/10^6</f>
        <v>230.361816</v>
      </c>
      <c r="H719">
        <f>0</f>
        <v>0</v>
      </c>
      <c r="I719">
        <f>-42981136/10^6</f>
        <v>-42.981135999999999</v>
      </c>
      <c r="J719">
        <f>0</f>
        <v>0</v>
      </c>
    </row>
    <row r="720" spans="1:10" x14ac:dyDescent="0.25">
      <c r="A720" t="s">
        <v>729</v>
      </c>
      <c r="B720" t="s">
        <v>11</v>
      </c>
      <c r="C720">
        <v>114.70271093800001</v>
      </c>
      <c r="D720">
        <f>0</f>
        <v>0</v>
      </c>
      <c r="E720">
        <f>684930481/10^6</f>
        <v>684.93048099999999</v>
      </c>
      <c r="F720">
        <f>0</f>
        <v>0</v>
      </c>
      <c r="G720">
        <f>230367325/10^6</f>
        <v>230.36732499999999</v>
      </c>
      <c r="H720">
        <f>0</f>
        <v>0</v>
      </c>
      <c r="I720">
        <f>-42992111/10^6</f>
        <v>-42.992111000000001</v>
      </c>
      <c r="J720">
        <f>0</f>
        <v>0</v>
      </c>
    </row>
    <row r="721" spans="1:10" x14ac:dyDescent="0.25">
      <c r="A721" t="s">
        <v>730</v>
      </c>
      <c r="B721" t="s">
        <v>11</v>
      </c>
      <c r="C721">
        <v>114.65021874999999</v>
      </c>
      <c r="D721">
        <f>0</f>
        <v>0</v>
      </c>
      <c r="E721">
        <f>685142334/10^6</f>
        <v>685.14233400000001</v>
      </c>
      <c r="F721">
        <f>0</f>
        <v>0</v>
      </c>
      <c r="G721">
        <f>230330841/10^6</f>
        <v>230.33084099999999</v>
      </c>
      <c r="H721">
        <f>0</f>
        <v>0</v>
      </c>
      <c r="I721">
        <f>-42935162/10^6</f>
        <v>-42.935161999999998</v>
      </c>
      <c r="J721">
        <f>0</f>
        <v>0</v>
      </c>
    </row>
    <row r="722" spans="1:10" x14ac:dyDescent="0.25">
      <c r="A722" t="s">
        <v>731</v>
      </c>
      <c r="B722" t="s">
        <v>11</v>
      </c>
      <c r="C722">
        <v>114.61941406300001</v>
      </c>
      <c r="D722">
        <f>0</f>
        <v>0</v>
      </c>
      <c r="E722">
        <f>685219116/10^6</f>
        <v>685.21911599999999</v>
      </c>
      <c r="F722">
        <f>0</f>
        <v>0</v>
      </c>
      <c r="G722">
        <f>230272766/10^6</f>
        <v>230.27276599999999</v>
      </c>
      <c r="H722">
        <f>0</f>
        <v>0</v>
      </c>
      <c r="I722">
        <f>-43073246/10^6</f>
        <v>-43.073245999999997</v>
      </c>
      <c r="J722">
        <f>0</f>
        <v>0</v>
      </c>
    </row>
    <row r="723" spans="1:10" x14ac:dyDescent="0.25">
      <c r="A723" t="s">
        <v>732</v>
      </c>
      <c r="B723" t="s">
        <v>11</v>
      </c>
      <c r="C723">
        <v>114.618523438</v>
      </c>
      <c r="D723">
        <f>0</f>
        <v>0</v>
      </c>
      <c r="E723">
        <f>685132568/10^6</f>
        <v>685.13256799999999</v>
      </c>
      <c r="F723">
        <f>0</f>
        <v>0</v>
      </c>
      <c r="G723">
        <f>230240799/10^6</f>
        <v>230.24079900000001</v>
      </c>
      <c r="H723">
        <f>0</f>
        <v>0</v>
      </c>
      <c r="I723">
        <f>-43176449/10^6</f>
        <v>-43.176448999999998</v>
      </c>
      <c r="J723">
        <f>0</f>
        <v>0</v>
      </c>
    </row>
    <row r="724" spans="1:10" x14ac:dyDescent="0.25">
      <c r="A724" t="s">
        <v>733</v>
      </c>
      <c r="B724" t="s">
        <v>11</v>
      </c>
      <c r="C724">
        <v>114.645</v>
      </c>
      <c r="D724">
        <f>0</f>
        <v>0</v>
      </c>
      <c r="E724">
        <f>685072754/10^6</f>
        <v>685.07275400000003</v>
      </c>
      <c r="F724">
        <f>0</f>
        <v>0</v>
      </c>
      <c r="G724">
        <f>230266602/10^6</f>
        <v>230.26660200000001</v>
      </c>
      <c r="H724">
        <f>0</f>
        <v>0</v>
      </c>
      <c r="I724">
        <f>-43133804/10^6</f>
        <v>-43.133803999999998</v>
      </c>
      <c r="J724">
        <f>0</f>
        <v>0</v>
      </c>
    </row>
    <row r="725" spans="1:10" x14ac:dyDescent="0.25">
      <c r="A725" t="s">
        <v>734</v>
      </c>
      <c r="B725" t="s">
        <v>11</v>
      </c>
      <c r="C725">
        <v>0</v>
      </c>
      <c r="D725">
        <f>2</f>
        <v>2</v>
      </c>
      <c r="F725">
        <f>2</f>
        <v>2</v>
      </c>
      <c r="H725">
        <f>2</f>
        <v>2</v>
      </c>
      <c r="J725">
        <f>2</f>
        <v>2</v>
      </c>
    </row>
    <row r="726" spans="1:10" x14ac:dyDescent="0.25">
      <c r="A726" t="s">
        <v>735</v>
      </c>
      <c r="B726" t="s">
        <v>11</v>
      </c>
      <c r="C726">
        <v>114.789710938</v>
      </c>
      <c r="D726">
        <f>0</f>
        <v>0</v>
      </c>
      <c r="E726">
        <f>684623108/10^6</f>
        <v>684.623108</v>
      </c>
      <c r="F726">
        <f>0</f>
        <v>0</v>
      </c>
      <c r="G726">
        <f>230435226/10^6</f>
        <v>230.435226</v>
      </c>
      <c r="H726">
        <f>0</f>
        <v>0</v>
      </c>
      <c r="I726">
        <f>-43051937/10^6</f>
        <v>-43.051937000000002</v>
      </c>
      <c r="J726">
        <f>0</f>
        <v>0</v>
      </c>
    </row>
    <row r="727" spans="1:10" x14ac:dyDescent="0.25">
      <c r="A727" t="s">
        <v>736</v>
      </c>
      <c r="B727" t="s">
        <v>11</v>
      </c>
      <c r="C727">
        <v>114.976820313</v>
      </c>
      <c r="D727">
        <f>0</f>
        <v>0</v>
      </c>
      <c r="E727">
        <f>683679443/10^6</f>
        <v>683.67944299999999</v>
      </c>
      <c r="F727">
        <f>0</f>
        <v>0</v>
      </c>
      <c r="G727">
        <f>230484955/10^6</f>
        <v>230.48495500000001</v>
      </c>
      <c r="H727">
        <f>0</f>
        <v>0</v>
      </c>
      <c r="I727">
        <f>-43059631/10^6</f>
        <v>-43.059631000000003</v>
      </c>
      <c r="J727">
        <f>0</f>
        <v>0</v>
      </c>
    </row>
    <row r="728" spans="1:10" x14ac:dyDescent="0.25">
      <c r="A728" t="s">
        <v>737</v>
      </c>
      <c r="B728" t="s">
        <v>11</v>
      </c>
      <c r="C728">
        <v>115.22580468800001</v>
      </c>
      <c r="D728">
        <f>0</f>
        <v>0</v>
      </c>
      <c r="E728">
        <f>682296448/10^6</f>
        <v>682.29644800000005</v>
      </c>
      <c r="F728">
        <f>0</f>
        <v>0</v>
      </c>
      <c r="G728">
        <f>230553909/10^6</f>
        <v>230.553909</v>
      </c>
      <c r="H728">
        <f>0</f>
        <v>0</v>
      </c>
      <c r="I728">
        <f>-42874928/10^6</f>
        <v>-42.874927999999997</v>
      </c>
      <c r="J728">
        <f>0</f>
        <v>0</v>
      </c>
    </row>
    <row r="729" spans="1:10" x14ac:dyDescent="0.25">
      <c r="A729" t="s">
        <v>738</v>
      </c>
      <c r="B729" t="s">
        <v>11</v>
      </c>
      <c r="C729">
        <v>115.49282031300001</v>
      </c>
      <c r="D729">
        <f>0</f>
        <v>0</v>
      </c>
      <c r="E729">
        <f>680886353/10^6</f>
        <v>680.88635299999999</v>
      </c>
      <c r="F729">
        <f>0</f>
        <v>0</v>
      </c>
      <c r="G729">
        <f>230667526/10^6</f>
        <v>230.66752600000001</v>
      </c>
      <c r="H729">
        <f>0</f>
        <v>0</v>
      </c>
      <c r="I729">
        <f>-42576/10^3</f>
        <v>-42.576000000000001</v>
      </c>
      <c r="J729">
        <f>0</f>
        <v>0</v>
      </c>
    </row>
    <row r="730" spans="1:10" x14ac:dyDescent="0.25">
      <c r="A730" t="s">
        <v>739</v>
      </c>
      <c r="B730" t="s">
        <v>11</v>
      </c>
      <c r="C730">
        <v>0</v>
      </c>
      <c r="D730">
        <f>2</f>
        <v>2</v>
      </c>
      <c r="F730">
        <f>2</f>
        <v>2</v>
      </c>
      <c r="H730">
        <f>2</f>
        <v>2</v>
      </c>
      <c r="J730">
        <f>2</f>
        <v>2</v>
      </c>
    </row>
    <row r="731" spans="1:10" x14ac:dyDescent="0.25">
      <c r="A731" t="s">
        <v>740</v>
      </c>
      <c r="B731" t="s">
        <v>11</v>
      </c>
      <c r="C731">
        <v>116.06065624999999</v>
      </c>
      <c r="D731">
        <f>0</f>
        <v>0</v>
      </c>
      <c r="E731">
        <f>677868774/10^6</f>
        <v>677.86877400000003</v>
      </c>
      <c r="F731">
        <f>0</f>
        <v>0</v>
      </c>
      <c r="G731">
        <f>230831421/10^6</f>
        <v>230.83142100000001</v>
      </c>
      <c r="H731">
        <f>0</f>
        <v>0</v>
      </c>
      <c r="I731">
        <f>-42428371/10^6</f>
        <v>-42.428370999999999</v>
      </c>
      <c r="J731">
        <f>0</f>
        <v>0</v>
      </c>
    </row>
    <row r="732" spans="1:10" x14ac:dyDescent="0.25">
      <c r="A732" t="s">
        <v>741</v>
      </c>
      <c r="B732" t="s">
        <v>11</v>
      </c>
      <c r="C732">
        <v>116.4429375</v>
      </c>
      <c r="D732">
        <f>0</f>
        <v>0</v>
      </c>
      <c r="E732">
        <f>675693909/10^6</f>
        <v>675.69390899999996</v>
      </c>
      <c r="F732">
        <f>0</f>
        <v>0</v>
      </c>
      <c r="G732">
        <f>230898514/10^6</f>
        <v>230.89851400000001</v>
      </c>
      <c r="H732">
        <f>0</f>
        <v>0</v>
      </c>
      <c r="I732">
        <f>-42076187/10^6</f>
        <v>-42.076186999999997</v>
      </c>
      <c r="J732">
        <f>0</f>
        <v>0</v>
      </c>
    </row>
    <row r="733" spans="1:10" x14ac:dyDescent="0.25">
      <c r="A733" t="s">
        <v>742</v>
      </c>
      <c r="B733" t="s">
        <v>11</v>
      </c>
      <c r="C733">
        <v>116.89578906300001</v>
      </c>
      <c r="D733">
        <f>0</f>
        <v>0</v>
      </c>
      <c r="E733">
        <f>673130554/10^6</f>
        <v>673.13055399999996</v>
      </c>
      <c r="F733">
        <f>0</f>
        <v>0</v>
      </c>
      <c r="G733">
        <f>230979584/10^6</f>
        <v>230.97958399999999</v>
      </c>
      <c r="H733">
        <f>0</f>
        <v>0</v>
      </c>
      <c r="I733">
        <f>-41875561/10^6</f>
        <v>-41.875560999999998</v>
      </c>
      <c r="J733">
        <f>0</f>
        <v>0</v>
      </c>
    </row>
    <row r="734" spans="1:10" x14ac:dyDescent="0.25">
      <c r="A734" t="s">
        <v>743</v>
      </c>
      <c r="B734" t="s">
        <v>11</v>
      </c>
      <c r="C734">
        <v>117.41140625</v>
      </c>
      <c r="D734">
        <f>0</f>
        <v>0</v>
      </c>
      <c r="E734">
        <f>670165833/10^6</f>
        <v>670.16583300000002</v>
      </c>
      <c r="F734">
        <f>0</f>
        <v>0</v>
      </c>
      <c r="G734">
        <f>231054718/10^6</f>
        <v>231.05471800000001</v>
      </c>
      <c r="H734">
        <f>0</f>
        <v>0</v>
      </c>
      <c r="I734">
        <f>-41662968/10^6</f>
        <v>-41.662967999999999</v>
      </c>
      <c r="J734">
        <f>0</f>
        <v>0</v>
      </c>
    </row>
    <row r="735" spans="1:10" x14ac:dyDescent="0.25">
      <c r="A735" t="s">
        <v>744</v>
      </c>
      <c r="B735" t="s">
        <v>11</v>
      </c>
      <c r="C735">
        <v>118.00296874999999</v>
      </c>
      <c r="D735">
        <f>0</f>
        <v>0</v>
      </c>
      <c r="E735">
        <f>666851074/10^6</f>
        <v>666.85107400000004</v>
      </c>
      <c r="F735">
        <f>0</f>
        <v>0</v>
      </c>
      <c r="G735">
        <f>231135803/10^6</f>
        <v>231.13580300000001</v>
      </c>
      <c r="H735">
        <f>0</f>
        <v>0</v>
      </c>
      <c r="I735">
        <f>-41349007/10^6</f>
        <v>-41.349007</v>
      </c>
      <c r="J735">
        <f>0</f>
        <v>0</v>
      </c>
    </row>
    <row r="736" spans="1:10" x14ac:dyDescent="0.25">
      <c r="A736" t="s">
        <v>745</v>
      </c>
      <c r="B736" t="s">
        <v>11</v>
      </c>
      <c r="C736">
        <v>118.67655468800001</v>
      </c>
      <c r="D736">
        <f>0</f>
        <v>0</v>
      </c>
      <c r="E736">
        <f>662996643/10^6</f>
        <v>662.99664299999995</v>
      </c>
      <c r="F736">
        <f>0</f>
        <v>0</v>
      </c>
      <c r="G736">
        <f>231217758/10^6</f>
        <v>231.217758</v>
      </c>
      <c r="H736">
        <f>0</f>
        <v>0</v>
      </c>
      <c r="I736">
        <f>-40928471/10^6</f>
        <v>-40.928471000000002</v>
      </c>
      <c r="J736">
        <f>0</f>
        <v>0</v>
      </c>
    </row>
    <row r="737" spans="1:10" x14ac:dyDescent="0.25">
      <c r="A737" t="s">
        <v>746</v>
      </c>
      <c r="B737" t="s">
        <v>11</v>
      </c>
      <c r="C737">
        <v>0</v>
      </c>
      <c r="D737">
        <f>2</f>
        <v>2</v>
      </c>
      <c r="F737">
        <f>2</f>
        <v>2</v>
      </c>
      <c r="H737">
        <f>2</f>
        <v>2</v>
      </c>
      <c r="J737">
        <f>2</f>
        <v>2</v>
      </c>
    </row>
    <row r="738" spans="1:10" x14ac:dyDescent="0.25">
      <c r="A738" t="s">
        <v>747</v>
      </c>
      <c r="B738" t="s">
        <v>11</v>
      </c>
      <c r="C738">
        <v>120.09746875</v>
      </c>
      <c r="D738">
        <f>0</f>
        <v>0</v>
      </c>
      <c r="E738">
        <f>654958191/10^6</f>
        <v>654.95819100000006</v>
      </c>
      <c r="F738">
        <f>0</f>
        <v>0</v>
      </c>
      <c r="G738">
        <f>231375183/10^6</f>
        <v>231.37518299999999</v>
      </c>
      <c r="H738">
        <f>0</f>
        <v>0</v>
      </c>
      <c r="I738">
        <f>-40147499/10^6</f>
        <v>-40.147499000000003</v>
      </c>
      <c r="J738">
        <f>0</f>
        <v>0</v>
      </c>
    </row>
    <row r="739" spans="1:10" x14ac:dyDescent="0.25">
      <c r="A739" t="s">
        <v>748</v>
      </c>
      <c r="B739" t="s">
        <v>11</v>
      </c>
      <c r="C739">
        <v>120.750125</v>
      </c>
      <c r="D739">
        <f>0</f>
        <v>0</v>
      </c>
      <c r="E739">
        <f>651158813/10^6</f>
        <v>651.15881300000001</v>
      </c>
      <c r="F739">
        <f>0</f>
        <v>0</v>
      </c>
      <c r="G739">
        <f>231412704/10^6</f>
        <v>231.41270399999999</v>
      </c>
      <c r="H739">
        <f>0</f>
        <v>0</v>
      </c>
      <c r="I739">
        <f>-39787575/10^6</f>
        <v>-39.787574999999997</v>
      </c>
      <c r="J739">
        <f>0</f>
        <v>0</v>
      </c>
    </row>
    <row r="740" spans="1:10" x14ac:dyDescent="0.25">
      <c r="A740" t="s">
        <v>749</v>
      </c>
      <c r="B740" t="s">
        <v>11</v>
      </c>
      <c r="C740">
        <v>121.242390625</v>
      </c>
      <c r="D740">
        <f>0</f>
        <v>0</v>
      </c>
      <c r="E740">
        <f>648117249/10^6</f>
        <v>648.11724900000002</v>
      </c>
      <c r="F740">
        <f>0</f>
        <v>0</v>
      </c>
      <c r="G740">
        <f>231427628/10^6</f>
        <v>231.427628</v>
      </c>
      <c r="H740">
        <f>0</f>
        <v>0</v>
      </c>
      <c r="I740">
        <f>-39250366/10^6</f>
        <v>-39.250366</v>
      </c>
      <c r="J740">
        <f>0</f>
        <v>0</v>
      </c>
    </row>
    <row r="741" spans="1:10" x14ac:dyDescent="0.25">
      <c r="A741" t="s">
        <v>750</v>
      </c>
      <c r="B741" t="s">
        <v>11</v>
      </c>
      <c r="C741">
        <v>121.49915625</v>
      </c>
      <c r="D741">
        <f>0</f>
        <v>0</v>
      </c>
      <c r="E741">
        <f>646726318/10^6</f>
        <v>646.72631799999999</v>
      </c>
      <c r="F741">
        <f>0</f>
        <v>0</v>
      </c>
      <c r="G741">
        <f>231465088/10^6</f>
        <v>231.46508800000001</v>
      </c>
      <c r="H741">
        <f>0</f>
        <v>0</v>
      </c>
      <c r="I741">
        <f>-39044865/10^6</f>
        <v>-39.044865000000001</v>
      </c>
      <c r="J741">
        <f>0</f>
        <v>0</v>
      </c>
    </row>
    <row r="742" spans="1:10" x14ac:dyDescent="0.25">
      <c r="A742" t="s">
        <v>751</v>
      </c>
      <c r="B742" t="s">
        <v>11</v>
      </c>
      <c r="C742">
        <v>121.576609375</v>
      </c>
      <c r="D742">
        <f>0</f>
        <v>0</v>
      </c>
      <c r="E742">
        <f>64648938/10^5</f>
        <v>646.48937999999998</v>
      </c>
      <c r="F742">
        <f>0</f>
        <v>0</v>
      </c>
      <c r="G742">
        <f>231513794/10^6</f>
        <v>231.51379399999999</v>
      </c>
      <c r="H742">
        <f>0</f>
        <v>0</v>
      </c>
      <c r="I742">
        <f>-39044689/10^6</f>
        <v>-39.044688999999998</v>
      </c>
      <c r="J742">
        <f>0</f>
        <v>0</v>
      </c>
    </row>
    <row r="743" spans="1:10" x14ac:dyDescent="0.25">
      <c r="A743" t="s">
        <v>752</v>
      </c>
      <c r="B743" t="s">
        <v>11</v>
      </c>
      <c r="C743">
        <v>121.597492188</v>
      </c>
      <c r="D743">
        <f>0</f>
        <v>0</v>
      </c>
      <c r="E743">
        <f>646504944/10^6</f>
        <v>646.50494400000002</v>
      </c>
      <c r="F743">
        <f>0</f>
        <v>0</v>
      </c>
      <c r="G743">
        <f>231564255/10^6</f>
        <v>231.564255</v>
      </c>
      <c r="H743">
        <f>0</f>
        <v>0</v>
      </c>
      <c r="I743">
        <f>-38892872/10^6</f>
        <v>-38.892871999999997</v>
      </c>
      <c r="J743">
        <f>0</f>
        <v>0</v>
      </c>
    </row>
    <row r="744" spans="1:10" x14ac:dyDescent="0.25">
      <c r="A744" t="s">
        <v>753</v>
      </c>
      <c r="B744" t="s">
        <v>11</v>
      </c>
      <c r="C744">
        <v>121.62688281300001</v>
      </c>
      <c r="D744">
        <f>0</f>
        <v>0</v>
      </c>
      <c r="E744">
        <f>64632959/10^5</f>
        <v>646.32959000000005</v>
      </c>
      <c r="F744">
        <f>0</f>
        <v>0</v>
      </c>
      <c r="G744">
        <f>231602982/10^6</f>
        <v>231.602982</v>
      </c>
      <c r="H744">
        <f>0</f>
        <v>0</v>
      </c>
      <c r="I744">
        <f>-38693382/10^6</f>
        <v>-38.693382</v>
      </c>
      <c r="J744">
        <f>0</f>
        <v>0</v>
      </c>
    </row>
    <row r="745" spans="1:10" x14ac:dyDescent="0.25">
      <c r="A745" t="s">
        <v>754</v>
      </c>
      <c r="B745" t="s">
        <v>11</v>
      </c>
      <c r="C745">
        <v>121.644171875</v>
      </c>
      <c r="D745">
        <f>0</f>
        <v>0</v>
      </c>
      <c r="E745">
        <f>646304321/10^6</f>
        <v>646.30432099999996</v>
      </c>
      <c r="F745">
        <f>0</f>
        <v>0</v>
      </c>
      <c r="G745">
        <f>231623566/10^6</f>
        <v>231.62356600000001</v>
      </c>
      <c r="H745">
        <f>0</f>
        <v>0</v>
      </c>
      <c r="I745">
        <f>-38700714/10^6</f>
        <v>-38.700713999999998</v>
      </c>
      <c r="J745">
        <f>0</f>
        <v>0</v>
      </c>
    </row>
    <row r="746" spans="1:10" x14ac:dyDescent="0.25">
      <c r="A746" t="s">
        <v>755</v>
      </c>
      <c r="B746" t="s">
        <v>11</v>
      </c>
      <c r="C746">
        <v>121.62158593800001</v>
      </c>
      <c r="D746">
        <f>0</f>
        <v>0</v>
      </c>
      <c r="E746">
        <f>646648804/10^6</f>
        <v>646.64880400000004</v>
      </c>
      <c r="F746">
        <f>0</f>
        <v>0</v>
      </c>
      <c r="G746">
        <f>231637756/10^6</f>
        <v>231.637756</v>
      </c>
      <c r="H746">
        <f>0</f>
        <v>0</v>
      </c>
      <c r="I746">
        <f>-38853127/10^6</f>
        <v>-38.853127000000001</v>
      </c>
      <c r="J746">
        <f>0</f>
        <v>0</v>
      </c>
    </row>
    <row r="747" spans="1:10" x14ac:dyDescent="0.25">
      <c r="A747" t="s">
        <v>756</v>
      </c>
      <c r="B747" t="s">
        <v>11</v>
      </c>
      <c r="C747">
        <v>121.54803124999999</v>
      </c>
      <c r="D747">
        <f>0</f>
        <v>0</v>
      </c>
      <c r="E747">
        <f>647031311/10^6</f>
        <v>647.03131099999996</v>
      </c>
      <c r="F747">
        <f>0</f>
        <v>0</v>
      </c>
      <c r="G747">
        <f>231646851/10^6</f>
        <v>231.646851</v>
      </c>
      <c r="H747">
        <f>0</f>
        <v>0</v>
      </c>
      <c r="I747">
        <f>-38840408/10^6</f>
        <v>-38.840407999999996</v>
      </c>
      <c r="J747">
        <f>0</f>
        <v>0</v>
      </c>
    </row>
    <row r="748" spans="1:10" x14ac:dyDescent="0.25">
      <c r="A748" t="s">
        <v>757</v>
      </c>
      <c r="B748" t="s">
        <v>11</v>
      </c>
      <c r="C748">
        <v>121.42116406300001</v>
      </c>
      <c r="D748">
        <f>0</f>
        <v>0</v>
      </c>
      <c r="E748">
        <f>647683655/10^6</f>
        <v>647.68365500000004</v>
      </c>
      <c r="F748">
        <f>0</f>
        <v>0</v>
      </c>
      <c r="G748">
        <f>231642578/10^6</f>
        <v>231.64257799999999</v>
      </c>
      <c r="H748">
        <f>0</f>
        <v>0</v>
      </c>
      <c r="I748">
        <f>-38792236/10^6</f>
        <v>-38.792236000000003</v>
      </c>
      <c r="J748">
        <f>0</f>
        <v>0</v>
      </c>
    </row>
    <row r="749" spans="1:10" x14ac:dyDescent="0.25">
      <c r="A749" t="s">
        <v>758</v>
      </c>
      <c r="B749" t="s">
        <v>11</v>
      </c>
      <c r="C749">
        <v>121.25156250000001</v>
      </c>
      <c r="D749">
        <f>0</f>
        <v>0</v>
      </c>
      <c r="E749">
        <f>648732544/10^6</f>
        <v>648.73254399999996</v>
      </c>
      <c r="F749">
        <f>0</f>
        <v>0</v>
      </c>
      <c r="G749">
        <f>231618561/10^6</f>
        <v>231.618561</v>
      </c>
      <c r="H749">
        <f>0</f>
        <v>0</v>
      </c>
      <c r="I749">
        <f>-38978649/10^6</f>
        <v>-38.978648999999997</v>
      </c>
      <c r="J749">
        <f>0</f>
        <v>0</v>
      </c>
    </row>
    <row r="750" spans="1:10" x14ac:dyDescent="0.25">
      <c r="A750" t="s">
        <v>759</v>
      </c>
      <c r="B750" t="s">
        <v>11</v>
      </c>
      <c r="C750">
        <v>121.07136718800001</v>
      </c>
      <c r="D750">
        <f>0</f>
        <v>0</v>
      </c>
      <c r="E750">
        <f>649737976/10^6</f>
        <v>649.737976</v>
      </c>
      <c r="F750">
        <f>0</f>
        <v>0</v>
      </c>
      <c r="G750">
        <f>231598511/10^6</f>
        <v>231.598511</v>
      </c>
      <c r="H750">
        <f>0</f>
        <v>0</v>
      </c>
      <c r="I750">
        <f>-39087597/10^6</f>
        <v>-39.087597000000002</v>
      </c>
      <c r="J750">
        <f>0</f>
        <v>0</v>
      </c>
    </row>
    <row r="751" spans="1:10" x14ac:dyDescent="0.25">
      <c r="A751" t="s">
        <v>760</v>
      </c>
      <c r="B751" t="s">
        <v>11</v>
      </c>
      <c r="C751">
        <v>0</v>
      </c>
      <c r="D751">
        <f>2</f>
        <v>2</v>
      </c>
      <c r="F751">
        <f>2</f>
        <v>2</v>
      </c>
      <c r="H751">
        <f>2</f>
        <v>2</v>
      </c>
      <c r="J751">
        <f>2</f>
        <v>2</v>
      </c>
    </row>
    <row r="752" spans="1:10" x14ac:dyDescent="0.25">
      <c r="A752" t="s">
        <v>761</v>
      </c>
      <c r="B752" t="s">
        <v>11</v>
      </c>
      <c r="C752">
        <v>120.63275</v>
      </c>
      <c r="D752">
        <f>0</f>
        <v>0</v>
      </c>
      <c r="E752">
        <f>652111023/10^6</f>
        <v>652.11102300000005</v>
      </c>
      <c r="F752">
        <f>0</f>
        <v>0</v>
      </c>
      <c r="G752">
        <f>231533829/10^6</f>
        <v>231.533829</v>
      </c>
      <c r="H752">
        <f>0</f>
        <v>0</v>
      </c>
      <c r="I752">
        <f>-39236343/10^6</f>
        <v>-39.236342999999998</v>
      </c>
      <c r="J752">
        <f>0</f>
        <v>0</v>
      </c>
    </row>
    <row r="753" spans="1:10" x14ac:dyDescent="0.25">
      <c r="A753" t="s">
        <v>762</v>
      </c>
      <c r="B753" t="s">
        <v>11</v>
      </c>
      <c r="C753">
        <v>120.389539063</v>
      </c>
      <c r="D753">
        <f>0</f>
        <v>0</v>
      </c>
      <c r="E753">
        <f>653325195/10^6</f>
        <v>653.32519500000001</v>
      </c>
      <c r="F753">
        <f>0</f>
        <v>0</v>
      </c>
      <c r="G753">
        <f>231495834/10^6</f>
        <v>231.495834</v>
      </c>
      <c r="H753">
        <f>0</f>
        <v>0</v>
      </c>
      <c r="I753">
        <f>-39142609/10^6</f>
        <v>-39.142609</v>
      </c>
      <c r="J753">
        <f>0</f>
        <v>0</v>
      </c>
    </row>
    <row r="754" spans="1:10" x14ac:dyDescent="0.25">
      <c r="A754" t="s">
        <v>763</v>
      </c>
      <c r="B754" t="s">
        <v>11</v>
      </c>
      <c r="C754">
        <v>120.13846875</v>
      </c>
      <c r="D754">
        <f>0</f>
        <v>0</v>
      </c>
      <c r="E754">
        <f>654639771/10^6</f>
        <v>654.639771</v>
      </c>
      <c r="F754">
        <f>0</f>
        <v>0</v>
      </c>
      <c r="G754">
        <f>231452194/10^6</f>
        <v>231.45219399999999</v>
      </c>
      <c r="H754">
        <f>0</f>
        <v>0</v>
      </c>
      <c r="I754">
        <f>-3926226/10^5</f>
        <v>-39.262259999999998</v>
      </c>
      <c r="J754">
        <f>0</f>
        <v>0</v>
      </c>
    </row>
    <row r="755" spans="1:10" x14ac:dyDescent="0.25">
      <c r="A755" t="s">
        <v>764</v>
      </c>
      <c r="B755" t="s">
        <v>11</v>
      </c>
      <c r="C755">
        <v>119.87624218800001</v>
      </c>
      <c r="D755">
        <f>0</f>
        <v>0</v>
      </c>
      <c r="E755">
        <f>6560849/10^4</f>
        <v>656.08489999999995</v>
      </c>
      <c r="F755">
        <f>0</f>
        <v>0</v>
      </c>
      <c r="G755">
        <f>231411682/10^6</f>
        <v>231.41168200000001</v>
      </c>
      <c r="H755">
        <f>0</f>
        <v>0</v>
      </c>
      <c r="I755">
        <f>-39532959/10^6</f>
        <v>-39.532958999999998</v>
      </c>
      <c r="J755">
        <f>0</f>
        <v>0</v>
      </c>
    </row>
    <row r="756" spans="1:10" x14ac:dyDescent="0.25">
      <c r="A756" t="s">
        <v>765</v>
      </c>
      <c r="B756" t="s">
        <v>11</v>
      </c>
      <c r="C756">
        <v>0</v>
      </c>
      <c r="D756">
        <f>2</f>
        <v>2</v>
      </c>
      <c r="F756">
        <f>2</f>
        <v>2</v>
      </c>
      <c r="H756">
        <f>2</f>
        <v>2</v>
      </c>
      <c r="J756">
        <f>2</f>
        <v>2</v>
      </c>
    </row>
    <row r="757" spans="1:10" x14ac:dyDescent="0.25">
      <c r="A757" t="s">
        <v>766</v>
      </c>
      <c r="B757" t="s">
        <v>11</v>
      </c>
      <c r="C757">
        <v>119.36290624999999</v>
      </c>
      <c r="D757">
        <f>0</f>
        <v>0</v>
      </c>
      <c r="E757">
        <f>658877869/10^6</f>
        <v>658.87786900000003</v>
      </c>
      <c r="F757">
        <f>0</f>
        <v>0</v>
      </c>
      <c r="G757">
        <f>231323334/10^6</f>
        <v>231.32333399999999</v>
      </c>
      <c r="H757">
        <f>0</f>
        <v>0</v>
      </c>
      <c r="I757">
        <f>-39763424/10^6</f>
        <v>-39.763424000000001</v>
      </c>
      <c r="J757">
        <f>0</f>
        <v>0</v>
      </c>
    </row>
    <row r="758" spans="1:10" x14ac:dyDescent="0.25">
      <c r="A758" t="s">
        <v>767</v>
      </c>
      <c r="B758" t="s">
        <v>11</v>
      </c>
      <c r="C758">
        <v>119.09412500000001</v>
      </c>
      <c r="D758">
        <f>0</f>
        <v>0</v>
      </c>
      <c r="E758">
        <f>660368347/10^6</f>
        <v>660.36834699999997</v>
      </c>
      <c r="F758">
        <f>0</f>
        <v>0</v>
      </c>
      <c r="G758">
        <f>231279877/10^6</f>
        <v>231.279877</v>
      </c>
      <c r="H758">
        <f>0</f>
        <v>0</v>
      </c>
      <c r="I758">
        <f>-39981937/10^6</f>
        <v>-39.981937000000002</v>
      </c>
      <c r="J758">
        <f>0</f>
        <v>0</v>
      </c>
    </row>
    <row r="759" spans="1:10" x14ac:dyDescent="0.25">
      <c r="A759" t="s">
        <v>768</v>
      </c>
      <c r="B759" t="s">
        <v>11</v>
      </c>
      <c r="C759">
        <v>118.822351563</v>
      </c>
      <c r="D759">
        <f>0</f>
        <v>0</v>
      </c>
      <c r="E759">
        <f>661894104/10^6</f>
        <v>661.89410399999997</v>
      </c>
      <c r="F759">
        <f>0</f>
        <v>0</v>
      </c>
      <c r="G759">
        <f>231241318/10^6</f>
        <v>231.24131800000001</v>
      </c>
      <c r="H759">
        <f>0</f>
        <v>0</v>
      </c>
      <c r="I759">
        <f>-40144726/10^6</f>
        <v>-40.144725999999999</v>
      </c>
      <c r="J759">
        <f>0</f>
        <v>0</v>
      </c>
    </row>
    <row r="760" spans="1:10" x14ac:dyDescent="0.25">
      <c r="A760" t="s">
        <v>769</v>
      </c>
      <c r="B760" t="s">
        <v>11</v>
      </c>
      <c r="C760">
        <v>118.55803125</v>
      </c>
      <c r="D760">
        <f>0</f>
        <v>0</v>
      </c>
      <c r="E760">
        <f>663222839/10^6</f>
        <v>663.22283900000002</v>
      </c>
      <c r="F760">
        <f>0</f>
        <v>0</v>
      </c>
      <c r="G760">
        <f>23119458/10^5</f>
        <v>231.19458</v>
      </c>
      <c r="H760">
        <f>0</f>
        <v>0</v>
      </c>
      <c r="I760">
        <f>-40111469/10^6</f>
        <v>-40.111469</v>
      </c>
      <c r="J760">
        <f>0</f>
        <v>0</v>
      </c>
    </row>
    <row r="761" spans="1:10" x14ac:dyDescent="0.25">
      <c r="A761" t="s">
        <v>770</v>
      </c>
      <c r="B761" t="s">
        <v>11</v>
      </c>
      <c r="C761">
        <v>118.281085938</v>
      </c>
      <c r="D761">
        <f>0</f>
        <v>0</v>
      </c>
      <c r="E761">
        <f>664743896/10^6</f>
        <v>664.74389599999995</v>
      </c>
      <c r="F761">
        <f>0</f>
        <v>0</v>
      </c>
      <c r="G761">
        <f>231141281/10^6</f>
        <v>231.14128099999999</v>
      </c>
      <c r="H761">
        <f>0</f>
        <v>0</v>
      </c>
      <c r="I761">
        <f>-40264938/10^6</f>
        <v>-40.264938000000001</v>
      </c>
      <c r="J761">
        <f>0</f>
        <v>0</v>
      </c>
    </row>
    <row r="762" spans="1:10" x14ac:dyDescent="0.25">
      <c r="A762" t="s">
        <v>771</v>
      </c>
      <c r="B762" t="s">
        <v>11</v>
      </c>
      <c r="C762">
        <v>117.993351563</v>
      </c>
      <c r="D762">
        <f>0</f>
        <v>0</v>
      </c>
      <c r="E762">
        <f>666522461/10^6</f>
        <v>666.52246100000002</v>
      </c>
      <c r="F762">
        <f>0</f>
        <v>0</v>
      </c>
      <c r="G762">
        <f>231108551/10^6</f>
        <v>231.10855100000001</v>
      </c>
      <c r="H762">
        <f>0</f>
        <v>0</v>
      </c>
      <c r="I762">
        <f>-40616711/10^6</f>
        <v>-40.616711000000002</v>
      </c>
      <c r="J762">
        <f>0</f>
        <v>0</v>
      </c>
    </row>
    <row r="763" spans="1:10" x14ac:dyDescent="0.25">
      <c r="A763" t="s">
        <v>772</v>
      </c>
      <c r="B763" t="s">
        <v>11</v>
      </c>
      <c r="C763">
        <v>117.721992188</v>
      </c>
      <c r="D763">
        <f>0</f>
        <v>0</v>
      </c>
      <c r="E763">
        <f>668050903/10^6</f>
        <v>668.05090299999995</v>
      </c>
      <c r="F763">
        <f>0</f>
        <v>0</v>
      </c>
      <c r="G763">
        <f>231066879/10^6</f>
        <v>231.066879</v>
      </c>
      <c r="H763">
        <f>0</f>
        <v>0</v>
      </c>
      <c r="I763">
        <f>-40763573/10^6</f>
        <v>-40.763573000000001</v>
      </c>
      <c r="J763">
        <f>0</f>
        <v>0</v>
      </c>
    </row>
    <row r="764" spans="1:10" x14ac:dyDescent="0.25">
      <c r="A764" t="s">
        <v>773</v>
      </c>
      <c r="B764" t="s">
        <v>11</v>
      </c>
      <c r="C764">
        <v>117.477507813</v>
      </c>
      <c r="D764">
        <f>0</f>
        <v>0</v>
      </c>
      <c r="E764">
        <f>669335693/10^6</f>
        <v>669.33569299999999</v>
      </c>
      <c r="F764">
        <f>0</f>
        <v>0</v>
      </c>
      <c r="G764">
        <f>231015228/10^6</f>
        <v>231.01522800000001</v>
      </c>
      <c r="H764">
        <f>0</f>
        <v>0</v>
      </c>
      <c r="I764">
        <f>-40828369/10^6</f>
        <v>-40.828369000000002</v>
      </c>
      <c r="J764">
        <f>0</f>
        <v>0</v>
      </c>
    </row>
    <row r="765" spans="1:10" x14ac:dyDescent="0.25">
      <c r="A765" t="s">
        <v>774</v>
      </c>
      <c r="B765" t="s">
        <v>11</v>
      </c>
      <c r="C765">
        <v>117.270703125</v>
      </c>
      <c r="D765">
        <f>0</f>
        <v>0</v>
      </c>
      <c r="E765">
        <f>670556519/10^6</f>
        <v>670.55651899999998</v>
      </c>
      <c r="F765">
        <f>0</f>
        <v>0</v>
      </c>
      <c r="G765">
        <f>230988113/10^6</f>
        <v>230.988113</v>
      </c>
      <c r="H765">
        <f>0</f>
        <v>0</v>
      </c>
      <c r="I765">
        <f>-41092461/10^6</f>
        <v>-41.092461</v>
      </c>
      <c r="J765">
        <f>0</f>
        <v>0</v>
      </c>
    </row>
    <row r="766" spans="1:10" x14ac:dyDescent="0.25">
      <c r="A766" t="s">
        <v>775</v>
      </c>
      <c r="B766" t="s">
        <v>11</v>
      </c>
      <c r="C766">
        <v>117.095585938</v>
      </c>
      <c r="D766">
        <f>0</f>
        <v>0</v>
      </c>
      <c r="E766">
        <f>671679993/10^6</f>
        <v>671.67999299999997</v>
      </c>
      <c r="F766">
        <f>0</f>
        <v>0</v>
      </c>
      <c r="G766">
        <f>230967361/10^6</f>
        <v>230.96736100000001</v>
      </c>
      <c r="H766">
        <f>0</f>
        <v>0</v>
      </c>
      <c r="I766">
        <f>-41393879/10^6</f>
        <v>-41.393878999999998</v>
      </c>
      <c r="J766">
        <f>0</f>
        <v>0</v>
      </c>
    </row>
    <row r="767" spans="1:10" x14ac:dyDescent="0.25">
      <c r="A767" t="s">
        <v>776</v>
      </c>
      <c r="B767" t="s">
        <v>11</v>
      </c>
      <c r="C767">
        <v>116.942210938</v>
      </c>
      <c r="D767">
        <f>0</f>
        <v>0</v>
      </c>
      <c r="E767">
        <f>672654297/10^6</f>
        <v>672.65429700000004</v>
      </c>
      <c r="F767">
        <f>0</f>
        <v>0</v>
      </c>
      <c r="G767">
        <f>2309617/10^4</f>
        <v>230.96170000000001</v>
      </c>
      <c r="H767">
        <f>0</f>
        <v>0</v>
      </c>
      <c r="I767">
        <f>-41477345/10^6</f>
        <v>-41.477345</v>
      </c>
      <c r="J767">
        <f>0</f>
        <v>0</v>
      </c>
    </row>
    <row r="768" spans="1:10" x14ac:dyDescent="0.25">
      <c r="A768" t="s">
        <v>777</v>
      </c>
      <c r="B768" t="s">
        <v>11</v>
      </c>
      <c r="C768">
        <v>116.79753125000001</v>
      </c>
      <c r="D768">
        <f>0</f>
        <v>0</v>
      </c>
      <c r="E768">
        <f>673491577/10^6</f>
        <v>673.49157700000001</v>
      </c>
      <c r="F768">
        <f>0</f>
        <v>0</v>
      </c>
      <c r="G768">
        <f>230962006/10^6</f>
        <v>230.962006</v>
      </c>
      <c r="H768">
        <f>0</f>
        <v>0</v>
      </c>
      <c r="I768">
        <f>-41440048/10^6</f>
        <v>-41.440047999999997</v>
      </c>
      <c r="J768">
        <f>0</f>
        <v>0</v>
      </c>
    </row>
    <row r="769" spans="1:10" x14ac:dyDescent="0.25">
      <c r="A769" t="s">
        <v>778</v>
      </c>
      <c r="B769" t="s">
        <v>11</v>
      </c>
      <c r="C769">
        <v>116.65293749999999</v>
      </c>
      <c r="D769">
        <f>0</f>
        <v>0</v>
      </c>
      <c r="E769">
        <f>674306885/10^6</f>
        <v>674.30688499999997</v>
      </c>
      <c r="F769">
        <f>0</f>
        <v>0</v>
      </c>
      <c r="G769">
        <f>230957062/10^6</f>
        <v>230.95706200000001</v>
      </c>
      <c r="H769">
        <f>0</f>
        <v>0</v>
      </c>
      <c r="I769">
        <f>-41502007/10^6</f>
        <v>-41.502006999999999</v>
      </c>
      <c r="J769">
        <f>0</f>
        <v>0</v>
      </c>
    </row>
    <row r="770" spans="1:10" x14ac:dyDescent="0.25">
      <c r="A770" t="s">
        <v>779</v>
      </c>
      <c r="B770" t="s">
        <v>11</v>
      </c>
      <c r="C770">
        <v>0</v>
      </c>
      <c r="D770">
        <f>2</f>
        <v>2</v>
      </c>
      <c r="F770">
        <f>2</f>
        <v>2</v>
      </c>
      <c r="H770">
        <f>2</f>
        <v>2</v>
      </c>
      <c r="J770">
        <f>2</f>
        <v>2</v>
      </c>
    </row>
    <row r="771" spans="1:10" x14ac:dyDescent="0.25">
      <c r="A771" t="s">
        <v>780</v>
      </c>
      <c r="B771" t="s">
        <v>11</v>
      </c>
      <c r="C771">
        <v>116.36047656300001</v>
      </c>
      <c r="D771">
        <f>0</f>
        <v>0</v>
      </c>
      <c r="E771">
        <f>676267273/10^6</f>
        <v>676.26727300000005</v>
      </c>
      <c r="F771">
        <f>0</f>
        <v>0</v>
      </c>
      <c r="G771">
        <f>230925385/10^6</f>
        <v>230.92538500000001</v>
      </c>
      <c r="H771">
        <f>0</f>
        <v>0</v>
      </c>
      <c r="I771">
        <f>-42016903/10^6</f>
        <v>-42.016902999999999</v>
      </c>
      <c r="J771">
        <f>0</f>
        <v>0</v>
      </c>
    </row>
    <row r="772" spans="1:10" x14ac:dyDescent="0.25">
      <c r="A772" t="s">
        <v>781</v>
      </c>
      <c r="B772" t="s">
        <v>11</v>
      </c>
      <c r="C772">
        <v>116.2229375</v>
      </c>
      <c r="D772">
        <f>0</f>
        <v>0</v>
      </c>
      <c r="E772">
        <f>676961243/10^6</f>
        <v>676.96124299999997</v>
      </c>
      <c r="F772">
        <f>0</f>
        <v>0</v>
      </c>
      <c r="G772">
        <f>230911133/10^6</f>
        <v>230.91113300000001</v>
      </c>
      <c r="H772">
        <f>0</f>
        <v>0</v>
      </c>
      <c r="I772">
        <f>-42003567/10^6</f>
        <v>-42.003566999999997</v>
      </c>
      <c r="J772">
        <f>0</f>
        <v>0</v>
      </c>
    </row>
    <row r="773" spans="1:10" x14ac:dyDescent="0.25">
      <c r="A773" t="s">
        <v>782</v>
      </c>
      <c r="B773" t="s">
        <v>11</v>
      </c>
      <c r="C773">
        <v>116.12980468800001</v>
      </c>
      <c r="D773">
        <f>0</f>
        <v>0</v>
      </c>
      <c r="E773">
        <f>677438965/10^6</f>
        <v>677.43896500000005</v>
      </c>
      <c r="F773">
        <f>0</f>
        <v>0</v>
      </c>
      <c r="G773">
        <f>230910019/10^6</f>
        <v>230.91001900000001</v>
      </c>
      <c r="H773">
        <f>0</f>
        <v>0</v>
      </c>
      <c r="I773">
        <f>-41990009/10^6</f>
        <v>-41.990009000000001</v>
      </c>
      <c r="J773">
        <f>0</f>
        <v>0</v>
      </c>
    </row>
    <row r="774" spans="1:10" x14ac:dyDescent="0.25">
      <c r="A774" t="s">
        <v>783</v>
      </c>
      <c r="B774" t="s">
        <v>11</v>
      </c>
      <c r="C774">
        <v>116.050164063</v>
      </c>
      <c r="D774">
        <f>0</f>
        <v>0</v>
      </c>
      <c r="E774">
        <f>677879211/10^6</f>
        <v>677.87921100000005</v>
      </c>
      <c r="F774">
        <f>0</f>
        <v>0</v>
      </c>
      <c r="G774">
        <f>230878052/10^6</f>
        <v>230.878052</v>
      </c>
      <c r="H774">
        <f>0</f>
        <v>0</v>
      </c>
      <c r="I774">
        <f>-42061546/10^6</f>
        <v>-42.061546</v>
      </c>
      <c r="J774">
        <f>0</f>
        <v>0</v>
      </c>
    </row>
    <row r="775" spans="1:10" x14ac:dyDescent="0.25">
      <c r="A775" t="s">
        <v>784</v>
      </c>
      <c r="B775" t="s">
        <v>11</v>
      </c>
      <c r="C775">
        <v>115.952882813</v>
      </c>
      <c r="D775">
        <f>0</f>
        <v>0</v>
      </c>
      <c r="E775">
        <f>678478149/10^6</f>
        <v>678.47814900000003</v>
      </c>
      <c r="F775">
        <f>0</f>
        <v>0</v>
      </c>
      <c r="G775">
        <f>23085968/10^5</f>
        <v>230.85968</v>
      </c>
      <c r="H775">
        <f>0</f>
        <v>0</v>
      </c>
      <c r="I775">
        <f>-42108856/10^6</f>
        <v>-42.108856000000003</v>
      </c>
      <c r="J775">
        <f>0</f>
        <v>0</v>
      </c>
    </row>
    <row r="776" spans="1:10" x14ac:dyDescent="0.25">
      <c r="A776" t="s">
        <v>785</v>
      </c>
      <c r="B776" t="s">
        <v>11</v>
      </c>
      <c r="C776">
        <v>115.84384375</v>
      </c>
      <c r="D776">
        <f>0</f>
        <v>0</v>
      </c>
      <c r="E776">
        <f>679062134/10^6</f>
        <v>679.06213400000001</v>
      </c>
      <c r="F776">
        <f>0</f>
        <v>0</v>
      </c>
      <c r="G776">
        <f>230857727/10^6</f>
        <v>230.85772700000001</v>
      </c>
      <c r="H776">
        <f>0</f>
        <v>0</v>
      </c>
      <c r="I776">
        <f>-42052406/10^6</f>
        <v>-42.052405999999998</v>
      </c>
      <c r="J776">
        <f>0</f>
        <v>0</v>
      </c>
    </row>
    <row r="777" spans="1:10" x14ac:dyDescent="0.25">
      <c r="A777" t="s">
        <v>786</v>
      </c>
      <c r="B777" t="s">
        <v>11</v>
      </c>
      <c r="C777">
        <v>0</v>
      </c>
      <c r="D777">
        <f>2</f>
        <v>2</v>
      </c>
      <c r="F777">
        <f>2</f>
        <v>2</v>
      </c>
      <c r="H777">
        <f>2</f>
        <v>2</v>
      </c>
      <c r="J777">
        <f>2</f>
        <v>2</v>
      </c>
    </row>
    <row r="778" spans="1:10" x14ac:dyDescent="0.25">
      <c r="A778" t="s">
        <v>787</v>
      </c>
      <c r="B778" t="s">
        <v>11</v>
      </c>
      <c r="C778">
        <v>115.69640625</v>
      </c>
      <c r="D778">
        <f>0</f>
        <v>0</v>
      </c>
      <c r="E778">
        <f>679871826/10^6</f>
        <v>679.87182600000006</v>
      </c>
      <c r="F778">
        <f>0</f>
        <v>0</v>
      </c>
      <c r="G778">
        <f>230783936/10^6</f>
        <v>230.78393600000001</v>
      </c>
      <c r="H778">
        <f>0</f>
        <v>0</v>
      </c>
      <c r="I778">
        <f>-42405682/10^6</f>
        <v>-42.405681999999999</v>
      </c>
      <c r="J778">
        <f>0</f>
        <v>0</v>
      </c>
    </row>
    <row r="779" spans="1:10" x14ac:dyDescent="0.25">
      <c r="A779" t="s">
        <v>788</v>
      </c>
      <c r="B779" t="s">
        <v>11</v>
      </c>
      <c r="C779">
        <v>115.665171875</v>
      </c>
      <c r="D779">
        <f>0</f>
        <v>0</v>
      </c>
      <c r="E779">
        <f>680149902/10^6</f>
        <v>680.149902</v>
      </c>
      <c r="F779">
        <f>0</f>
        <v>0</v>
      </c>
      <c r="G779">
        <f>230797333/10^6</f>
        <v>230.79733300000001</v>
      </c>
      <c r="H779">
        <f>0</f>
        <v>0</v>
      </c>
      <c r="I779">
        <f>-42497307/10^6</f>
        <v>-42.497306999999999</v>
      </c>
      <c r="J779">
        <f>0</f>
        <v>0</v>
      </c>
    </row>
    <row r="780" spans="1:10" x14ac:dyDescent="0.25">
      <c r="A780" t="s">
        <v>789</v>
      </c>
      <c r="B780" t="s">
        <v>11</v>
      </c>
      <c r="C780">
        <v>115.629492188</v>
      </c>
      <c r="D780">
        <f>0</f>
        <v>0</v>
      </c>
      <c r="E780">
        <f>680218628/10^6</f>
        <v>680.21862799999997</v>
      </c>
      <c r="F780">
        <f>0</f>
        <v>0</v>
      </c>
      <c r="G780">
        <f>230784958/10^6</f>
        <v>230.78495799999999</v>
      </c>
      <c r="H780">
        <f>0</f>
        <v>0</v>
      </c>
      <c r="I780">
        <f>-42254025/10^6</f>
        <v>-42.254024999999999</v>
      </c>
      <c r="J780">
        <f>0</f>
        <v>0</v>
      </c>
    </row>
    <row r="781" spans="1:10" x14ac:dyDescent="0.25">
      <c r="A781" t="s">
        <v>790</v>
      </c>
      <c r="B781" t="s">
        <v>11</v>
      </c>
      <c r="C781">
        <v>115.57050781300001</v>
      </c>
      <c r="D781">
        <f>0</f>
        <v>0</v>
      </c>
      <c r="E781">
        <f>68062439/10^5</f>
        <v>680.62438999999995</v>
      </c>
      <c r="F781">
        <f>0</f>
        <v>0</v>
      </c>
      <c r="G781">
        <f>230766235/10^6</f>
        <v>230.76623499999999</v>
      </c>
      <c r="H781">
        <f>0</f>
        <v>0</v>
      </c>
      <c r="I781">
        <f>-42432034/10^6</f>
        <v>-42.432034000000002</v>
      </c>
      <c r="J781">
        <f>0</f>
        <v>0</v>
      </c>
    </row>
    <row r="782" spans="1:10" x14ac:dyDescent="0.25">
      <c r="A782" t="s">
        <v>791</v>
      </c>
      <c r="B782" t="s">
        <v>11</v>
      </c>
      <c r="C782">
        <v>115.52902343800001</v>
      </c>
      <c r="D782">
        <f>0</f>
        <v>0</v>
      </c>
      <c r="E782">
        <f>680920227/10^6</f>
        <v>680.92022699999995</v>
      </c>
      <c r="F782">
        <f>0</f>
        <v>0</v>
      </c>
      <c r="G782">
        <f>230746399/10^6</f>
        <v>230.746399</v>
      </c>
      <c r="H782">
        <f>0</f>
        <v>0</v>
      </c>
      <c r="I782">
        <f>-42742069/10^6</f>
        <v>-42.742069000000001</v>
      </c>
      <c r="J782">
        <f>0</f>
        <v>0</v>
      </c>
    </row>
    <row r="783" spans="1:10" x14ac:dyDescent="0.25">
      <c r="A783" t="s">
        <v>792</v>
      </c>
      <c r="B783" t="s">
        <v>11</v>
      </c>
      <c r="C783">
        <v>115.52740625</v>
      </c>
      <c r="D783">
        <f>0</f>
        <v>0</v>
      </c>
      <c r="E783">
        <f>680955322/10^6</f>
        <v>680.95532200000002</v>
      </c>
      <c r="F783">
        <f>0</f>
        <v>0</v>
      </c>
      <c r="G783">
        <f>23077449/10^5</f>
        <v>230.77448999999999</v>
      </c>
      <c r="H783">
        <f>0</f>
        <v>0</v>
      </c>
      <c r="I783">
        <f>-42597466/10^6</f>
        <v>-42.597465999999997</v>
      </c>
      <c r="J783">
        <f>0</f>
        <v>0</v>
      </c>
    </row>
    <row r="784" spans="1:10" x14ac:dyDescent="0.25">
      <c r="A784" t="s">
        <v>793</v>
      </c>
      <c r="B784" t="s">
        <v>11</v>
      </c>
      <c r="C784">
        <v>115.494140625</v>
      </c>
      <c r="D784">
        <f>0</f>
        <v>0</v>
      </c>
      <c r="E784">
        <f>681203613/10^6</f>
        <v>681.20361300000002</v>
      </c>
      <c r="F784">
        <f>0</f>
        <v>0</v>
      </c>
      <c r="G784">
        <f>230792862/10^6</f>
        <v>230.79286200000001</v>
      </c>
      <c r="H784">
        <f>0</f>
        <v>0</v>
      </c>
      <c r="I784">
        <f>-42490864/10^6</f>
        <v>-42.490864000000002</v>
      </c>
      <c r="J784">
        <f>0</f>
        <v>0</v>
      </c>
    </row>
    <row r="785" spans="1:10" x14ac:dyDescent="0.25">
      <c r="A785" t="s">
        <v>794</v>
      </c>
      <c r="B785" t="s">
        <v>11</v>
      </c>
      <c r="C785">
        <v>0</v>
      </c>
      <c r="D785">
        <f>2</f>
        <v>2</v>
      </c>
      <c r="F785">
        <f>2</f>
        <v>2</v>
      </c>
      <c r="H785">
        <f>2</f>
        <v>2</v>
      </c>
      <c r="J785">
        <f>2</f>
        <v>2</v>
      </c>
    </row>
    <row r="786" spans="1:10" x14ac:dyDescent="0.25">
      <c r="A786" t="s">
        <v>795</v>
      </c>
      <c r="B786" t="s">
        <v>11</v>
      </c>
      <c r="C786">
        <v>115.32505468800001</v>
      </c>
      <c r="D786">
        <f>0</f>
        <v>0</v>
      </c>
      <c r="E786">
        <f>681802185/10^6</f>
        <v>681.80218500000001</v>
      </c>
      <c r="F786">
        <f>0</f>
        <v>0</v>
      </c>
      <c r="G786">
        <f>230629837/10^6</f>
        <v>230.62983700000001</v>
      </c>
      <c r="H786">
        <f>0</f>
        <v>0</v>
      </c>
      <c r="I786">
        <f>-42625324/10^6</f>
        <v>-42.625323999999999</v>
      </c>
      <c r="J786">
        <f>0</f>
        <v>0</v>
      </c>
    </row>
    <row r="787" spans="1:10" x14ac:dyDescent="0.25">
      <c r="A787" t="s">
        <v>796</v>
      </c>
      <c r="B787" t="s">
        <v>11</v>
      </c>
      <c r="C787">
        <v>115.36554687500001</v>
      </c>
      <c r="D787">
        <f>0</f>
        <v>0</v>
      </c>
      <c r="E787">
        <f>681701843/10^6</f>
        <v>681.70184300000005</v>
      </c>
      <c r="F787">
        <f>0</f>
        <v>0</v>
      </c>
      <c r="G787">
        <f>230661118/10^6</f>
        <v>230.66111799999999</v>
      </c>
      <c r="H787">
        <f>0</f>
        <v>0</v>
      </c>
      <c r="I787">
        <f>-4276807/10^5</f>
        <v>-42.768070000000002</v>
      </c>
      <c r="J787">
        <f>0</f>
        <v>0</v>
      </c>
    </row>
    <row r="788" spans="1:10" x14ac:dyDescent="0.25">
      <c r="A788" t="s">
        <v>797</v>
      </c>
      <c r="B788" t="s">
        <v>11</v>
      </c>
      <c r="C788">
        <v>115.41225</v>
      </c>
      <c r="D788">
        <f>0</f>
        <v>0</v>
      </c>
      <c r="E788">
        <f>681302734/10^6</f>
        <v>681.30273399999999</v>
      </c>
      <c r="F788">
        <f>0</f>
        <v>0</v>
      </c>
      <c r="G788">
        <f>230670349/10^6</f>
        <v>230.67034899999999</v>
      </c>
      <c r="H788">
        <f>0</f>
        <v>0</v>
      </c>
      <c r="I788">
        <f>-42593788/10^6</f>
        <v>-42.593788000000004</v>
      </c>
      <c r="J788">
        <f>0</f>
        <v>0</v>
      </c>
    </row>
    <row r="789" spans="1:10" x14ac:dyDescent="0.25">
      <c r="A789" t="s">
        <v>798</v>
      </c>
      <c r="B789" t="s">
        <v>11</v>
      </c>
      <c r="C789">
        <v>115.404414063</v>
      </c>
      <c r="D789">
        <f>0</f>
        <v>0</v>
      </c>
      <c r="E789">
        <f>681495056/10^6</f>
        <v>681.49505599999998</v>
      </c>
      <c r="F789">
        <f>0</f>
        <v>0</v>
      </c>
      <c r="G789">
        <f>230717606/10^6</f>
        <v>230.71760599999999</v>
      </c>
      <c r="H789">
        <f>0</f>
        <v>0</v>
      </c>
      <c r="I789">
        <f>-42574795/10^6</f>
        <v>-42.574795000000002</v>
      </c>
      <c r="J789">
        <f>0</f>
        <v>0</v>
      </c>
    </row>
    <row r="790" spans="1:10" x14ac:dyDescent="0.25">
      <c r="A790" t="s">
        <v>799</v>
      </c>
      <c r="B790" t="s">
        <v>11</v>
      </c>
      <c r="C790">
        <v>115.38463281300001</v>
      </c>
      <c r="D790">
        <f>0</f>
        <v>0</v>
      </c>
      <c r="E790">
        <f>681626465/10^6</f>
        <v>681.62646500000005</v>
      </c>
      <c r="F790">
        <f>0</f>
        <v>0</v>
      </c>
      <c r="G790">
        <f>230705338/10^6</f>
        <v>230.70533800000001</v>
      </c>
      <c r="H790">
        <f>0</f>
        <v>0</v>
      </c>
      <c r="I790">
        <f>-42593288/10^6</f>
        <v>-42.593288000000001</v>
      </c>
      <c r="J790">
        <f>0</f>
        <v>0</v>
      </c>
    </row>
    <row r="791" spans="1:10" x14ac:dyDescent="0.25">
      <c r="A791" t="s">
        <v>800</v>
      </c>
      <c r="B791" t="s">
        <v>11</v>
      </c>
      <c r="C791">
        <v>115.38423437500001</v>
      </c>
      <c r="D791">
        <f>0</f>
        <v>0</v>
      </c>
      <c r="E791">
        <f>681446594/10^6</f>
        <v>681.446594</v>
      </c>
      <c r="F791">
        <f>0</f>
        <v>0</v>
      </c>
      <c r="G791">
        <f>230649185/10^6</f>
        <v>230.64918499999999</v>
      </c>
      <c r="H791">
        <f>0</f>
        <v>0</v>
      </c>
      <c r="I791">
        <f>-42474174/10^6</f>
        <v>-42.474173999999998</v>
      </c>
      <c r="J791">
        <f>0</f>
        <v>0</v>
      </c>
    </row>
    <row r="792" spans="1:10" x14ac:dyDescent="0.25">
      <c r="A792" t="s">
        <v>801</v>
      </c>
      <c r="B792" t="s">
        <v>11</v>
      </c>
      <c r="C792">
        <v>115.41278906300001</v>
      </c>
      <c r="D792">
        <f>0</f>
        <v>0</v>
      </c>
      <c r="E792">
        <f>681383606/10^6</f>
        <v>681.38360599999999</v>
      </c>
      <c r="F792">
        <f>0</f>
        <v>0</v>
      </c>
      <c r="G792">
        <f>23071106/10^5</f>
        <v>230.71106</v>
      </c>
      <c r="H792">
        <f>0</f>
        <v>0</v>
      </c>
      <c r="I792">
        <f>-42454247/10^6</f>
        <v>-42.454247000000002</v>
      </c>
      <c r="J792">
        <f>0</f>
        <v>0</v>
      </c>
    </row>
    <row r="793" spans="1:10" x14ac:dyDescent="0.25">
      <c r="A793" t="s">
        <v>802</v>
      </c>
      <c r="B793" t="s">
        <v>11</v>
      </c>
      <c r="C793">
        <v>115.491890625</v>
      </c>
      <c r="D793">
        <f>0</f>
        <v>0</v>
      </c>
      <c r="E793">
        <f>681004272/10^6</f>
        <v>681.00427200000001</v>
      </c>
      <c r="F793">
        <f>0</f>
        <v>0</v>
      </c>
      <c r="G793">
        <f>230735779/10^6</f>
        <v>230.73577900000001</v>
      </c>
      <c r="H793">
        <f>0</f>
        <v>0</v>
      </c>
      <c r="I793">
        <f>-42476215/10^6</f>
        <v>-42.476215000000003</v>
      </c>
      <c r="J793">
        <f>0</f>
        <v>0</v>
      </c>
    </row>
    <row r="794" spans="1:10" x14ac:dyDescent="0.25">
      <c r="A794" t="s">
        <v>803</v>
      </c>
      <c r="B794" t="s">
        <v>11</v>
      </c>
      <c r="C794">
        <v>0</v>
      </c>
      <c r="D794">
        <f>2</f>
        <v>2</v>
      </c>
      <c r="F794">
        <f>2</f>
        <v>2</v>
      </c>
      <c r="H794">
        <f>2</f>
        <v>2</v>
      </c>
      <c r="J794">
        <f>2</f>
        <v>2</v>
      </c>
    </row>
    <row r="795" spans="1:10" x14ac:dyDescent="0.25">
      <c r="A795" t="s">
        <v>804</v>
      </c>
      <c r="B795" t="s">
        <v>11</v>
      </c>
      <c r="C795">
        <v>115.76799218800001</v>
      </c>
      <c r="D795">
        <f>0</f>
        <v>0</v>
      </c>
      <c r="E795">
        <f>679586304/10^6</f>
        <v>679.58630400000004</v>
      </c>
      <c r="F795">
        <f>0</f>
        <v>0</v>
      </c>
      <c r="G795">
        <f>23081665/10^5</f>
        <v>230.81665000000001</v>
      </c>
      <c r="H795">
        <f>0</f>
        <v>0</v>
      </c>
      <c r="I795">
        <f>-42579529/10^6</f>
        <v>-42.579529000000001</v>
      </c>
      <c r="J795">
        <f>0</f>
        <v>0</v>
      </c>
    </row>
    <row r="796" spans="1:10" x14ac:dyDescent="0.25">
      <c r="A796" t="s">
        <v>805</v>
      </c>
      <c r="B796" t="s">
        <v>11</v>
      </c>
      <c r="C796">
        <v>115.967625</v>
      </c>
      <c r="D796">
        <f>0</f>
        <v>0</v>
      </c>
      <c r="E796">
        <f>678500061/10^6</f>
        <v>678.50006099999996</v>
      </c>
      <c r="F796">
        <f>0</f>
        <v>0</v>
      </c>
      <c r="G796">
        <f>230877563/10^6</f>
        <v>230.87756300000001</v>
      </c>
      <c r="H796">
        <f>0</f>
        <v>0</v>
      </c>
      <c r="I796">
        <f>-42269012/10^6</f>
        <v>-42.269011999999996</v>
      </c>
      <c r="J796">
        <f>0</f>
        <v>0</v>
      </c>
    </row>
    <row r="797" spans="1:10" x14ac:dyDescent="0.25">
      <c r="A797" t="s">
        <v>806</v>
      </c>
      <c r="B797" t="s">
        <v>11</v>
      </c>
      <c r="C797">
        <v>0</v>
      </c>
      <c r="D797">
        <f>2</f>
        <v>2</v>
      </c>
      <c r="F797">
        <f>2</f>
        <v>2</v>
      </c>
      <c r="H797">
        <f>2</f>
        <v>2</v>
      </c>
      <c r="J797">
        <f>2</f>
        <v>2</v>
      </c>
    </row>
    <row r="798" spans="1:10" x14ac:dyDescent="0.25">
      <c r="A798" t="s">
        <v>807</v>
      </c>
      <c r="B798" t="s">
        <v>11</v>
      </c>
      <c r="C798">
        <v>116.40392968800001</v>
      </c>
      <c r="D798">
        <f>0</f>
        <v>0</v>
      </c>
      <c r="E798">
        <f>676100464/10^6</f>
        <v>676.10046399999999</v>
      </c>
      <c r="F798">
        <f>0</f>
        <v>0</v>
      </c>
      <c r="G798">
        <f>230975616/10^6</f>
        <v>230.975616</v>
      </c>
      <c r="H798">
        <f>0</f>
        <v>0</v>
      </c>
      <c r="I798">
        <f>-42170929/10^6</f>
        <v>-42.170929000000001</v>
      </c>
      <c r="J798">
        <f>0</f>
        <v>0</v>
      </c>
    </row>
    <row r="799" spans="1:10" x14ac:dyDescent="0.25">
      <c r="A799" t="s">
        <v>808</v>
      </c>
      <c r="B799" t="s">
        <v>11</v>
      </c>
      <c r="C799">
        <v>116.671710938</v>
      </c>
      <c r="D799">
        <f>0</f>
        <v>0</v>
      </c>
      <c r="E799">
        <f>674506531/10^6</f>
        <v>674.506531</v>
      </c>
      <c r="F799">
        <f>0</f>
        <v>0</v>
      </c>
      <c r="G799">
        <f>231022598/10^6</f>
        <v>231.02259799999999</v>
      </c>
      <c r="H799">
        <f>0</f>
        <v>0</v>
      </c>
      <c r="I799">
        <f>-41857769/10^6</f>
        <v>-41.857768999999998</v>
      </c>
      <c r="J799">
        <f>0</f>
        <v>0</v>
      </c>
    </row>
    <row r="800" spans="1:10" x14ac:dyDescent="0.25">
      <c r="A800" t="s">
        <v>809</v>
      </c>
      <c r="B800" t="s">
        <v>11</v>
      </c>
      <c r="C800">
        <v>116.977140625</v>
      </c>
      <c r="D800">
        <f>0</f>
        <v>0</v>
      </c>
      <c r="E800">
        <f>672856628/10^6</f>
        <v>672.856628</v>
      </c>
      <c r="F800">
        <f>0</f>
        <v>0</v>
      </c>
      <c r="G800">
        <f>231071335/10^6</f>
        <v>231.071335</v>
      </c>
      <c r="H800">
        <f>0</f>
        <v>0</v>
      </c>
      <c r="I800">
        <f>-41686459/10^6</f>
        <v>-41.686458999999999</v>
      </c>
      <c r="J800">
        <f>0</f>
        <v>0</v>
      </c>
    </row>
    <row r="801" spans="1:10" x14ac:dyDescent="0.25">
      <c r="A801" t="s">
        <v>810</v>
      </c>
      <c r="B801" t="s">
        <v>11</v>
      </c>
      <c r="C801">
        <v>117.326820313</v>
      </c>
      <c r="D801">
        <f>0</f>
        <v>0</v>
      </c>
      <c r="E801">
        <f>670857239/10^6</f>
        <v>670.85723900000005</v>
      </c>
      <c r="F801">
        <f>0</f>
        <v>0</v>
      </c>
      <c r="G801">
        <f>231119995/10^6</f>
        <v>231.11999499999999</v>
      </c>
      <c r="H801">
        <f>0</f>
        <v>0</v>
      </c>
      <c r="I801">
        <f>-41561367/10^6</f>
        <v>-41.561366999999997</v>
      </c>
      <c r="J801">
        <f>0</f>
        <v>0</v>
      </c>
    </row>
    <row r="802" spans="1:10" x14ac:dyDescent="0.25">
      <c r="A802" t="s">
        <v>811</v>
      </c>
      <c r="B802" t="s">
        <v>11</v>
      </c>
      <c r="C802">
        <v>117.723101563</v>
      </c>
      <c r="D802">
        <f>0</f>
        <v>0</v>
      </c>
      <c r="E802">
        <f>668599548/10^6</f>
        <v>668.59954800000003</v>
      </c>
      <c r="F802">
        <f>0</f>
        <v>0</v>
      </c>
      <c r="G802">
        <f>231172546/10^6</f>
        <v>231.17254600000001</v>
      </c>
      <c r="H802">
        <f>0</f>
        <v>0</v>
      </c>
      <c r="I802">
        <f>-41400761/10^6</f>
        <v>-41.400761000000003</v>
      </c>
      <c r="J802">
        <f>0</f>
        <v>0</v>
      </c>
    </row>
    <row r="803" spans="1:10" x14ac:dyDescent="0.25">
      <c r="A803" t="s">
        <v>812</v>
      </c>
      <c r="B803" t="s">
        <v>11</v>
      </c>
      <c r="C803">
        <v>118.16773437499999</v>
      </c>
      <c r="D803">
        <f>0</f>
        <v>0</v>
      </c>
      <c r="E803">
        <f>666147095/10^6</f>
        <v>666.14709500000004</v>
      </c>
      <c r="F803">
        <f>0</f>
        <v>0</v>
      </c>
      <c r="G803">
        <f>23123526/10^5</f>
        <v>231.23526000000001</v>
      </c>
      <c r="H803">
        <f>0</f>
        <v>0</v>
      </c>
      <c r="I803">
        <f>-41249664/10^6</f>
        <v>-41.249664000000003</v>
      </c>
      <c r="J803">
        <f>0</f>
        <v>0</v>
      </c>
    </row>
    <row r="804" spans="1:10" x14ac:dyDescent="0.25">
      <c r="A804" t="s">
        <v>813</v>
      </c>
      <c r="B804" t="s">
        <v>11</v>
      </c>
      <c r="C804">
        <v>118.669460938</v>
      </c>
      <c r="D804">
        <f>0</f>
        <v>0</v>
      </c>
      <c r="E804">
        <f>663239197/10^6</f>
        <v>663.23919699999999</v>
      </c>
      <c r="F804">
        <f>0</f>
        <v>0</v>
      </c>
      <c r="G804">
        <f>231302338/10^6</f>
        <v>231.30233799999999</v>
      </c>
      <c r="H804">
        <f>0</f>
        <v>0</v>
      </c>
      <c r="I804">
        <f>-40826481/10^6</f>
        <v>-40.826481000000001</v>
      </c>
      <c r="J804">
        <f>0</f>
        <v>0</v>
      </c>
    </row>
    <row r="805" spans="1:10" x14ac:dyDescent="0.25">
      <c r="A805" t="s">
        <v>814</v>
      </c>
      <c r="B805" t="s">
        <v>11</v>
      </c>
      <c r="C805">
        <v>119.2033125</v>
      </c>
      <c r="D805">
        <f>0</f>
        <v>0</v>
      </c>
      <c r="E805">
        <f>660170349/10^6</f>
        <v>660.17034899999999</v>
      </c>
      <c r="F805">
        <f>0</f>
        <v>0</v>
      </c>
      <c r="G805">
        <f>231355423/10^6</f>
        <v>231.355423</v>
      </c>
      <c r="H805">
        <f>0</f>
        <v>0</v>
      </c>
      <c r="I805">
        <f>-40465088/10^6</f>
        <v>-40.465088000000002</v>
      </c>
      <c r="J805">
        <f>0</f>
        <v>0</v>
      </c>
    </row>
    <row r="806" spans="1:10" x14ac:dyDescent="0.25">
      <c r="A806" t="s">
        <v>815</v>
      </c>
      <c r="B806" t="s">
        <v>11</v>
      </c>
      <c r="C806">
        <v>119.73771875</v>
      </c>
      <c r="D806">
        <f>0</f>
        <v>0</v>
      </c>
      <c r="E806">
        <f>657200012/10^6</f>
        <v>657.20001200000002</v>
      </c>
      <c r="F806">
        <f>0</f>
        <v>0</v>
      </c>
      <c r="G806">
        <f>231406311/10^6</f>
        <v>231.40631099999999</v>
      </c>
      <c r="H806">
        <f>0</f>
        <v>0</v>
      </c>
      <c r="I806">
        <f>-40262241/10^6</f>
        <v>-40.262241000000003</v>
      </c>
      <c r="J806">
        <f>0</f>
        <v>0</v>
      </c>
    </row>
    <row r="807" spans="1:10" x14ac:dyDescent="0.25">
      <c r="A807" t="s">
        <v>816</v>
      </c>
      <c r="B807" t="s">
        <v>11</v>
      </c>
      <c r="C807">
        <v>120.24777343800001</v>
      </c>
      <c r="D807">
        <f>0</f>
        <v>0</v>
      </c>
      <c r="E807">
        <f>654288635/10^6</f>
        <v>654.288635</v>
      </c>
      <c r="F807">
        <f>0</f>
        <v>0</v>
      </c>
      <c r="G807">
        <f>231474136/10^6</f>
        <v>231.47413599999999</v>
      </c>
      <c r="H807">
        <f>0</f>
        <v>0</v>
      </c>
      <c r="I807">
        <f>-39789913/10^6</f>
        <v>-39.789912999999999</v>
      </c>
      <c r="J807">
        <f>0</f>
        <v>0</v>
      </c>
    </row>
    <row r="808" spans="1:10" x14ac:dyDescent="0.25">
      <c r="A808" t="s">
        <v>817</v>
      </c>
      <c r="B808" t="s">
        <v>11</v>
      </c>
      <c r="C808">
        <v>120.69083593800001</v>
      </c>
      <c r="D808">
        <f>0</f>
        <v>0</v>
      </c>
      <c r="E808">
        <f>651640747/10^6</f>
        <v>651.64074700000003</v>
      </c>
      <c r="F808">
        <f>0</f>
        <v>0</v>
      </c>
      <c r="G808">
        <f>231513443/10^6</f>
        <v>231.513443</v>
      </c>
      <c r="H808">
        <f>0</f>
        <v>0</v>
      </c>
      <c r="I808">
        <f>-39354519/10^6</f>
        <v>-39.354519000000003</v>
      </c>
      <c r="J808">
        <f>0</f>
        <v>0</v>
      </c>
    </row>
    <row r="809" spans="1:10" x14ac:dyDescent="0.25">
      <c r="A809" t="s">
        <v>818</v>
      </c>
      <c r="B809" t="s">
        <v>11</v>
      </c>
      <c r="C809">
        <v>121.01118750000001</v>
      </c>
      <c r="D809">
        <f>0</f>
        <v>0</v>
      </c>
      <c r="E809">
        <f>649780151/10^6</f>
        <v>649.78015100000005</v>
      </c>
      <c r="F809">
        <f>0</f>
        <v>0</v>
      </c>
      <c r="G809">
        <f>231521729/10^6</f>
        <v>231.52172899999999</v>
      </c>
      <c r="H809">
        <f>0</f>
        <v>0</v>
      </c>
      <c r="I809">
        <f>-39140915/10^6</f>
        <v>-39.140915</v>
      </c>
      <c r="J809">
        <f>0</f>
        <v>0</v>
      </c>
    </row>
    <row r="810" spans="1:10" x14ac:dyDescent="0.25">
      <c r="A810" t="s">
        <v>819</v>
      </c>
      <c r="B810" t="s">
        <v>11</v>
      </c>
      <c r="C810">
        <v>121.17446875</v>
      </c>
      <c r="D810">
        <f>0</f>
        <v>0</v>
      </c>
      <c r="E810">
        <f>649011169/10^6</f>
        <v>649.011169</v>
      </c>
      <c r="F810">
        <f>0</f>
        <v>0</v>
      </c>
      <c r="G810">
        <f>231556229/10^6</f>
        <v>231.556229</v>
      </c>
      <c r="H810">
        <f>0</f>
        <v>0</v>
      </c>
      <c r="I810">
        <f>-39147263/10^6</f>
        <v>-39.147263000000002</v>
      </c>
      <c r="J810">
        <f>0</f>
        <v>0</v>
      </c>
    </row>
    <row r="811" spans="1:10" x14ac:dyDescent="0.25">
      <c r="A811" t="s">
        <v>820</v>
      </c>
      <c r="B811" t="s">
        <v>11</v>
      </c>
      <c r="C811">
        <v>121.24972656300001</v>
      </c>
      <c r="D811">
        <f>0</f>
        <v>0</v>
      </c>
      <c r="E811">
        <f>648726257/10^6</f>
        <v>648.72625700000003</v>
      </c>
      <c r="F811">
        <f>0</f>
        <v>0</v>
      </c>
      <c r="G811">
        <f>231605881/10^6</f>
        <v>231.60588100000001</v>
      </c>
      <c r="H811">
        <f>0</f>
        <v>0</v>
      </c>
      <c r="I811">
        <f>-39223946/10^6</f>
        <v>-39.223945999999998</v>
      </c>
      <c r="J811">
        <f>0</f>
        <v>0</v>
      </c>
    </row>
    <row r="812" spans="1:10" x14ac:dyDescent="0.25">
      <c r="A812" t="s">
        <v>821</v>
      </c>
      <c r="B812" t="s">
        <v>11</v>
      </c>
      <c r="C812">
        <v>0</v>
      </c>
      <c r="D812">
        <f>2</f>
        <v>2</v>
      </c>
      <c r="F812">
        <f>2</f>
        <v>2</v>
      </c>
      <c r="H812">
        <f>2</f>
        <v>2</v>
      </c>
      <c r="J812">
        <f>2</f>
        <v>2</v>
      </c>
    </row>
    <row r="813" spans="1:10" x14ac:dyDescent="0.25">
      <c r="A813" t="s">
        <v>822</v>
      </c>
      <c r="B813" t="s">
        <v>11</v>
      </c>
      <c r="C813">
        <v>121.3485</v>
      </c>
      <c r="D813">
        <f>0</f>
        <v>0</v>
      </c>
      <c r="E813">
        <f>648348877/10^6</f>
        <v>648.34887700000002</v>
      </c>
      <c r="F813">
        <f>0</f>
        <v>0</v>
      </c>
      <c r="G813">
        <f>231657761/10^6</f>
        <v>231.65776099999999</v>
      </c>
      <c r="H813">
        <f>0</f>
        <v>0</v>
      </c>
      <c r="I813">
        <f>-39223385/10^6</f>
        <v>-39.223385</v>
      </c>
      <c r="J813">
        <f>0</f>
        <v>0</v>
      </c>
    </row>
    <row r="814" spans="1:10" x14ac:dyDescent="0.25">
      <c r="A814" t="s">
        <v>823</v>
      </c>
      <c r="B814" t="s">
        <v>11</v>
      </c>
      <c r="C814">
        <v>121.38294531300001</v>
      </c>
      <c r="D814">
        <f>0</f>
        <v>0</v>
      </c>
      <c r="E814">
        <f>648093323/10^6</f>
        <v>648.09332300000005</v>
      </c>
      <c r="F814">
        <f>0</f>
        <v>0</v>
      </c>
      <c r="G814">
        <f>23167453/10^5</f>
        <v>231.67453</v>
      </c>
      <c r="H814">
        <f>0</f>
        <v>0</v>
      </c>
      <c r="I814">
        <f>-39109703/10^6</f>
        <v>-39.109703000000003</v>
      </c>
      <c r="J814">
        <f>0</f>
        <v>0</v>
      </c>
    </row>
    <row r="815" spans="1:10" x14ac:dyDescent="0.25">
      <c r="A815" t="s">
        <v>824</v>
      </c>
      <c r="B815" t="s">
        <v>11</v>
      </c>
      <c r="C815">
        <v>121.370609375</v>
      </c>
      <c r="D815">
        <f>0</f>
        <v>0</v>
      </c>
      <c r="E815">
        <f>648175232/10^6</f>
        <v>648.17523200000005</v>
      </c>
      <c r="F815">
        <f>0</f>
        <v>0</v>
      </c>
      <c r="G815">
        <f>231678909/10^6</f>
        <v>231.678909</v>
      </c>
      <c r="H815">
        <f>0</f>
        <v>0</v>
      </c>
      <c r="I815">
        <f>-38941151/10^6</f>
        <v>-38.941150999999998</v>
      </c>
      <c r="J815">
        <f>0</f>
        <v>0</v>
      </c>
    </row>
    <row r="816" spans="1:10" x14ac:dyDescent="0.25">
      <c r="A816" t="s">
        <v>825</v>
      </c>
      <c r="B816" t="s">
        <v>11</v>
      </c>
      <c r="C816">
        <v>121.272492188</v>
      </c>
      <c r="D816">
        <f>0</f>
        <v>0</v>
      </c>
      <c r="E816">
        <f>648745911/10^6</f>
        <v>648.74591099999998</v>
      </c>
      <c r="F816">
        <f>0</f>
        <v>0</v>
      </c>
      <c r="G816">
        <f>23167514/10^5</f>
        <v>231.67514</v>
      </c>
      <c r="H816">
        <f>0</f>
        <v>0</v>
      </c>
      <c r="I816">
        <f>-38904041/10^6</f>
        <v>-38.904040999999999</v>
      </c>
      <c r="J816">
        <f>0</f>
        <v>0</v>
      </c>
    </row>
    <row r="817" spans="1:10" x14ac:dyDescent="0.25">
      <c r="A817" t="s">
        <v>826</v>
      </c>
      <c r="B817" t="s">
        <v>11</v>
      </c>
      <c r="C817">
        <v>121.117203125</v>
      </c>
      <c r="D817">
        <f>0</f>
        <v>0</v>
      </c>
      <c r="E817">
        <f>64956012/10^5</f>
        <v>649.56011999999998</v>
      </c>
      <c r="F817">
        <f>0</f>
        <v>0</v>
      </c>
      <c r="G817">
        <f>23166626/10^5</f>
        <v>231.66625999999999</v>
      </c>
      <c r="H817">
        <f>0</f>
        <v>0</v>
      </c>
      <c r="I817">
        <f>-38915123/10^6</f>
        <v>-38.915123000000001</v>
      </c>
      <c r="J817">
        <f>0</f>
        <v>0</v>
      </c>
    </row>
    <row r="818" spans="1:10" x14ac:dyDescent="0.25">
      <c r="A818" t="s">
        <v>827</v>
      </c>
      <c r="B818" t="s">
        <v>11</v>
      </c>
      <c r="C818">
        <v>120.937398438</v>
      </c>
      <c r="D818">
        <f>0</f>
        <v>0</v>
      </c>
      <c r="E818">
        <f>650688049/10^6</f>
        <v>650.68804899999998</v>
      </c>
      <c r="F818">
        <f>0</f>
        <v>0</v>
      </c>
      <c r="G818">
        <f>231654648/10^6</f>
        <v>231.65464800000001</v>
      </c>
      <c r="H818">
        <f>0</f>
        <v>0</v>
      </c>
      <c r="I818">
        <f>-39124985/10^6</f>
        <v>-39.124985000000002</v>
      </c>
      <c r="J818">
        <f>0</f>
        <v>0</v>
      </c>
    </row>
    <row r="819" spans="1:10" x14ac:dyDescent="0.25">
      <c r="A819" t="s">
        <v>828</v>
      </c>
      <c r="B819" t="s">
        <v>11</v>
      </c>
      <c r="C819">
        <v>120.742148438</v>
      </c>
      <c r="D819">
        <f>0</f>
        <v>0</v>
      </c>
      <c r="E819">
        <f>651850464/10^6</f>
        <v>651.85046399999999</v>
      </c>
      <c r="F819">
        <f>0</f>
        <v>0</v>
      </c>
      <c r="G819">
        <f>231644897/10^6</f>
        <v>231.64489699999999</v>
      </c>
      <c r="H819">
        <f>0</f>
        <v>0</v>
      </c>
      <c r="I819">
        <f>-39357159/10^6</f>
        <v>-39.357159000000003</v>
      </c>
      <c r="J819">
        <f>0</f>
        <v>0</v>
      </c>
    </row>
    <row r="820" spans="1:10" x14ac:dyDescent="0.25">
      <c r="A820" t="s">
        <v>829</v>
      </c>
      <c r="B820" t="s">
        <v>11</v>
      </c>
      <c r="C820">
        <v>120.547320313</v>
      </c>
      <c r="D820">
        <f>0</f>
        <v>0</v>
      </c>
      <c r="E820">
        <f>652831238/10^6</f>
        <v>652.83123799999998</v>
      </c>
      <c r="F820">
        <f>0</f>
        <v>0</v>
      </c>
      <c r="G820">
        <f>23162265/10^5</f>
        <v>231.62264999999999</v>
      </c>
      <c r="H820">
        <f>0</f>
        <v>0</v>
      </c>
      <c r="I820">
        <f>-39344032/10^6</f>
        <v>-39.344031999999999</v>
      </c>
      <c r="J820">
        <f>0</f>
        <v>0</v>
      </c>
    </row>
    <row r="821" spans="1:10" x14ac:dyDescent="0.25">
      <c r="A821" t="s">
        <v>830</v>
      </c>
      <c r="B821" t="s">
        <v>11</v>
      </c>
      <c r="C821">
        <v>120.35364843800001</v>
      </c>
      <c r="D821">
        <f>0</f>
        <v>0</v>
      </c>
      <c r="E821">
        <f>653874939/10^6</f>
        <v>653.87493900000004</v>
      </c>
      <c r="F821">
        <f>0</f>
        <v>0</v>
      </c>
      <c r="G821">
        <f>231587189/10^6</f>
        <v>231.587189</v>
      </c>
      <c r="H821">
        <f>0</f>
        <v>0</v>
      </c>
      <c r="I821">
        <f>-39356888/10^6</f>
        <v>-39.356887999999998</v>
      </c>
      <c r="J821">
        <f>0</f>
        <v>0</v>
      </c>
    </row>
    <row r="822" spans="1:10" x14ac:dyDescent="0.25">
      <c r="A822" t="s">
        <v>831</v>
      </c>
      <c r="B822" t="s">
        <v>11</v>
      </c>
      <c r="C822">
        <v>120.165554688</v>
      </c>
      <c r="D822">
        <f>0</f>
        <v>0</v>
      </c>
      <c r="E822">
        <f>654928467/10^6</f>
        <v>654.92846699999996</v>
      </c>
      <c r="F822">
        <f>0</f>
        <v>0</v>
      </c>
      <c r="G822">
        <f>231555374/10^6</f>
        <v>231.555374</v>
      </c>
      <c r="H822">
        <f>0</f>
        <v>0</v>
      </c>
      <c r="I822">
        <f>-39528732/10^6</f>
        <v>-39.528731999999998</v>
      </c>
      <c r="J822">
        <f>0</f>
        <v>0</v>
      </c>
    </row>
    <row r="823" spans="1:10" x14ac:dyDescent="0.25">
      <c r="A823" t="s">
        <v>832</v>
      </c>
      <c r="B823" t="s">
        <v>11</v>
      </c>
      <c r="C823">
        <v>119.99803906300001</v>
      </c>
      <c r="D823">
        <f>0</f>
        <v>0</v>
      </c>
      <c r="E823">
        <f>655825989/10^6</f>
        <v>655.82598900000005</v>
      </c>
      <c r="F823">
        <f>0</f>
        <v>0</v>
      </c>
      <c r="G823">
        <f>231527405/10^6</f>
        <v>231.52740499999999</v>
      </c>
      <c r="H823">
        <f>0</f>
        <v>0</v>
      </c>
      <c r="I823">
        <f>-39594688/10^6</f>
        <v>-39.594687999999998</v>
      </c>
      <c r="J823">
        <f>0</f>
        <v>0</v>
      </c>
    </row>
    <row r="824" spans="1:10" x14ac:dyDescent="0.25">
      <c r="A824" t="s">
        <v>833</v>
      </c>
      <c r="B824" t="s">
        <v>11</v>
      </c>
      <c r="C824">
        <v>119.85930468800001</v>
      </c>
      <c r="D824">
        <f>0</f>
        <v>0</v>
      </c>
      <c r="E824">
        <f>656547913/10^6</f>
        <v>656.54791299999999</v>
      </c>
      <c r="F824">
        <f>0</f>
        <v>0</v>
      </c>
      <c r="G824">
        <f>231499817/10^6</f>
        <v>231.49981700000001</v>
      </c>
      <c r="H824">
        <f>0</f>
        <v>0</v>
      </c>
      <c r="I824">
        <f>-39571186/10^6</f>
        <v>-39.571185999999997</v>
      </c>
      <c r="J824">
        <f>0</f>
        <v>0</v>
      </c>
    </row>
    <row r="825" spans="1:10" x14ac:dyDescent="0.25">
      <c r="A825" t="s">
        <v>834</v>
      </c>
      <c r="B825" t="s">
        <v>11</v>
      </c>
      <c r="C825">
        <v>119.719476563</v>
      </c>
      <c r="D825">
        <f>0</f>
        <v>0</v>
      </c>
      <c r="E825">
        <f>657288025/10^6</f>
        <v>657.28802499999995</v>
      </c>
      <c r="F825">
        <f>0</f>
        <v>0</v>
      </c>
      <c r="G825">
        <f>231473602/10^6</f>
        <v>231.473602</v>
      </c>
      <c r="H825">
        <f>0</f>
        <v>0</v>
      </c>
      <c r="I825">
        <f>-39634033/10^6</f>
        <v>-39.634033000000002</v>
      </c>
      <c r="J825">
        <f>0</f>
        <v>0</v>
      </c>
    </row>
    <row r="826" spans="1:10" x14ac:dyDescent="0.25">
      <c r="A826" t="s">
        <v>835</v>
      </c>
      <c r="B826" t="s">
        <v>11</v>
      </c>
      <c r="C826">
        <v>119.56874999999999</v>
      </c>
      <c r="D826">
        <f>0</f>
        <v>0</v>
      </c>
      <c r="E826">
        <f>658119995/10^6</f>
        <v>658.11999500000002</v>
      </c>
      <c r="F826">
        <f>0</f>
        <v>0</v>
      </c>
      <c r="G826">
        <f>231457336/10^6</f>
        <v>231.457336</v>
      </c>
      <c r="H826">
        <f>0</f>
        <v>0</v>
      </c>
      <c r="I826">
        <f>-39747097/10^6</f>
        <v>-39.747096999999997</v>
      </c>
      <c r="J826">
        <f>0</f>
        <v>0</v>
      </c>
    </row>
    <row r="827" spans="1:10" x14ac:dyDescent="0.25">
      <c r="A827" t="s">
        <v>836</v>
      </c>
      <c r="B827" t="s">
        <v>11</v>
      </c>
      <c r="C827">
        <v>119.425828125</v>
      </c>
      <c r="D827">
        <f>0</f>
        <v>0</v>
      </c>
      <c r="E827">
        <f>658854065/10^6</f>
        <v>658.85406499999999</v>
      </c>
      <c r="F827">
        <f>0</f>
        <v>0</v>
      </c>
      <c r="G827">
        <f>231440369/10^6</f>
        <v>231.440369</v>
      </c>
      <c r="H827">
        <f>0</f>
        <v>0</v>
      </c>
      <c r="I827">
        <f>-39778248/10^6</f>
        <v>-39.778247999999998</v>
      </c>
      <c r="J827">
        <f>0</f>
        <v>0</v>
      </c>
    </row>
    <row r="828" spans="1:10" x14ac:dyDescent="0.25">
      <c r="A828" t="s">
        <v>837</v>
      </c>
      <c r="B828" t="s">
        <v>11</v>
      </c>
      <c r="C828">
        <v>119.2861875</v>
      </c>
      <c r="D828">
        <f>0</f>
        <v>0</v>
      </c>
      <c r="E828">
        <f>659678772/10^6</f>
        <v>659.67877199999998</v>
      </c>
      <c r="F828">
        <f>0</f>
        <v>0</v>
      </c>
      <c r="G828">
        <f>231412537/10^6</f>
        <v>231.41253699999999</v>
      </c>
      <c r="H828">
        <f>0</f>
        <v>0</v>
      </c>
      <c r="I828">
        <f>-39909657/10^6</f>
        <v>-39.909657000000003</v>
      </c>
      <c r="J828">
        <f>0</f>
        <v>0</v>
      </c>
    </row>
    <row r="829" spans="1:10" x14ac:dyDescent="0.25">
      <c r="A829" t="s">
        <v>838</v>
      </c>
      <c r="B829" t="s">
        <v>11</v>
      </c>
      <c r="C829">
        <v>119.14165625</v>
      </c>
      <c r="D829">
        <f>0</f>
        <v>0</v>
      </c>
      <c r="E829">
        <f>660558105/10^6</f>
        <v>660.55810499999995</v>
      </c>
      <c r="F829">
        <f>0</f>
        <v>0</v>
      </c>
      <c r="G829">
        <f>231385818/10^6</f>
        <v>231.385818</v>
      </c>
      <c r="H829">
        <f>0</f>
        <v>0</v>
      </c>
      <c r="I829">
        <f>-40155807/10^6</f>
        <v>-40.155807000000003</v>
      </c>
      <c r="J829">
        <f>0</f>
        <v>0</v>
      </c>
    </row>
    <row r="830" spans="1:10" x14ac:dyDescent="0.25">
      <c r="A830" t="s">
        <v>839</v>
      </c>
      <c r="B830" t="s">
        <v>11</v>
      </c>
      <c r="C830">
        <v>119.00115624999999</v>
      </c>
      <c r="D830">
        <f>0</f>
        <v>0</v>
      </c>
      <c r="E830">
        <f>661190308/10^6</f>
        <v>661.19030799999996</v>
      </c>
      <c r="F830">
        <f>0</f>
        <v>0</v>
      </c>
      <c r="G830">
        <f>231361374/10^6</f>
        <v>231.36137400000001</v>
      </c>
      <c r="H830">
        <f>0</f>
        <v>0</v>
      </c>
      <c r="I830">
        <f>-40153133/10^6</f>
        <v>-40.153132999999997</v>
      </c>
      <c r="J830">
        <f>0</f>
        <v>0</v>
      </c>
    </row>
    <row r="831" spans="1:10" x14ac:dyDescent="0.25">
      <c r="A831" t="s">
        <v>840</v>
      </c>
      <c r="B831" t="s">
        <v>11</v>
      </c>
      <c r="C831">
        <v>118.883796875</v>
      </c>
      <c r="D831">
        <f>0</f>
        <v>0</v>
      </c>
      <c r="E831">
        <f>661877625/10^6</f>
        <v>661.87762499999997</v>
      </c>
      <c r="F831">
        <f>0</f>
        <v>0</v>
      </c>
      <c r="G831">
        <f>231343674/10^6</f>
        <v>231.34367399999999</v>
      </c>
      <c r="H831">
        <f>0</f>
        <v>0</v>
      </c>
      <c r="I831">
        <f>-40183247/10^6</f>
        <v>-40.183247000000001</v>
      </c>
      <c r="J831">
        <f>0</f>
        <v>0</v>
      </c>
    </row>
    <row r="832" spans="1:10" x14ac:dyDescent="0.25">
      <c r="A832" t="s">
        <v>841</v>
      </c>
      <c r="B832" t="s">
        <v>11</v>
      </c>
      <c r="C832">
        <v>118.793710938</v>
      </c>
      <c r="D832">
        <f>0</f>
        <v>0</v>
      </c>
      <c r="E832">
        <f>662523682/10^6</f>
        <v>662.52368200000001</v>
      </c>
      <c r="F832">
        <f>0</f>
        <v>0</v>
      </c>
      <c r="G832">
        <f>231340652/10^6</f>
        <v>231.34065200000001</v>
      </c>
      <c r="H832">
        <f>0</f>
        <v>0</v>
      </c>
      <c r="I832">
        <f>-40308128/10^6</f>
        <v>-40.308128000000004</v>
      </c>
      <c r="J832">
        <f>0</f>
        <v>0</v>
      </c>
    </row>
    <row r="833" spans="1:10" x14ac:dyDescent="0.25">
      <c r="A833" t="s">
        <v>842</v>
      </c>
      <c r="B833" t="s">
        <v>11</v>
      </c>
      <c r="C833">
        <v>118.723820313</v>
      </c>
      <c r="D833">
        <f>0</f>
        <v>0</v>
      </c>
      <c r="E833">
        <f>662819824/10^6</f>
        <v>662.81982400000004</v>
      </c>
      <c r="F833">
        <f>0</f>
        <v>0</v>
      </c>
      <c r="G833">
        <f>231341629/10^6</f>
        <v>231.34162900000001</v>
      </c>
      <c r="H833">
        <f>0</f>
        <v>0</v>
      </c>
      <c r="I833">
        <f>-4029459/10^5</f>
        <v>-40.294589999999999</v>
      </c>
      <c r="J833">
        <f>0</f>
        <v>0</v>
      </c>
    </row>
    <row r="834" spans="1:10" x14ac:dyDescent="0.25">
      <c r="A834" t="s">
        <v>843</v>
      </c>
      <c r="B834" t="s">
        <v>11</v>
      </c>
      <c r="C834">
        <v>118.66092968800001</v>
      </c>
      <c r="D834">
        <f>0</f>
        <v>0</v>
      </c>
      <c r="E834">
        <f>663182678/10^6</f>
        <v>663.18267800000001</v>
      </c>
      <c r="F834">
        <f>0</f>
        <v>0</v>
      </c>
      <c r="G834">
        <f>231341599/10^6</f>
        <v>231.341599</v>
      </c>
      <c r="H834">
        <f>0</f>
        <v>0</v>
      </c>
      <c r="I834">
        <f>-40350552/10^6</f>
        <v>-40.350552</v>
      </c>
      <c r="J834">
        <f>0</f>
        <v>0</v>
      </c>
    </row>
    <row r="835" spans="1:10" x14ac:dyDescent="0.25">
      <c r="A835" t="s">
        <v>844</v>
      </c>
      <c r="B835" t="s">
        <v>11</v>
      </c>
      <c r="C835">
        <v>118.605757813</v>
      </c>
      <c r="D835">
        <f>0</f>
        <v>0</v>
      </c>
      <c r="E835">
        <f>663653687/10^6</f>
        <v>663.65368699999999</v>
      </c>
      <c r="F835">
        <f>0</f>
        <v>0</v>
      </c>
      <c r="G835">
        <f>231335724/10^6</f>
        <v>231.335724</v>
      </c>
      <c r="H835">
        <f>0</f>
        <v>0</v>
      </c>
      <c r="I835">
        <f>-40508453/10^6</f>
        <v>-40.508453000000003</v>
      </c>
      <c r="J835">
        <f>0</f>
        <v>0</v>
      </c>
    </row>
    <row r="836" spans="1:10" x14ac:dyDescent="0.25">
      <c r="A836" t="s">
        <v>845</v>
      </c>
      <c r="B836" t="s">
        <v>11</v>
      </c>
      <c r="C836">
        <v>118.55743750000001</v>
      </c>
      <c r="D836">
        <f>0</f>
        <v>0</v>
      </c>
      <c r="E836">
        <f>663888855/10^6</f>
        <v>663.88885500000004</v>
      </c>
      <c r="F836">
        <f>0</f>
        <v>0</v>
      </c>
      <c r="G836">
        <f>231324768/10^6</f>
        <v>231.32476800000001</v>
      </c>
      <c r="H836">
        <f>0</f>
        <v>0</v>
      </c>
      <c r="I836">
        <f>-404618/10^4</f>
        <v>-40.461799999999997</v>
      </c>
      <c r="J836">
        <f>0</f>
        <v>0</v>
      </c>
    </row>
    <row r="837" spans="1:10" x14ac:dyDescent="0.25">
      <c r="A837" t="s">
        <v>846</v>
      </c>
      <c r="B837" t="s">
        <v>11</v>
      </c>
      <c r="C837">
        <v>118.491140625</v>
      </c>
      <c r="D837">
        <f>0</f>
        <v>0</v>
      </c>
      <c r="E837">
        <f>664205933/10^6</f>
        <v>664.20593299999996</v>
      </c>
      <c r="F837">
        <f>0</f>
        <v>0</v>
      </c>
      <c r="G837">
        <f>231324249/10^6</f>
        <v>231.32424900000001</v>
      </c>
      <c r="H837">
        <f>0</f>
        <v>0</v>
      </c>
      <c r="I837">
        <f>-40440403/10^6</f>
        <v>-40.440403000000003</v>
      </c>
      <c r="J837">
        <f>0</f>
        <v>0</v>
      </c>
    </row>
    <row r="838" spans="1:10" x14ac:dyDescent="0.25">
      <c r="A838" t="s">
        <v>847</v>
      </c>
      <c r="B838" t="s">
        <v>11</v>
      </c>
      <c r="C838">
        <v>118.412875</v>
      </c>
      <c r="D838">
        <f>0</f>
        <v>0</v>
      </c>
      <c r="E838">
        <f>664646912/10^6</f>
        <v>664.64691200000004</v>
      </c>
      <c r="F838">
        <f>0</f>
        <v>0</v>
      </c>
      <c r="G838">
        <f>231324448/10^6</f>
        <v>231.32444799999999</v>
      </c>
      <c r="H838">
        <f>0</f>
        <v>0</v>
      </c>
      <c r="I838">
        <f>-40559273/10^6</f>
        <v>-40.559272999999997</v>
      </c>
      <c r="J838">
        <f>0</f>
        <v>0</v>
      </c>
    </row>
    <row r="839" spans="1:10" x14ac:dyDescent="0.25">
      <c r="A839" t="s">
        <v>848</v>
      </c>
      <c r="B839" t="s">
        <v>11</v>
      </c>
      <c r="C839">
        <v>118.32698437499999</v>
      </c>
      <c r="D839">
        <f>0</f>
        <v>0</v>
      </c>
      <c r="E839">
        <f>665187744/10^6</f>
        <v>665.18774399999995</v>
      </c>
      <c r="F839">
        <f>0</f>
        <v>0</v>
      </c>
      <c r="G839">
        <f>231312973/10^6</f>
        <v>231.312973</v>
      </c>
      <c r="H839">
        <f>0</f>
        <v>0</v>
      </c>
      <c r="I839">
        <f>-4063599/10^5</f>
        <v>-40.63599</v>
      </c>
      <c r="J839">
        <f>0</f>
        <v>0</v>
      </c>
    </row>
    <row r="840" spans="1:10" x14ac:dyDescent="0.25">
      <c r="A840" t="s">
        <v>849</v>
      </c>
      <c r="B840" t="s">
        <v>11</v>
      </c>
      <c r="C840">
        <v>118.22248437499999</v>
      </c>
      <c r="D840">
        <f>0</f>
        <v>0</v>
      </c>
      <c r="E840">
        <f>665805542/10^6</f>
        <v>665.80554199999995</v>
      </c>
      <c r="F840">
        <f>0</f>
        <v>0</v>
      </c>
      <c r="G840">
        <f>231309494/10^6</f>
        <v>231.309494</v>
      </c>
      <c r="H840">
        <f>0</f>
        <v>0</v>
      </c>
      <c r="I840">
        <f>-40603855/10^6</f>
        <v>-40.603855000000003</v>
      </c>
      <c r="J840">
        <f>0</f>
        <v>0</v>
      </c>
    </row>
    <row r="841" spans="1:10" x14ac:dyDescent="0.25">
      <c r="A841" t="s">
        <v>850</v>
      </c>
      <c r="B841" t="s">
        <v>11</v>
      </c>
      <c r="C841">
        <v>0</v>
      </c>
      <c r="D841">
        <f>2</f>
        <v>2</v>
      </c>
      <c r="F841">
        <f>2</f>
        <v>2</v>
      </c>
      <c r="H841">
        <f>2</f>
        <v>2</v>
      </c>
      <c r="J841">
        <f>2</f>
        <v>2</v>
      </c>
    </row>
    <row r="842" spans="1:10" x14ac:dyDescent="0.25">
      <c r="A842" t="s">
        <v>851</v>
      </c>
      <c r="B842" t="s">
        <v>11</v>
      </c>
      <c r="C842">
        <v>117.979601563</v>
      </c>
      <c r="D842">
        <f>0</f>
        <v>0</v>
      </c>
      <c r="E842">
        <f>667010925/10^6</f>
        <v>667.01092500000004</v>
      </c>
      <c r="F842">
        <f>0</f>
        <v>0</v>
      </c>
      <c r="G842">
        <f>231279785/10^6</f>
        <v>231.279785</v>
      </c>
      <c r="H842">
        <f>0</f>
        <v>0</v>
      </c>
      <c r="I842">
        <f>-4059248/10^5</f>
        <v>-40.592480000000002</v>
      </c>
      <c r="J842">
        <f>0</f>
        <v>0</v>
      </c>
    </row>
    <row r="843" spans="1:10" x14ac:dyDescent="0.25">
      <c r="A843" t="s">
        <v>852</v>
      </c>
      <c r="B843" t="s">
        <v>11</v>
      </c>
      <c r="C843">
        <v>117.834765625</v>
      </c>
      <c r="D843">
        <f>0</f>
        <v>0</v>
      </c>
      <c r="E843">
        <f>667854736/10^6</f>
        <v>667.854736</v>
      </c>
      <c r="F843">
        <f>0</f>
        <v>0</v>
      </c>
      <c r="G843">
        <f>231247192/10^6</f>
        <v>231.24719200000001</v>
      </c>
      <c r="H843">
        <f>0</f>
        <v>0</v>
      </c>
      <c r="I843">
        <f>-40746109/10^6</f>
        <v>-40.746108999999997</v>
      </c>
      <c r="J843">
        <f>0</f>
        <v>0</v>
      </c>
    </row>
    <row r="844" spans="1:10" x14ac:dyDescent="0.25">
      <c r="A844" t="s">
        <v>853</v>
      </c>
      <c r="B844" t="s">
        <v>11</v>
      </c>
      <c r="C844">
        <v>117.67424218800001</v>
      </c>
      <c r="D844">
        <f>0</f>
        <v>0</v>
      </c>
      <c r="E844">
        <f>66877655/10^5</f>
        <v>668.77655000000004</v>
      </c>
      <c r="F844">
        <f>0</f>
        <v>0</v>
      </c>
      <c r="G844">
        <f>231223358/10^6</f>
        <v>231.22335799999999</v>
      </c>
      <c r="H844">
        <f>0</f>
        <v>0</v>
      </c>
      <c r="I844">
        <f>-40838127/10^6</f>
        <v>-40.838127</v>
      </c>
      <c r="J844">
        <f>0</f>
        <v>0</v>
      </c>
    </row>
    <row r="845" spans="1:10" x14ac:dyDescent="0.25">
      <c r="A845" t="s">
        <v>854</v>
      </c>
      <c r="B845" t="s">
        <v>11</v>
      </c>
      <c r="C845">
        <v>117.48146875</v>
      </c>
      <c r="D845">
        <f>0</f>
        <v>0</v>
      </c>
      <c r="E845">
        <f>669978699/10^6</f>
        <v>669.97869900000001</v>
      </c>
      <c r="F845">
        <f>0</f>
        <v>0</v>
      </c>
      <c r="G845">
        <f>231198578/10^6</f>
        <v>231.198578</v>
      </c>
      <c r="H845">
        <f>0</f>
        <v>0</v>
      </c>
      <c r="I845">
        <f>-41127121/10^6</f>
        <v>-41.127121000000002</v>
      </c>
      <c r="J845">
        <f>0</f>
        <v>0</v>
      </c>
    </row>
    <row r="846" spans="1:10" x14ac:dyDescent="0.25">
      <c r="A846" t="s">
        <v>855</v>
      </c>
      <c r="B846" t="s">
        <v>11</v>
      </c>
      <c r="C846">
        <v>0</v>
      </c>
      <c r="D846">
        <f>2</f>
        <v>2</v>
      </c>
      <c r="F846">
        <f>2</f>
        <v>2</v>
      </c>
      <c r="H846">
        <f>2</f>
        <v>2</v>
      </c>
      <c r="J846">
        <f>2</f>
        <v>2</v>
      </c>
    </row>
    <row r="847" spans="1:10" x14ac:dyDescent="0.25">
      <c r="A847" t="s">
        <v>856</v>
      </c>
      <c r="B847" t="s">
        <v>11</v>
      </c>
      <c r="C847">
        <v>117.05538281300001</v>
      </c>
      <c r="D847">
        <f>0</f>
        <v>0</v>
      </c>
      <c r="E847">
        <f>672415833/10^6</f>
        <v>672.41583300000002</v>
      </c>
      <c r="F847">
        <f>0</f>
        <v>0</v>
      </c>
      <c r="G847">
        <f>231147095/10^6</f>
        <v>231.14709500000001</v>
      </c>
      <c r="H847">
        <f>0</f>
        <v>0</v>
      </c>
      <c r="I847">
        <f>-41361546/10^6</f>
        <v>-41.361545999999997</v>
      </c>
      <c r="J847">
        <f>0</f>
        <v>0</v>
      </c>
    </row>
    <row r="848" spans="1:10" x14ac:dyDescent="0.25">
      <c r="A848" t="s">
        <v>857</v>
      </c>
      <c r="B848" t="s">
        <v>11</v>
      </c>
      <c r="C848">
        <v>116.8255625</v>
      </c>
      <c r="D848">
        <f>0</f>
        <v>0</v>
      </c>
      <c r="E848">
        <f>673796753/10^6</f>
        <v>673.79675299999997</v>
      </c>
      <c r="F848">
        <f>0</f>
        <v>0</v>
      </c>
      <c r="G848">
        <f>231139084/10^6</f>
        <v>231.139084</v>
      </c>
      <c r="H848">
        <f>0</f>
        <v>0</v>
      </c>
      <c r="I848">
        <f>-41469646/10^6</f>
        <v>-41.469645999999997</v>
      </c>
      <c r="J848">
        <f>0</f>
        <v>0</v>
      </c>
    </row>
    <row r="849" spans="1:10" x14ac:dyDescent="0.25">
      <c r="A849" t="s">
        <v>858</v>
      </c>
      <c r="B849" t="s">
        <v>11</v>
      </c>
      <c r="C849">
        <v>116.569867188</v>
      </c>
      <c r="D849">
        <f>0</f>
        <v>0</v>
      </c>
      <c r="E849">
        <f>675255798/10^6</f>
        <v>675.25579800000003</v>
      </c>
      <c r="F849">
        <f>0</f>
        <v>0</v>
      </c>
      <c r="G849">
        <f>231101059/10^6</f>
        <v>231.10105899999999</v>
      </c>
      <c r="H849">
        <f>0</f>
        <v>0</v>
      </c>
      <c r="I849">
        <f>-41606937/10^6</f>
        <v>-41.606937000000002</v>
      </c>
      <c r="J849">
        <f>0</f>
        <v>0</v>
      </c>
    </row>
    <row r="850" spans="1:10" x14ac:dyDescent="0.25">
      <c r="A850" t="s">
        <v>859</v>
      </c>
      <c r="B850" t="s">
        <v>11</v>
      </c>
      <c r="C850">
        <v>116.309960938</v>
      </c>
      <c r="D850">
        <f>0</f>
        <v>0</v>
      </c>
      <c r="E850">
        <f>676795593/10^6</f>
        <v>676.79559300000005</v>
      </c>
      <c r="F850">
        <f>0</f>
        <v>0</v>
      </c>
      <c r="G850">
        <f>231052704/10^6</f>
        <v>231.05270400000001</v>
      </c>
      <c r="H850">
        <f>0</f>
        <v>0</v>
      </c>
      <c r="I850">
        <f>-41902073/10^6</f>
        <v>-41.902073000000001</v>
      </c>
      <c r="J850">
        <f>0</f>
        <v>0</v>
      </c>
    </row>
    <row r="851" spans="1:10" x14ac:dyDescent="0.25">
      <c r="A851" t="s">
        <v>860</v>
      </c>
      <c r="B851" t="s">
        <v>11</v>
      </c>
      <c r="C851">
        <v>116.076046875</v>
      </c>
      <c r="D851">
        <f>0</f>
        <v>0</v>
      </c>
      <c r="E851">
        <f>678149963/10^6</f>
        <v>678.14996299999996</v>
      </c>
      <c r="F851">
        <f>0</f>
        <v>0</v>
      </c>
      <c r="G851">
        <f>230990845/10^6</f>
        <v>230.99084500000001</v>
      </c>
      <c r="H851">
        <f>0</f>
        <v>0</v>
      </c>
      <c r="I851">
        <f>-42240864/10^6</f>
        <v>-42.240864000000002</v>
      </c>
      <c r="J851">
        <f>0</f>
        <v>0</v>
      </c>
    </row>
    <row r="852" spans="1:10" x14ac:dyDescent="0.25">
      <c r="A852" t="s">
        <v>861</v>
      </c>
      <c r="B852" t="s">
        <v>11</v>
      </c>
      <c r="C852">
        <v>115.88678125</v>
      </c>
      <c r="D852">
        <f>0</f>
        <v>0</v>
      </c>
      <c r="E852">
        <f>679125549/10^6</f>
        <v>679.12554899999998</v>
      </c>
      <c r="F852">
        <f>0</f>
        <v>0</v>
      </c>
      <c r="G852">
        <f>230944153/10^6</f>
        <v>230.944153</v>
      </c>
      <c r="H852">
        <f>0</f>
        <v>0</v>
      </c>
      <c r="I852">
        <f>-42208683/10^6</f>
        <v>-42.208683000000001</v>
      </c>
      <c r="J852">
        <f>0</f>
        <v>0</v>
      </c>
    </row>
    <row r="853" spans="1:10" x14ac:dyDescent="0.25">
      <c r="A853" t="s">
        <v>862</v>
      </c>
      <c r="B853" t="s">
        <v>11</v>
      </c>
      <c r="C853">
        <v>115.725554688</v>
      </c>
      <c r="D853">
        <f>0</f>
        <v>0</v>
      </c>
      <c r="E853">
        <f>679885803/10^6</f>
        <v>679.88580300000001</v>
      </c>
      <c r="F853">
        <f>0</f>
        <v>0</v>
      </c>
      <c r="G853">
        <f>230874771/10^6</f>
        <v>230.87477100000001</v>
      </c>
      <c r="H853">
        <f>0</f>
        <v>0</v>
      </c>
      <c r="I853">
        <f>-42193928/10^6</f>
        <v>-42.193928</v>
      </c>
      <c r="J853">
        <f>0</f>
        <v>0</v>
      </c>
    </row>
    <row r="854" spans="1:10" x14ac:dyDescent="0.25">
      <c r="A854" t="s">
        <v>863</v>
      </c>
      <c r="B854" t="s">
        <v>11</v>
      </c>
      <c r="C854">
        <v>115.56416406300001</v>
      </c>
      <c r="D854">
        <f>0</f>
        <v>0</v>
      </c>
      <c r="E854">
        <f>68076532/10^5</f>
        <v>680.76531999999997</v>
      </c>
      <c r="F854">
        <f>0</f>
        <v>0</v>
      </c>
      <c r="G854">
        <f>230796188/10^6</f>
        <v>230.796188</v>
      </c>
      <c r="H854">
        <f>0</f>
        <v>0</v>
      </c>
      <c r="I854">
        <f>-42434814/10^6</f>
        <v>-42.434814000000003</v>
      </c>
      <c r="J854">
        <f>0</f>
        <v>0</v>
      </c>
    </row>
    <row r="855" spans="1:10" x14ac:dyDescent="0.25">
      <c r="A855" t="s">
        <v>864</v>
      </c>
      <c r="B855" t="s">
        <v>11</v>
      </c>
      <c r="C855">
        <v>115.41650781300001</v>
      </c>
      <c r="D855">
        <f>0</f>
        <v>0</v>
      </c>
      <c r="E855">
        <f>681548828/10^6</f>
        <v>681.54882799999996</v>
      </c>
      <c r="F855">
        <f>0</f>
        <v>0</v>
      </c>
      <c r="G855">
        <f>230759369/10^6</f>
        <v>230.75936899999999</v>
      </c>
      <c r="H855">
        <f>0</f>
        <v>0</v>
      </c>
      <c r="I855">
        <f>-42498184/10^6</f>
        <v>-42.498184000000002</v>
      </c>
      <c r="J855">
        <f>0</f>
        <v>0</v>
      </c>
    </row>
    <row r="856" spans="1:10" x14ac:dyDescent="0.25">
      <c r="A856" t="s">
        <v>865</v>
      </c>
      <c r="B856" t="s">
        <v>11</v>
      </c>
      <c r="C856">
        <v>115.2720625</v>
      </c>
      <c r="D856">
        <f>0</f>
        <v>0</v>
      </c>
      <c r="E856">
        <f>682301697/10^6</f>
        <v>682.30169699999999</v>
      </c>
      <c r="F856">
        <f>0</f>
        <v>0</v>
      </c>
      <c r="G856">
        <f>230703674/10^6</f>
        <v>230.70367400000001</v>
      </c>
      <c r="H856">
        <f>0</f>
        <v>0</v>
      </c>
      <c r="I856">
        <f>-42512768/10^6</f>
        <v>-42.512768000000001</v>
      </c>
      <c r="J856">
        <f>0</f>
        <v>0</v>
      </c>
    </row>
    <row r="857" spans="1:10" x14ac:dyDescent="0.25">
      <c r="A857" t="s">
        <v>866</v>
      </c>
      <c r="B857" t="s">
        <v>11</v>
      </c>
      <c r="C857">
        <v>0</v>
      </c>
      <c r="D857">
        <f>2</f>
        <v>2</v>
      </c>
      <c r="F857">
        <f>2</f>
        <v>2</v>
      </c>
      <c r="H857">
        <f>2</f>
        <v>2</v>
      </c>
      <c r="J857">
        <f>2</f>
        <v>2</v>
      </c>
    </row>
    <row r="858" spans="1:10" x14ac:dyDescent="0.25">
      <c r="A858" t="s">
        <v>867</v>
      </c>
      <c r="B858" t="s">
        <v>11</v>
      </c>
      <c r="C858">
        <v>115.29642187499999</v>
      </c>
      <c r="D858">
        <f>0</f>
        <v>0</v>
      </c>
      <c r="E858">
        <f>682266541/10^6</f>
        <v>682.26654099999996</v>
      </c>
      <c r="F858">
        <f>0</f>
        <v>0</v>
      </c>
      <c r="G858">
        <f>230683533/10^6</f>
        <v>230.68353300000001</v>
      </c>
      <c r="H858">
        <f>0</f>
        <v>0</v>
      </c>
      <c r="I858">
        <f>-42864433/10^6</f>
        <v>-42.864432999999998</v>
      </c>
      <c r="J858">
        <f>0</f>
        <v>0</v>
      </c>
    </row>
    <row r="859" spans="1:10" x14ac:dyDescent="0.25">
      <c r="A859" t="s">
        <v>868</v>
      </c>
      <c r="B859" t="s">
        <v>11</v>
      </c>
      <c r="C859">
        <v>115.468226563</v>
      </c>
      <c r="D859">
        <f>0</f>
        <v>0</v>
      </c>
      <c r="E859">
        <f>681538269/10^6</f>
        <v>681.53826900000001</v>
      </c>
      <c r="F859">
        <f>0</f>
        <v>0</v>
      </c>
      <c r="G859">
        <f>230804459/10^6</f>
        <v>230.80445900000001</v>
      </c>
      <c r="H859">
        <f>0</f>
        <v>0</v>
      </c>
      <c r="I859">
        <f>-42787384/10^6</f>
        <v>-42.787384000000003</v>
      </c>
      <c r="J859">
        <f>0</f>
        <v>0</v>
      </c>
    </row>
    <row r="860" spans="1:10" x14ac:dyDescent="0.25">
      <c r="A860" t="s">
        <v>869</v>
      </c>
      <c r="B860" t="s">
        <v>11</v>
      </c>
      <c r="C860">
        <v>115.600015625</v>
      </c>
      <c r="D860">
        <f>0</f>
        <v>0</v>
      </c>
      <c r="E860">
        <f>680808289/10^6</f>
        <v>680.80828899999995</v>
      </c>
      <c r="F860">
        <f>0</f>
        <v>0</v>
      </c>
      <c r="G860">
        <f>230842422/10^6</f>
        <v>230.842422</v>
      </c>
      <c r="H860">
        <f>0</f>
        <v>0</v>
      </c>
      <c r="I860">
        <f>-42581367/10^6</f>
        <v>-42.581367</v>
      </c>
      <c r="J860">
        <f>0</f>
        <v>0</v>
      </c>
    </row>
    <row r="861" spans="1:10" x14ac:dyDescent="0.25">
      <c r="A861" t="s">
        <v>870</v>
      </c>
      <c r="B861" t="s">
        <v>11</v>
      </c>
      <c r="C861">
        <v>115.736445313</v>
      </c>
      <c r="D861">
        <f>0</f>
        <v>0</v>
      </c>
      <c r="E861">
        <f>679862793/10^6</f>
        <v>679.86279300000001</v>
      </c>
      <c r="F861">
        <f>0</f>
        <v>0</v>
      </c>
      <c r="G861">
        <f>23084137/10^5</f>
        <v>230.84137000000001</v>
      </c>
      <c r="H861">
        <f>0</f>
        <v>0</v>
      </c>
      <c r="I861">
        <f>-42389526/10^6</f>
        <v>-42.389525999999996</v>
      </c>
      <c r="J861">
        <f>0</f>
        <v>0</v>
      </c>
    </row>
    <row r="862" spans="1:10" x14ac:dyDescent="0.25">
      <c r="A862" t="s">
        <v>871</v>
      </c>
      <c r="B862" t="s">
        <v>11</v>
      </c>
      <c r="C862">
        <v>115.92717968800001</v>
      </c>
      <c r="D862">
        <f>0</f>
        <v>0</v>
      </c>
      <c r="E862">
        <f>678932922/10^6</f>
        <v>678.93292199999996</v>
      </c>
      <c r="F862">
        <f>0</f>
        <v>0</v>
      </c>
      <c r="G862">
        <f>230904617/10^6</f>
        <v>230.904617</v>
      </c>
      <c r="H862">
        <f>0</f>
        <v>0</v>
      </c>
      <c r="I862">
        <f>-42471039/10^6</f>
        <v>-42.471038999999998</v>
      </c>
      <c r="J862">
        <f>0</f>
        <v>0</v>
      </c>
    </row>
    <row r="863" spans="1:10" x14ac:dyDescent="0.25">
      <c r="A863" t="s">
        <v>872</v>
      </c>
      <c r="B863" t="s">
        <v>11</v>
      </c>
      <c r="C863">
        <v>116.176023438</v>
      </c>
      <c r="D863">
        <f>0</f>
        <v>0</v>
      </c>
      <c r="E863">
        <f>677756042/10^6</f>
        <v>677.75604199999998</v>
      </c>
      <c r="F863">
        <f>0</f>
        <v>0</v>
      </c>
      <c r="G863">
        <f>230992676/10^6</f>
        <v>230.99267599999999</v>
      </c>
      <c r="H863">
        <f>0</f>
        <v>0</v>
      </c>
      <c r="I863">
        <f>-42481289/10^6</f>
        <v>-42.481288999999997</v>
      </c>
      <c r="J863">
        <f>0</f>
        <v>0</v>
      </c>
    </row>
    <row r="864" spans="1:10" x14ac:dyDescent="0.25">
      <c r="A864" t="s">
        <v>873</v>
      </c>
      <c r="B864" t="s">
        <v>11</v>
      </c>
      <c r="C864">
        <v>116.47446875</v>
      </c>
      <c r="D864">
        <f>0</f>
        <v>0</v>
      </c>
      <c r="E864">
        <f>67601416/10^5</f>
        <v>676.01415999999995</v>
      </c>
      <c r="F864">
        <f>0</f>
        <v>0</v>
      </c>
      <c r="G864">
        <f>23105394/10^5</f>
        <v>231.05394000000001</v>
      </c>
      <c r="H864">
        <f>0</f>
        <v>0</v>
      </c>
      <c r="I864">
        <f>-42110134/10^6</f>
        <v>-42.110134000000002</v>
      </c>
      <c r="J864">
        <f>0</f>
        <v>0</v>
      </c>
    </row>
    <row r="865" spans="1:10" x14ac:dyDescent="0.25">
      <c r="A865" t="s">
        <v>874</v>
      </c>
      <c r="B865" t="s">
        <v>11</v>
      </c>
      <c r="C865">
        <v>116.818929688</v>
      </c>
      <c r="D865">
        <f>0</f>
        <v>0</v>
      </c>
      <c r="E865">
        <f>673942688/10^6</f>
        <v>673.94268799999998</v>
      </c>
      <c r="F865">
        <f>0</f>
        <v>0</v>
      </c>
      <c r="G865">
        <f>231111389/10^6</f>
        <v>231.111389</v>
      </c>
      <c r="H865">
        <f>0</f>
        <v>0</v>
      </c>
      <c r="I865">
        <f>-41703117/10^6</f>
        <v>-41.703116999999999</v>
      </c>
      <c r="J865">
        <f>0</f>
        <v>0</v>
      </c>
    </row>
    <row r="866" spans="1:10" x14ac:dyDescent="0.25">
      <c r="A866" t="s">
        <v>875</v>
      </c>
      <c r="B866" t="s">
        <v>11</v>
      </c>
      <c r="C866">
        <v>117.226265625</v>
      </c>
      <c r="D866">
        <f>0</f>
        <v>0</v>
      </c>
      <c r="E866">
        <f>671660339/10^6</f>
        <v>671.66033900000002</v>
      </c>
      <c r="F866">
        <f>0</f>
        <v>0</v>
      </c>
      <c r="G866">
        <f>231176376/10^6</f>
        <v>231.176376</v>
      </c>
      <c r="H866">
        <f>0</f>
        <v>0</v>
      </c>
      <c r="I866">
        <f>-41667686/10^6</f>
        <v>-41.667686000000003</v>
      </c>
      <c r="J866">
        <f>0</f>
        <v>0</v>
      </c>
    </row>
    <row r="867" spans="1:10" x14ac:dyDescent="0.25">
      <c r="A867" t="s">
        <v>876</v>
      </c>
      <c r="B867" t="s">
        <v>11</v>
      </c>
      <c r="C867">
        <v>117.74110937499999</v>
      </c>
      <c r="D867">
        <f>0</f>
        <v>0</v>
      </c>
      <c r="E867">
        <f>668836121/10^6</f>
        <v>668.83612100000005</v>
      </c>
      <c r="F867">
        <f>0</f>
        <v>0</v>
      </c>
      <c r="G867">
        <f>231243683/10^6</f>
        <v>231.243683</v>
      </c>
      <c r="H867">
        <f>0</f>
        <v>0</v>
      </c>
      <c r="I867">
        <f>-41641556/10^6</f>
        <v>-41.641556000000001</v>
      </c>
      <c r="J867">
        <f>0</f>
        <v>0</v>
      </c>
    </row>
    <row r="868" spans="1:10" x14ac:dyDescent="0.25">
      <c r="A868" t="s">
        <v>877</v>
      </c>
      <c r="B868" t="s">
        <v>11</v>
      </c>
      <c r="C868">
        <v>0</v>
      </c>
      <c r="D868">
        <f>2</f>
        <v>2</v>
      </c>
      <c r="F868">
        <f>2</f>
        <v>2</v>
      </c>
      <c r="H868">
        <f>2</f>
        <v>2</v>
      </c>
      <c r="J868">
        <f>2</f>
        <v>2</v>
      </c>
    </row>
    <row r="869" spans="1:10" x14ac:dyDescent="0.25">
      <c r="A869" t="s">
        <v>878</v>
      </c>
      <c r="B869" t="s">
        <v>11</v>
      </c>
      <c r="C869">
        <v>119.0521875</v>
      </c>
      <c r="D869">
        <f>0</f>
        <v>0</v>
      </c>
      <c r="E869">
        <f>66116333/10^5</f>
        <v>661.16332999999997</v>
      </c>
      <c r="F869">
        <f>0</f>
        <v>0</v>
      </c>
      <c r="G869">
        <f>231371307/10^6</f>
        <v>231.371307</v>
      </c>
      <c r="H869">
        <f>0</f>
        <v>0</v>
      </c>
      <c r="I869">
        <f>-40581295/10^6</f>
        <v>-40.581294999999997</v>
      </c>
      <c r="J869">
        <f>0</f>
        <v>0</v>
      </c>
    </row>
    <row r="870" spans="1:10" x14ac:dyDescent="0.25">
      <c r="A870" t="s">
        <v>879</v>
      </c>
      <c r="B870" t="s">
        <v>11</v>
      </c>
      <c r="C870">
        <v>119.76060156300001</v>
      </c>
      <c r="D870">
        <f>0</f>
        <v>0</v>
      </c>
      <c r="E870">
        <f>657177307/10^6</f>
        <v>657.17730700000004</v>
      </c>
      <c r="F870">
        <f>0</f>
        <v>0</v>
      </c>
      <c r="G870">
        <f>231431137/10^6</f>
        <v>231.43113700000001</v>
      </c>
      <c r="H870">
        <f>0</f>
        <v>0</v>
      </c>
      <c r="I870">
        <f>-40199657/10^6</f>
        <v>-40.199657000000002</v>
      </c>
      <c r="J870">
        <f>0</f>
        <v>0</v>
      </c>
    </row>
    <row r="871" spans="1:10" x14ac:dyDescent="0.25">
      <c r="A871" t="s">
        <v>880</v>
      </c>
      <c r="B871" t="s">
        <v>11</v>
      </c>
      <c r="C871">
        <v>120.41954687499999</v>
      </c>
      <c r="D871">
        <f>0</f>
        <v>0</v>
      </c>
      <c r="E871">
        <f>65352356/10^5</f>
        <v>653.52355999999997</v>
      </c>
      <c r="F871">
        <f>0</f>
        <v>0</v>
      </c>
      <c r="G871">
        <f>231490463/10^6</f>
        <v>231.49046300000001</v>
      </c>
      <c r="H871">
        <f>0</f>
        <v>0</v>
      </c>
      <c r="I871">
        <f>-39848652/10^6</f>
        <v>-39.848652000000001</v>
      </c>
      <c r="J871">
        <f>0</f>
        <v>0</v>
      </c>
    </row>
    <row r="872" spans="1:10" x14ac:dyDescent="0.25">
      <c r="A872" t="s">
        <v>881</v>
      </c>
      <c r="B872" t="s">
        <v>11</v>
      </c>
      <c r="C872">
        <v>120.989890625</v>
      </c>
      <c r="D872">
        <f>0</f>
        <v>0</v>
      </c>
      <c r="E872">
        <f>650176331/10^6</f>
        <v>650.176331</v>
      </c>
      <c r="F872">
        <f>0</f>
        <v>0</v>
      </c>
      <c r="G872">
        <f>231517197/10^6</f>
        <v>231.51719700000001</v>
      </c>
      <c r="H872">
        <f>0</f>
        <v>0</v>
      </c>
      <c r="I872">
        <f>-39398167/10^6</f>
        <v>-39.398167000000001</v>
      </c>
      <c r="J872">
        <f>0</f>
        <v>0</v>
      </c>
    </row>
    <row r="873" spans="1:10" x14ac:dyDescent="0.25">
      <c r="A873" t="s">
        <v>882</v>
      </c>
      <c r="B873" t="s">
        <v>11</v>
      </c>
      <c r="C873">
        <v>121.41434375</v>
      </c>
      <c r="D873">
        <f>0</f>
        <v>0</v>
      </c>
      <c r="E873">
        <f>647625793/10^6</f>
        <v>647.62579300000004</v>
      </c>
      <c r="F873">
        <f>0</f>
        <v>0</v>
      </c>
      <c r="G873">
        <f>231533539/10^6</f>
        <v>231.53353899999999</v>
      </c>
      <c r="H873">
        <f>0</f>
        <v>0</v>
      </c>
      <c r="I873">
        <f>-38929111/10^6</f>
        <v>-38.929110999999999</v>
      </c>
      <c r="J873">
        <f>0</f>
        <v>0</v>
      </c>
    </row>
    <row r="874" spans="1:10" x14ac:dyDescent="0.25">
      <c r="A874" t="s">
        <v>883</v>
      </c>
      <c r="B874" t="s">
        <v>11</v>
      </c>
      <c r="C874">
        <v>121.64125</v>
      </c>
      <c r="D874">
        <f>0</f>
        <v>0</v>
      </c>
      <c r="E874">
        <f>64645459/10^5</f>
        <v>646.45459000000005</v>
      </c>
      <c r="F874">
        <f>0</f>
        <v>0</v>
      </c>
      <c r="G874">
        <f>231569412/10^6</f>
        <v>231.569412</v>
      </c>
      <c r="H874">
        <f>0</f>
        <v>0</v>
      </c>
      <c r="I874">
        <f>-38869961/10^6</f>
        <v>-38.869961000000004</v>
      </c>
      <c r="J874">
        <f>0</f>
        <v>0</v>
      </c>
    </row>
    <row r="875" spans="1:10" x14ac:dyDescent="0.25">
      <c r="A875" t="s">
        <v>884</v>
      </c>
      <c r="B875" t="s">
        <v>11</v>
      </c>
      <c r="C875">
        <v>121.75142187500001</v>
      </c>
      <c r="D875">
        <f>0</f>
        <v>0</v>
      </c>
      <c r="E875">
        <f>645939514/10^6</f>
        <v>645.93951400000003</v>
      </c>
      <c r="F875">
        <f>0</f>
        <v>0</v>
      </c>
      <c r="G875">
        <f>231616394/10^6</f>
        <v>231.61639400000001</v>
      </c>
      <c r="H875">
        <f>0</f>
        <v>0</v>
      </c>
      <c r="I875">
        <f>-38900887/10^6</f>
        <v>-38.900886999999997</v>
      </c>
      <c r="J875">
        <f>0</f>
        <v>0</v>
      </c>
    </row>
    <row r="876" spans="1:10" x14ac:dyDescent="0.25">
      <c r="A876" t="s">
        <v>885</v>
      </c>
      <c r="B876" t="s">
        <v>11</v>
      </c>
      <c r="C876">
        <v>0</v>
      </c>
      <c r="D876">
        <f>2</f>
        <v>2</v>
      </c>
      <c r="F876">
        <f>2</f>
        <v>2</v>
      </c>
      <c r="H876">
        <f>2</f>
        <v>2</v>
      </c>
      <c r="J876">
        <f>2</f>
        <v>2</v>
      </c>
    </row>
    <row r="877" spans="1:10" x14ac:dyDescent="0.25">
      <c r="A877" t="s">
        <v>886</v>
      </c>
      <c r="B877" t="s">
        <v>11</v>
      </c>
      <c r="C877">
        <v>121.88677343800001</v>
      </c>
      <c r="D877">
        <f>0</f>
        <v>0</v>
      </c>
      <c r="E877">
        <f>645394958/10^6</f>
        <v>645.39495799999997</v>
      </c>
      <c r="F877">
        <f>0</f>
        <v>0</v>
      </c>
      <c r="G877">
        <f>231704895/10^6</f>
        <v>231.70489499999999</v>
      </c>
      <c r="H877">
        <f>0</f>
        <v>0</v>
      </c>
      <c r="I877">
        <f>-38826611/10^6</f>
        <v>-38.826611</v>
      </c>
      <c r="J877">
        <f>0</f>
        <v>0</v>
      </c>
    </row>
    <row r="878" spans="1:10" x14ac:dyDescent="0.25">
      <c r="A878" t="s">
        <v>887</v>
      </c>
      <c r="B878" t="s">
        <v>11</v>
      </c>
      <c r="C878">
        <v>0</v>
      </c>
      <c r="D878">
        <f>2</f>
        <v>2</v>
      </c>
      <c r="F878">
        <f>2</f>
        <v>2</v>
      </c>
      <c r="H878">
        <f>2</f>
        <v>2</v>
      </c>
      <c r="J878">
        <f>2</f>
        <v>2</v>
      </c>
    </row>
    <row r="879" spans="1:10" x14ac:dyDescent="0.25">
      <c r="A879" t="s">
        <v>888</v>
      </c>
      <c r="B879" t="s">
        <v>11</v>
      </c>
      <c r="C879">
        <v>121.9649375</v>
      </c>
      <c r="D879">
        <f>0</f>
        <v>0</v>
      </c>
      <c r="E879">
        <f>645156555/10^6</f>
        <v>645.15655500000003</v>
      </c>
      <c r="F879">
        <f>0</f>
        <v>0</v>
      </c>
      <c r="G879">
        <f>231753693/10^6</f>
        <v>231.753693</v>
      </c>
      <c r="H879">
        <f>0</f>
        <v>0</v>
      </c>
      <c r="I879">
        <f>-3885442/10^5</f>
        <v>-38.854419999999998</v>
      </c>
      <c r="J879">
        <f>0</f>
        <v>0</v>
      </c>
    </row>
    <row r="880" spans="1:10" x14ac:dyDescent="0.25">
      <c r="A880" t="s">
        <v>889</v>
      </c>
      <c r="B880" t="s">
        <v>11</v>
      </c>
      <c r="C880">
        <v>121.90825781300001</v>
      </c>
      <c r="D880">
        <f>0</f>
        <v>0</v>
      </c>
      <c r="E880">
        <f>645501587/10^6</f>
        <v>645.50158699999997</v>
      </c>
      <c r="F880">
        <f>0</f>
        <v>0</v>
      </c>
      <c r="G880">
        <f>231769211/10^6</f>
        <v>231.76921100000001</v>
      </c>
      <c r="H880">
        <f>0</f>
        <v>0</v>
      </c>
      <c r="I880">
        <f>-38776562/10^6</f>
        <v>-38.776561999999998</v>
      </c>
      <c r="J880">
        <f>0</f>
        <v>0</v>
      </c>
    </row>
    <row r="881" spans="1:10" x14ac:dyDescent="0.25">
      <c r="A881" t="s">
        <v>890</v>
      </c>
      <c r="B881" t="s">
        <v>11</v>
      </c>
      <c r="C881">
        <v>121.80153125</v>
      </c>
      <c r="D881">
        <f>0</f>
        <v>0</v>
      </c>
      <c r="E881">
        <f>645911621/10^6</f>
        <v>645.91162099999997</v>
      </c>
      <c r="F881">
        <f>0</f>
        <v>0</v>
      </c>
      <c r="G881">
        <f>231772797/10^6</f>
        <v>231.772797</v>
      </c>
      <c r="H881">
        <f>0</f>
        <v>0</v>
      </c>
      <c r="I881">
        <f>-38489399/10^6</f>
        <v>-38.489398999999999</v>
      </c>
      <c r="J881">
        <f>0</f>
        <v>0</v>
      </c>
    </row>
    <row r="882" spans="1:10" x14ac:dyDescent="0.25">
      <c r="A882" t="s">
        <v>891</v>
      </c>
      <c r="B882" t="s">
        <v>11</v>
      </c>
      <c r="C882">
        <v>121.645921875</v>
      </c>
      <c r="D882">
        <f>0</f>
        <v>0</v>
      </c>
      <c r="E882">
        <f>646874329/10^6</f>
        <v>646.87432899999999</v>
      </c>
      <c r="F882">
        <f>0</f>
        <v>0</v>
      </c>
      <c r="G882">
        <f>231765442/10^6</f>
        <v>231.76544200000001</v>
      </c>
      <c r="H882">
        <f>0</f>
        <v>0</v>
      </c>
      <c r="I882">
        <f>-38584087/10^6</f>
        <v>-38.584086999999997</v>
      </c>
      <c r="J882">
        <f>0</f>
        <v>0</v>
      </c>
    </row>
    <row r="883" spans="1:10" x14ac:dyDescent="0.25">
      <c r="A883" t="s">
        <v>892</v>
      </c>
      <c r="B883" t="s">
        <v>11</v>
      </c>
      <c r="C883">
        <v>121.44825</v>
      </c>
      <c r="D883">
        <f>0</f>
        <v>0</v>
      </c>
      <c r="E883">
        <f>648164734/10^6</f>
        <v>648.16473399999995</v>
      </c>
      <c r="F883">
        <f>0</f>
        <v>0</v>
      </c>
      <c r="G883">
        <f>231758606/10^6</f>
        <v>231.75860599999999</v>
      </c>
      <c r="H883">
        <f>0</f>
        <v>0</v>
      </c>
      <c r="I883">
        <f>-38896786/10^6</f>
        <v>-38.896785999999999</v>
      </c>
      <c r="J883">
        <f>0</f>
        <v>0</v>
      </c>
    </row>
    <row r="884" spans="1:10" x14ac:dyDescent="0.25">
      <c r="A884" t="s">
        <v>893</v>
      </c>
      <c r="B884" t="s">
        <v>11</v>
      </c>
      <c r="C884">
        <v>121.22457812499999</v>
      </c>
      <c r="D884">
        <f>0</f>
        <v>0</v>
      </c>
      <c r="E884">
        <f>649266357/10^6</f>
        <v>649.26635699999997</v>
      </c>
      <c r="F884">
        <f>0</f>
        <v>0</v>
      </c>
      <c r="G884">
        <f>231737411/10^6</f>
        <v>231.73741100000001</v>
      </c>
      <c r="H884">
        <f>0</f>
        <v>0</v>
      </c>
      <c r="I884">
        <f>-38873104/10^6</f>
        <v>-38.873103999999998</v>
      </c>
      <c r="J884">
        <f>0</f>
        <v>0</v>
      </c>
    </row>
    <row r="885" spans="1:10" x14ac:dyDescent="0.25">
      <c r="A885" t="s">
        <v>894</v>
      </c>
      <c r="B885" t="s">
        <v>11</v>
      </c>
      <c r="C885">
        <v>120.96328124999999</v>
      </c>
      <c r="D885">
        <f>0</f>
        <v>0</v>
      </c>
      <c r="E885">
        <f>650638611/10^6</f>
        <v>650.63861099999997</v>
      </c>
      <c r="F885">
        <f>0</f>
        <v>0</v>
      </c>
      <c r="G885">
        <f>231699509/10^6</f>
        <v>231.69950900000001</v>
      </c>
      <c r="H885">
        <f>0</f>
        <v>0</v>
      </c>
      <c r="I885">
        <f>-38990978/10^6</f>
        <v>-38.990977999999998</v>
      </c>
      <c r="J885">
        <f>0</f>
        <v>0</v>
      </c>
    </row>
    <row r="886" spans="1:10" x14ac:dyDescent="0.25">
      <c r="A886" t="s">
        <v>895</v>
      </c>
      <c r="B886" t="s">
        <v>11</v>
      </c>
      <c r="C886">
        <v>120.688445313</v>
      </c>
      <c r="D886">
        <f>0</f>
        <v>0</v>
      </c>
      <c r="E886">
        <f>652192871/10^6</f>
        <v>652.19287099999997</v>
      </c>
      <c r="F886">
        <f>0</f>
        <v>0</v>
      </c>
      <c r="G886">
        <f>231662247/10^6</f>
        <v>231.66224700000001</v>
      </c>
      <c r="H886">
        <f>0</f>
        <v>0</v>
      </c>
      <c r="I886">
        <f>-39211689/10^6</f>
        <v>-39.211689</v>
      </c>
      <c r="J886">
        <f>0</f>
        <v>0</v>
      </c>
    </row>
    <row r="887" spans="1:10" x14ac:dyDescent="0.25">
      <c r="A887" t="s">
        <v>896</v>
      </c>
      <c r="B887" t="s">
        <v>11</v>
      </c>
      <c r="C887">
        <v>120.44328125</v>
      </c>
      <c r="D887">
        <f>0</f>
        <v>0</v>
      </c>
      <c r="E887">
        <f>653509949/10^6</f>
        <v>653.50994900000001</v>
      </c>
      <c r="F887">
        <f>0</f>
        <v>0</v>
      </c>
      <c r="G887">
        <f>231625916/10^6</f>
        <v>231.62591599999999</v>
      </c>
      <c r="H887">
        <f>0</f>
        <v>0</v>
      </c>
      <c r="I887">
        <f>-39223461/10^6</f>
        <v>-39.223461</v>
      </c>
      <c r="J887">
        <f>0</f>
        <v>0</v>
      </c>
    </row>
    <row r="888" spans="1:10" x14ac:dyDescent="0.25">
      <c r="A888" t="s">
        <v>897</v>
      </c>
      <c r="B888" t="s">
        <v>11</v>
      </c>
      <c r="C888">
        <v>120.219078125</v>
      </c>
      <c r="D888">
        <f>0</f>
        <v>0</v>
      </c>
      <c r="E888">
        <f>654601196/10^6</f>
        <v>654.60119599999996</v>
      </c>
      <c r="F888">
        <f>0</f>
        <v>0</v>
      </c>
      <c r="G888">
        <f>231587006/10^6</f>
        <v>231.587006</v>
      </c>
      <c r="H888">
        <f>0</f>
        <v>0</v>
      </c>
      <c r="I888">
        <f>-39168182/10^6</f>
        <v>-39.168182000000002</v>
      </c>
      <c r="J888">
        <f>0</f>
        <v>0</v>
      </c>
    </row>
    <row r="889" spans="1:10" x14ac:dyDescent="0.25">
      <c r="A889" t="s">
        <v>898</v>
      </c>
      <c r="B889" t="s">
        <v>11</v>
      </c>
      <c r="C889">
        <v>120.00878125</v>
      </c>
      <c r="D889">
        <f>0</f>
        <v>0</v>
      </c>
      <c r="E889">
        <f>655692017/10^6</f>
        <v>655.69201699999996</v>
      </c>
      <c r="F889">
        <f>0</f>
        <v>0</v>
      </c>
      <c r="G889">
        <f>231548569/10^6</f>
        <v>231.54856899999999</v>
      </c>
      <c r="H889">
        <f>0</f>
        <v>0</v>
      </c>
      <c r="I889">
        <f>-39290852/10^6</f>
        <v>-39.290852000000001</v>
      </c>
      <c r="J889">
        <f>0</f>
        <v>0</v>
      </c>
    </row>
    <row r="890" spans="1:10" x14ac:dyDescent="0.25">
      <c r="A890" t="s">
        <v>899</v>
      </c>
      <c r="B890" t="s">
        <v>11</v>
      </c>
      <c r="C890">
        <v>119.8299375</v>
      </c>
      <c r="D890">
        <f>0</f>
        <v>0</v>
      </c>
      <c r="E890">
        <f>656766541/10^6</f>
        <v>656.76654099999996</v>
      </c>
      <c r="F890">
        <f>0</f>
        <v>0</v>
      </c>
      <c r="G890">
        <f>23151561/10^5</f>
        <v>231.51561000000001</v>
      </c>
      <c r="H890">
        <f>0</f>
        <v>0</v>
      </c>
      <c r="I890">
        <f>-39626179/10^6</f>
        <v>-39.626179</v>
      </c>
      <c r="J890">
        <f>0</f>
        <v>0</v>
      </c>
    </row>
    <row r="891" spans="1:10" x14ac:dyDescent="0.25">
      <c r="A891" t="s">
        <v>900</v>
      </c>
      <c r="B891" t="s">
        <v>11</v>
      </c>
      <c r="C891">
        <v>119.6611875</v>
      </c>
      <c r="D891">
        <f>0</f>
        <v>0</v>
      </c>
      <c r="E891">
        <f>657720154/10^6</f>
        <v>657.72015399999998</v>
      </c>
      <c r="F891">
        <f>0</f>
        <v>0</v>
      </c>
      <c r="G891">
        <f>231497253/10^6</f>
        <v>231.497253</v>
      </c>
      <c r="H891">
        <f>0</f>
        <v>0</v>
      </c>
      <c r="I891">
        <f>-39707127/10^6</f>
        <v>-39.707127</v>
      </c>
      <c r="J891">
        <f>0</f>
        <v>0</v>
      </c>
    </row>
    <row r="892" spans="1:10" x14ac:dyDescent="0.25">
      <c r="A892" t="s">
        <v>901</v>
      </c>
      <c r="B892" t="s">
        <v>11</v>
      </c>
      <c r="C892">
        <v>119.48121875</v>
      </c>
      <c r="D892">
        <f>0</f>
        <v>0</v>
      </c>
      <c r="E892">
        <f>658615601/10^6</f>
        <v>658.61560099999997</v>
      </c>
      <c r="F892">
        <f>0</f>
        <v>0</v>
      </c>
      <c r="G892">
        <f>231469437/10^6</f>
        <v>231.469437</v>
      </c>
      <c r="H892">
        <f>0</f>
        <v>0</v>
      </c>
      <c r="I892">
        <f>-39612671/10^6</f>
        <v>-39.612670999999999</v>
      </c>
      <c r="J892">
        <f>0</f>
        <v>0</v>
      </c>
    </row>
    <row r="893" spans="1:10" x14ac:dyDescent="0.25">
      <c r="A893" t="s">
        <v>902</v>
      </c>
      <c r="B893" t="s">
        <v>11</v>
      </c>
      <c r="C893">
        <v>119.30940624999999</v>
      </c>
      <c r="D893">
        <f>0</f>
        <v>0</v>
      </c>
      <c r="E893">
        <f>659642822/10^6</f>
        <v>659.64282200000002</v>
      </c>
      <c r="F893">
        <f>0</f>
        <v>0</v>
      </c>
      <c r="G893">
        <f>231435928/10^6</f>
        <v>231.43592799999999</v>
      </c>
      <c r="H893">
        <f>0</f>
        <v>0</v>
      </c>
      <c r="I893">
        <f>-39900871/10^6</f>
        <v>-39.900871000000002</v>
      </c>
      <c r="J893">
        <f>0</f>
        <v>0</v>
      </c>
    </row>
    <row r="894" spans="1:10" x14ac:dyDescent="0.25">
      <c r="A894" t="s">
        <v>903</v>
      </c>
      <c r="B894" t="s">
        <v>11</v>
      </c>
      <c r="C894">
        <v>119.16060937500001</v>
      </c>
      <c r="D894">
        <f>0</f>
        <v>0</v>
      </c>
      <c r="E894">
        <f>660566284/10^6</f>
        <v>660.566284</v>
      </c>
      <c r="F894">
        <f>0</f>
        <v>0</v>
      </c>
      <c r="G894">
        <f>231420731/10^6</f>
        <v>231.42073099999999</v>
      </c>
      <c r="H894">
        <f>0</f>
        <v>0</v>
      </c>
      <c r="I894">
        <f>-40150398/10^6</f>
        <v>-40.150398000000003</v>
      </c>
      <c r="J894">
        <f>0</f>
        <v>0</v>
      </c>
    </row>
    <row r="895" spans="1:10" x14ac:dyDescent="0.25">
      <c r="A895" t="s">
        <v>904</v>
      </c>
      <c r="B895" t="s">
        <v>11</v>
      </c>
      <c r="C895">
        <v>119.03034375</v>
      </c>
      <c r="D895">
        <f>0</f>
        <v>0</v>
      </c>
      <c r="E895">
        <f>661265442/10^6</f>
        <v>661.26544200000001</v>
      </c>
      <c r="F895">
        <f>0</f>
        <v>0</v>
      </c>
      <c r="G895">
        <f>231406494/10^6</f>
        <v>231.40649400000001</v>
      </c>
      <c r="H895">
        <f>0</f>
        <v>0</v>
      </c>
      <c r="I895">
        <f>-40166672/10^6</f>
        <v>-40.166671999999998</v>
      </c>
      <c r="J895">
        <f>0</f>
        <v>0</v>
      </c>
    </row>
    <row r="896" spans="1:10" x14ac:dyDescent="0.25">
      <c r="A896" t="s">
        <v>905</v>
      </c>
      <c r="B896" t="s">
        <v>11</v>
      </c>
      <c r="C896">
        <v>118.925921875</v>
      </c>
      <c r="D896">
        <f>0</f>
        <v>0</v>
      </c>
      <c r="E896">
        <f>661909607/10^6</f>
        <v>661.90960700000005</v>
      </c>
      <c r="F896">
        <f>0</f>
        <v>0</v>
      </c>
      <c r="G896">
        <f>231394043/10^6</f>
        <v>231.39404300000001</v>
      </c>
      <c r="H896">
        <f>0</f>
        <v>0</v>
      </c>
      <c r="I896">
        <f>-40243225/10^6</f>
        <v>-40.243225000000002</v>
      </c>
      <c r="J896">
        <f>0</f>
        <v>0</v>
      </c>
    </row>
    <row r="897" spans="1:10" x14ac:dyDescent="0.25">
      <c r="A897" t="s">
        <v>906</v>
      </c>
      <c r="B897" t="s">
        <v>11</v>
      </c>
      <c r="C897">
        <v>118.845890625</v>
      </c>
      <c r="D897">
        <f>0</f>
        <v>0</v>
      </c>
      <c r="E897">
        <f>662340576/10^6</f>
        <v>662.34057600000006</v>
      </c>
      <c r="F897">
        <f>0</f>
        <v>0</v>
      </c>
      <c r="G897">
        <f>231383469/10^6</f>
        <v>231.38346899999999</v>
      </c>
      <c r="H897">
        <f>0</f>
        <v>0</v>
      </c>
      <c r="I897">
        <f>-402323/10^4</f>
        <v>-40.232300000000002</v>
      </c>
      <c r="J897">
        <f>0</f>
        <v>0</v>
      </c>
    </row>
    <row r="898" spans="1:10" x14ac:dyDescent="0.25">
      <c r="A898" t="s">
        <v>907</v>
      </c>
      <c r="B898" t="s">
        <v>11</v>
      </c>
      <c r="C898">
        <v>118.77530468800001</v>
      </c>
      <c r="D898">
        <f>0</f>
        <v>0</v>
      </c>
      <c r="E898">
        <f>66271759/10^5</f>
        <v>662.71758999999997</v>
      </c>
      <c r="F898">
        <f>0</f>
        <v>0</v>
      </c>
      <c r="G898">
        <f>231379166/10^6</f>
        <v>231.379166</v>
      </c>
      <c r="H898">
        <f>0</f>
        <v>0</v>
      </c>
      <c r="I898">
        <f>-40284386/10^6</f>
        <v>-40.284385999999998</v>
      </c>
      <c r="J898">
        <f>0</f>
        <v>0</v>
      </c>
    </row>
    <row r="899" spans="1:10" x14ac:dyDescent="0.25">
      <c r="A899" t="s">
        <v>908</v>
      </c>
      <c r="B899" t="s">
        <v>11</v>
      </c>
      <c r="C899">
        <v>118.72034375</v>
      </c>
      <c r="D899">
        <f>0</f>
        <v>0</v>
      </c>
      <c r="E899">
        <f>663098267/10^6</f>
        <v>663.09826699999996</v>
      </c>
      <c r="F899">
        <f>0</f>
        <v>0</v>
      </c>
      <c r="G899">
        <f>231381393/10^6</f>
        <v>231.381393</v>
      </c>
      <c r="H899">
        <f>0</f>
        <v>0</v>
      </c>
      <c r="I899">
        <f>-40438423/10^6</f>
        <v>-40.438423</v>
      </c>
      <c r="J899">
        <f>0</f>
        <v>0</v>
      </c>
    </row>
    <row r="900" spans="1:10" x14ac:dyDescent="0.25">
      <c r="A900" t="s">
        <v>909</v>
      </c>
      <c r="B900" t="s">
        <v>11</v>
      </c>
      <c r="C900">
        <v>118.67397656300001</v>
      </c>
      <c r="D900">
        <f>0</f>
        <v>0</v>
      </c>
      <c r="E900">
        <f>663276611/10^6</f>
        <v>663.276611</v>
      </c>
      <c r="F900">
        <f>0</f>
        <v>0</v>
      </c>
      <c r="G900">
        <f>23137442/10^5</f>
        <v>231.37441999999999</v>
      </c>
      <c r="H900">
        <f>0</f>
        <v>0</v>
      </c>
      <c r="I900">
        <f>-40323654/10^6</f>
        <v>-40.323653999999998</v>
      </c>
      <c r="J900">
        <f>0</f>
        <v>0</v>
      </c>
    </row>
    <row r="901" spans="1:10" x14ac:dyDescent="0.25">
      <c r="A901" t="s">
        <v>910</v>
      </c>
      <c r="B901" t="s">
        <v>11</v>
      </c>
      <c r="C901">
        <v>118.60467187499999</v>
      </c>
      <c r="D901">
        <f>0</f>
        <v>0</v>
      </c>
      <c r="E901">
        <f>663660339/10^6</f>
        <v>663.66033900000002</v>
      </c>
      <c r="F901">
        <f>0</f>
        <v>0</v>
      </c>
      <c r="G901">
        <f>231365555/10^6</f>
        <v>231.365555</v>
      </c>
      <c r="H901">
        <f>0</f>
        <v>0</v>
      </c>
      <c r="I901">
        <f>-40287479/10^6</f>
        <v>-40.287478999999998</v>
      </c>
      <c r="J901">
        <f>0</f>
        <v>0</v>
      </c>
    </row>
    <row r="902" spans="1:10" x14ac:dyDescent="0.25">
      <c r="A902" t="s">
        <v>911</v>
      </c>
      <c r="B902" t="s">
        <v>11</v>
      </c>
      <c r="C902">
        <v>0</v>
      </c>
      <c r="D902">
        <f>2</f>
        <v>2</v>
      </c>
      <c r="F902">
        <f>2</f>
        <v>2</v>
      </c>
      <c r="H902">
        <f>2</f>
        <v>2</v>
      </c>
      <c r="J902">
        <f>2</f>
        <v>2</v>
      </c>
    </row>
    <row r="903" spans="1:10" x14ac:dyDescent="0.25">
      <c r="A903" t="s">
        <v>912</v>
      </c>
      <c r="B903" t="s">
        <v>11</v>
      </c>
      <c r="C903">
        <v>118.34434374999999</v>
      </c>
      <c r="D903">
        <f>0</f>
        <v>0</v>
      </c>
      <c r="E903">
        <f>665242371/10^6</f>
        <v>665.24237100000005</v>
      </c>
      <c r="F903">
        <f>0</f>
        <v>0</v>
      </c>
      <c r="G903">
        <f>231369308/10^6</f>
        <v>231.36930799999999</v>
      </c>
      <c r="H903">
        <f>0</f>
        <v>0</v>
      </c>
      <c r="I903">
        <f>-40536896/10^6</f>
        <v>-40.536895999999999</v>
      </c>
      <c r="J903">
        <f>0</f>
        <v>0</v>
      </c>
    </row>
    <row r="904" spans="1:10" x14ac:dyDescent="0.25">
      <c r="A904" t="s">
        <v>913</v>
      </c>
      <c r="B904" t="s">
        <v>11</v>
      </c>
      <c r="C904">
        <v>118.178234375</v>
      </c>
      <c r="D904">
        <f>0</f>
        <v>0</v>
      </c>
      <c r="E904">
        <f>666083252/10^6</f>
        <v>666.08325200000002</v>
      </c>
      <c r="F904">
        <f>0</f>
        <v>0</v>
      </c>
      <c r="G904">
        <f>231341797/10^6</f>
        <v>231.34179700000001</v>
      </c>
      <c r="H904">
        <f>0</f>
        <v>0</v>
      </c>
      <c r="I904">
        <f>-40424553/10^6</f>
        <v>-40.424553000000003</v>
      </c>
      <c r="J904">
        <f>0</f>
        <v>0</v>
      </c>
    </row>
    <row r="905" spans="1:10" x14ac:dyDescent="0.25">
      <c r="A905" t="s">
        <v>914</v>
      </c>
      <c r="B905" t="s">
        <v>11</v>
      </c>
      <c r="C905">
        <v>117.98640625</v>
      </c>
      <c r="D905">
        <f>0</f>
        <v>0</v>
      </c>
      <c r="E905">
        <f>66709436/10^5</f>
        <v>667.09436000000005</v>
      </c>
      <c r="F905">
        <f>0</f>
        <v>0</v>
      </c>
      <c r="G905">
        <f>231300354/10^6</f>
        <v>231.300354</v>
      </c>
      <c r="H905">
        <f>0</f>
        <v>0</v>
      </c>
      <c r="I905">
        <f>-40491013/10^6</f>
        <v>-40.491013000000002</v>
      </c>
      <c r="J905">
        <f>0</f>
        <v>0</v>
      </c>
    </row>
    <row r="906" spans="1:10" x14ac:dyDescent="0.25">
      <c r="A906" t="s">
        <v>915</v>
      </c>
      <c r="B906" t="s">
        <v>11</v>
      </c>
      <c r="C906">
        <v>117.76728906300001</v>
      </c>
      <c r="D906">
        <f>0</f>
        <v>0</v>
      </c>
      <c r="E906">
        <f>668350708/10^6</f>
        <v>668.35070800000005</v>
      </c>
      <c r="F906">
        <f>0</f>
        <v>0</v>
      </c>
      <c r="G906">
        <f>231281921/10^6</f>
        <v>231.28192100000001</v>
      </c>
      <c r="H906">
        <f>0</f>
        <v>0</v>
      </c>
      <c r="I906">
        <f>-40730049/10^6</f>
        <v>-40.730049000000001</v>
      </c>
      <c r="J906">
        <f>0</f>
        <v>0</v>
      </c>
    </row>
    <row r="907" spans="1:10" x14ac:dyDescent="0.25">
      <c r="A907" t="s">
        <v>916</v>
      </c>
      <c r="B907" t="s">
        <v>11</v>
      </c>
      <c r="C907">
        <v>117.509945313</v>
      </c>
      <c r="D907">
        <f>0</f>
        <v>0</v>
      </c>
      <c r="E907">
        <f>670021484/10^6</f>
        <v>670.02148399999999</v>
      </c>
      <c r="F907">
        <f>0</f>
        <v>0</v>
      </c>
      <c r="G907">
        <f>231255386/10^6</f>
        <v>231.25538599999999</v>
      </c>
      <c r="H907">
        <f>0</f>
        <v>0</v>
      </c>
      <c r="I907">
        <f>-41207733/10^6</f>
        <v>-41.207732999999998</v>
      </c>
      <c r="J907">
        <f>0</f>
        <v>0</v>
      </c>
    </row>
    <row r="908" spans="1:10" x14ac:dyDescent="0.25">
      <c r="A908" t="s">
        <v>917</v>
      </c>
      <c r="B908" t="s">
        <v>11</v>
      </c>
      <c r="C908">
        <v>117.23186718800001</v>
      </c>
      <c r="D908">
        <f>0</f>
        <v>0</v>
      </c>
      <c r="E908">
        <f>671479553/10^6</f>
        <v>671.47955300000001</v>
      </c>
      <c r="F908">
        <f>0</f>
        <v>0</v>
      </c>
      <c r="G908">
        <f>231201965/10^6</f>
        <v>231.201965</v>
      </c>
      <c r="H908">
        <f>0</f>
        <v>0</v>
      </c>
      <c r="I908">
        <f>-41159527/10^6</f>
        <v>-41.159526999999997</v>
      </c>
      <c r="J908">
        <f>0</f>
        <v>0</v>
      </c>
    </row>
    <row r="909" spans="1:10" x14ac:dyDescent="0.25">
      <c r="A909" t="s">
        <v>918</v>
      </c>
      <c r="B909" t="s">
        <v>11</v>
      </c>
      <c r="C909">
        <v>116.91830468800001</v>
      </c>
      <c r="D909">
        <f>0</f>
        <v>0</v>
      </c>
      <c r="E909">
        <f>673088928/10^6</f>
        <v>673.08892800000001</v>
      </c>
      <c r="F909">
        <f>0</f>
        <v>0</v>
      </c>
      <c r="G909">
        <f>231151871/10^6</f>
        <v>231.151871</v>
      </c>
      <c r="H909">
        <f>0</f>
        <v>0</v>
      </c>
      <c r="I909">
        <f>-41036819/10^6</f>
        <v>-41.036819000000001</v>
      </c>
      <c r="J909">
        <f>0</f>
        <v>0</v>
      </c>
    </row>
    <row r="910" spans="1:10" x14ac:dyDescent="0.25">
      <c r="A910" t="s">
        <v>919</v>
      </c>
      <c r="B910" t="s">
        <v>11</v>
      </c>
      <c r="C910">
        <v>116.558539063</v>
      </c>
      <c r="D910">
        <f>0</f>
        <v>0</v>
      </c>
      <c r="E910">
        <f>675382019/10^6</f>
        <v>675.38201900000001</v>
      </c>
      <c r="F910">
        <f>0</f>
        <v>0</v>
      </c>
      <c r="G910">
        <f>231115677/10^6</f>
        <v>231.11567700000001</v>
      </c>
      <c r="H910">
        <f>0</f>
        <v>0</v>
      </c>
      <c r="I910">
        <f>-41607506/10^6</f>
        <v>-41.607506000000001</v>
      </c>
      <c r="J910">
        <f>0</f>
        <v>0</v>
      </c>
    </row>
    <row r="911" spans="1:10" x14ac:dyDescent="0.25">
      <c r="A911" t="s">
        <v>920</v>
      </c>
      <c r="B911" t="s">
        <v>11</v>
      </c>
      <c r="C911">
        <v>0</v>
      </c>
      <c r="D911">
        <f>2</f>
        <v>2</v>
      </c>
      <c r="F911">
        <f>2</f>
        <v>2</v>
      </c>
      <c r="H911">
        <f>2</f>
        <v>2</v>
      </c>
      <c r="J911">
        <f>2</f>
        <v>2</v>
      </c>
    </row>
    <row r="912" spans="1:10" x14ac:dyDescent="0.25">
      <c r="A912" t="s">
        <v>921</v>
      </c>
      <c r="B912" t="s">
        <v>11</v>
      </c>
      <c r="C912">
        <v>115.7156875</v>
      </c>
      <c r="D912">
        <f>0</f>
        <v>0</v>
      </c>
      <c r="E912">
        <f>680022522/10^6</f>
        <v>680.02252199999998</v>
      </c>
      <c r="F912">
        <f>0</f>
        <v>0</v>
      </c>
      <c r="G912">
        <f>23088092/10^5</f>
        <v>230.88092</v>
      </c>
      <c r="H912">
        <f>0</f>
        <v>0</v>
      </c>
      <c r="I912">
        <f>-42141407/10^6</f>
        <v>-42.141407000000001</v>
      </c>
      <c r="J912">
        <f>0</f>
        <v>0</v>
      </c>
    </row>
    <row r="913" spans="1:10" x14ac:dyDescent="0.25">
      <c r="A913" t="s">
        <v>922</v>
      </c>
      <c r="B913" t="s">
        <v>11</v>
      </c>
      <c r="C913">
        <v>115.383117188</v>
      </c>
      <c r="D913">
        <f>0</f>
        <v>0</v>
      </c>
      <c r="E913">
        <f>681623657/10^6</f>
        <v>681.62365699999998</v>
      </c>
      <c r="F913">
        <f>0</f>
        <v>0</v>
      </c>
      <c r="G913">
        <f>230688766/10^6</f>
        <v>230.68876599999999</v>
      </c>
      <c r="H913">
        <f>0</f>
        <v>0</v>
      </c>
      <c r="I913">
        <f>-42539482/10^6</f>
        <v>-42.539482</v>
      </c>
      <c r="J913">
        <f>0</f>
        <v>0</v>
      </c>
    </row>
    <row r="914" spans="1:10" x14ac:dyDescent="0.25">
      <c r="A914" t="s">
        <v>923</v>
      </c>
      <c r="B914" t="s">
        <v>11</v>
      </c>
      <c r="C914">
        <v>115.163242188</v>
      </c>
      <c r="D914">
        <f>0</f>
        <v>0</v>
      </c>
      <c r="E914">
        <f>682742615/10^6</f>
        <v>682.742615</v>
      </c>
      <c r="F914">
        <f>0</f>
        <v>0</v>
      </c>
      <c r="G914">
        <f>23060495/10^5</f>
        <v>230.60495</v>
      </c>
      <c r="H914">
        <f>0</f>
        <v>0</v>
      </c>
      <c r="I914">
        <f>-4258876/10^5</f>
        <v>-42.588760000000001</v>
      </c>
      <c r="J914">
        <f>0</f>
        <v>0</v>
      </c>
    </row>
    <row r="915" spans="1:10" x14ac:dyDescent="0.25">
      <c r="A915" t="s">
        <v>924</v>
      </c>
      <c r="B915" t="s">
        <v>11</v>
      </c>
      <c r="C915">
        <v>114.89516406300001</v>
      </c>
      <c r="D915">
        <f>0</f>
        <v>0</v>
      </c>
      <c r="E915">
        <f>684382263/10^6</f>
        <v>684.38226299999997</v>
      </c>
      <c r="F915">
        <f>0</f>
        <v>0</v>
      </c>
      <c r="G915">
        <f>230563705/10^6</f>
        <v>230.563705</v>
      </c>
      <c r="H915">
        <f>0</f>
        <v>0</v>
      </c>
      <c r="I915">
        <f>-42838463/10^6</f>
        <v>-42.838462999999997</v>
      </c>
      <c r="J915">
        <f>0</f>
        <v>0</v>
      </c>
    </row>
    <row r="916" spans="1:10" x14ac:dyDescent="0.25">
      <c r="A916" t="s">
        <v>925</v>
      </c>
      <c r="B916" t="s">
        <v>11</v>
      </c>
      <c r="C916">
        <v>114.6321875</v>
      </c>
      <c r="D916">
        <f>0</f>
        <v>0</v>
      </c>
      <c r="E916">
        <f>685815918/10^6</f>
        <v>685.81591800000001</v>
      </c>
      <c r="F916">
        <f>0</f>
        <v>0</v>
      </c>
      <c r="G916">
        <f>230458755/10^6</f>
        <v>230.458755</v>
      </c>
      <c r="H916">
        <f>0</f>
        <v>0</v>
      </c>
      <c r="I916">
        <f>-43205257/10^6</f>
        <v>-43.205257000000003</v>
      </c>
      <c r="J916">
        <f>0</f>
        <v>0</v>
      </c>
    </row>
    <row r="917" spans="1:10" x14ac:dyDescent="0.25">
      <c r="A917" t="s">
        <v>926</v>
      </c>
      <c r="B917" t="s">
        <v>11</v>
      </c>
      <c r="C917">
        <v>114.5109375</v>
      </c>
      <c r="D917">
        <f>0</f>
        <v>0</v>
      </c>
      <c r="E917">
        <f>686430603/10^6</f>
        <v>686.43060300000002</v>
      </c>
      <c r="F917">
        <f>0</f>
        <v>0</v>
      </c>
      <c r="G917">
        <f>230406372/10^6</f>
        <v>230.406372</v>
      </c>
      <c r="H917">
        <f>0</f>
        <v>0</v>
      </c>
      <c r="I917">
        <f>-43219181/10^6</f>
        <v>-43.219180999999999</v>
      </c>
      <c r="J917">
        <f>0</f>
        <v>0</v>
      </c>
    </row>
    <row r="918" spans="1:10" x14ac:dyDescent="0.25">
      <c r="A918" t="s">
        <v>927</v>
      </c>
      <c r="B918" t="s">
        <v>11</v>
      </c>
      <c r="C918">
        <v>114.41369531300001</v>
      </c>
      <c r="D918">
        <f>0</f>
        <v>0</v>
      </c>
      <c r="E918">
        <f>686783386/10^6</f>
        <v>686.78338599999995</v>
      </c>
      <c r="F918">
        <f>0</f>
        <v>0</v>
      </c>
      <c r="G918">
        <f>230305191/10^6</f>
        <v>230.30519100000001</v>
      </c>
      <c r="H918">
        <f>0</f>
        <v>0</v>
      </c>
      <c r="I918">
        <f>-43225033/10^6</f>
        <v>-43.225033000000003</v>
      </c>
      <c r="J918">
        <f>0</f>
        <v>0</v>
      </c>
    </row>
    <row r="919" spans="1:10" x14ac:dyDescent="0.25">
      <c r="A919" t="s">
        <v>928</v>
      </c>
      <c r="B919" t="s">
        <v>11</v>
      </c>
      <c r="C919">
        <v>114.262046875</v>
      </c>
      <c r="D919">
        <f>0</f>
        <v>0</v>
      </c>
      <c r="E919">
        <f>68744519/10^5</f>
        <v>687.44519000000003</v>
      </c>
      <c r="F919">
        <f>0</f>
        <v>0</v>
      </c>
      <c r="G919">
        <f>230195572/10^6</f>
        <v>230.195572</v>
      </c>
      <c r="H919">
        <f>0</f>
        <v>0</v>
      </c>
      <c r="I919">
        <f>-43436874/10^6</f>
        <v>-43.436874000000003</v>
      </c>
      <c r="J919">
        <f>0</f>
        <v>0</v>
      </c>
    </row>
    <row r="920" spans="1:10" x14ac:dyDescent="0.25">
      <c r="A920" t="s">
        <v>929</v>
      </c>
      <c r="B920" t="s">
        <v>11</v>
      </c>
      <c r="C920">
        <v>114.310976563</v>
      </c>
      <c r="D920">
        <f>0</f>
        <v>0</v>
      </c>
      <c r="E920">
        <f>687512085/10^6</f>
        <v>687.51208499999996</v>
      </c>
      <c r="F920">
        <f>0</f>
        <v>0</v>
      </c>
      <c r="G920">
        <f>230301575/10^6</f>
        <v>230.30157500000001</v>
      </c>
      <c r="H920">
        <f>0</f>
        <v>0</v>
      </c>
      <c r="I920">
        <f>-43622299/10^6</f>
        <v>-43.622298999999998</v>
      </c>
      <c r="J920">
        <f>0</f>
        <v>0</v>
      </c>
    </row>
    <row r="921" spans="1:10" x14ac:dyDescent="0.25">
      <c r="A921" t="s">
        <v>930</v>
      </c>
      <c r="B921" t="s">
        <v>11</v>
      </c>
      <c r="C921">
        <v>114.58571093800001</v>
      </c>
      <c r="D921">
        <f>0</f>
        <v>0</v>
      </c>
      <c r="E921">
        <f>68595697/10^5</f>
        <v>685.95696999999996</v>
      </c>
      <c r="F921">
        <f>0</f>
        <v>0</v>
      </c>
      <c r="G921">
        <f>230423141/10^6</f>
        <v>230.42314099999999</v>
      </c>
      <c r="H921">
        <f>0</f>
        <v>0</v>
      </c>
      <c r="I921">
        <f>-43170197/10^6</f>
        <v>-43.170197000000002</v>
      </c>
      <c r="J921">
        <f>0</f>
        <v>0</v>
      </c>
    </row>
    <row r="922" spans="1:10" x14ac:dyDescent="0.25">
      <c r="A922" t="s">
        <v>931</v>
      </c>
      <c r="B922" t="s">
        <v>11</v>
      </c>
      <c r="C922">
        <v>0</v>
      </c>
      <c r="D922">
        <f>2</f>
        <v>2</v>
      </c>
      <c r="F922">
        <f>2</f>
        <v>2</v>
      </c>
      <c r="H922">
        <f>2</f>
        <v>2</v>
      </c>
      <c r="J922">
        <f>2</f>
        <v>2</v>
      </c>
    </row>
    <row r="923" spans="1:10" x14ac:dyDescent="0.25">
      <c r="A923" t="s">
        <v>932</v>
      </c>
      <c r="B923" t="s">
        <v>11</v>
      </c>
      <c r="C923">
        <v>115.054023438</v>
      </c>
      <c r="D923">
        <f>0</f>
        <v>0</v>
      </c>
      <c r="E923">
        <f>683717102/10^6</f>
        <v>683.71710199999995</v>
      </c>
      <c r="F923">
        <f>0</f>
        <v>0</v>
      </c>
      <c r="G923">
        <f>230654831/10^6</f>
        <v>230.654831</v>
      </c>
      <c r="H923">
        <f>0</f>
        <v>0</v>
      </c>
      <c r="I923">
        <f>-42967552/10^6</f>
        <v>-42.967551999999998</v>
      </c>
      <c r="J923">
        <f>0</f>
        <v>0</v>
      </c>
    </row>
    <row r="924" spans="1:10" x14ac:dyDescent="0.25">
      <c r="A924" t="s">
        <v>933</v>
      </c>
      <c r="B924" t="s">
        <v>11</v>
      </c>
      <c r="C924">
        <v>115.301734375</v>
      </c>
      <c r="D924">
        <f>0</f>
        <v>0</v>
      </c>
      <c r="E924">
        <f>682480835/10^6</f>
        <v>682.48083499999996</v>
      </c>
      <c r="F924">
        <f>0</f>
        <v>0</v>
      </c>
      <c r="G924">
        <f>230729065/10^6</f>
        <v>230.72906499999999</v>
      </c>
      <c r="H924">
        <f>0</f>
        <v>0</v>
      </c>
      <c r="I924">
        <f>-43004536/10^6</f>
        <v>-43.004536000000002</v>
      </c>
      <c r="J924">
        <f>0</f>
        <v>0</v>
      </c>
    </row>
    <row r="925" spans="1:10" x14ac:dyDescent="0.25">
      <c r="A925" t="s">
        <v>934</v>
      </c>
      <c r="B925" t="s">
        <v>11</v>
      </c>
      <c r="C925">
        <v>115.57625</v>
      </c>
      <c r="D925">
        <f>0</f>
        <v>0</v>
      </c>
      <c r="E925">
        <f>680923828/10^6</f>
        <v>680.92382799999996</v>
      </c>
      <c r="F925">
        <f>0</f>
        <v>0</v>
      </c>
      <c r="G925">
        <f>230790939/10^6</f>
        <v>230.79093900000001</v>
      </c>
      <c r="H925">
        <f>0</f>
        <v>0</v>
      </c>
      <c r="I925">
        <f>-42796646/10^6</f>
        <v>-42.796646000000003</v>
      </c>
      <c r="J925">
        <f>0</f>
        <v>0</v>
      </c>
    </row>
    <row r="926" spans="1:10" x14ac:dyDescent="0.25">
      <c r="A926" t="s">
        <v>935</v>
      </c>
      <c r="B926" t="s">
        <v>11</v>
      </c>
      <c r="C926">
        <v>115.900898438</v>
      </c>
      <c r="D926">
        <f>0</f>
        <v>0</v>
      </c>
      <c r="E926">
        <f>679166382/10^6</f>
        <v>679.166382</v>
      </c>
      <c r="F926">
        <f>0</f>
        <v>0</v>
      </c>
      <c r="G926">
        <f>23087529/10^5</f>
        <v>230.87529000000001</v>
      </c>
      <c r="H926">
        <f>0</f>
        <v>0</v>
      </c>
      <c r="I926">
        <f>-4265591/10^5</f>
        <v>-42.655909999999999</v>
      </c>
      <c r="J926">
        <f>0</f>
        <v>0</v>
      </c>
    </row>
    <row r="927" spans="1:10" x14ac:dyDescent="0.25">
      <c r="A927" t="s">
        <v>936</v>
      </c>
      <c r="B927" t="s">
        <v>11</v>
      </c>
      <c r="C927">
        <v>116.32315625</v>
      </c>
      <c r="D927">
        <f>0</f>
        <v>0</v>
      </c>
      <c r="E927">
        <f>676775818/10^6</f>
        <v>676.77581799999996</v>
      </c>
      <c r="F927">
        <f>0</f>
        <v>0</v>
      </c>
      <c r="G927">
        <f>230966537/10^6</f>
        <v>230.96653699999999</v>
      </c>
      <c r="H927">
        <f>0</f>
        <v>0</v>
      </c>
      <c r="I927">
        <f>-42339184/10^6</f>
        <v>-42.339184000000003</v>
      </c>
      <c r="J927">
        <f>0</f>
        <v>0</v>
      </c>
    </row>
    <row r="928" spans="1:10" x14ac:dyDescent="0.25">
      <c r="A928" t="s">
        <v>937</v>
      </c>
      <c r="B928" t="s">
        <v>11</v>
      </c>
      <c r="C928">
        <v>116.850132813</v>
      </c>
      <c r="D928">
        <f>0</f>
        <v>0</v>
      </c>
      <c r="E928">
        <f>673752197/10^6</f>
        <v>673.75219700000002</v>
      </c>
      <c r="F928">
        <f>0</f>
        <v>0</v>
      </c>
      <c r="G928">
        <f>231053711/10^6</f>
        <v>231.05371099999999</v>
      </c>
      <c r="H928">
        <f>0</f>
        <v>0</v>
      </c>
      <c r="I928">
        <f>-41959167/10^6</f>
        <v>-41.959167000000001</v>
      </c>
      <c r="J928">
        <f>0</f>
        <v>0</v>
      </c>
    </row>
    <row r="929" spans="1:10" x14ac:dyDescent="0.25">
      <c r="A929" t="s">
        <v>938</v>
      </c>
      <c r="B929" t="s">
        <v>11</v>
      </c>
      <c r="C929">
        <v>117.46686718800001</v>
      </c>
      <c r="D929">
        <f>0</f>
        <v>0</v>
      </c>
      <c r="E929">
        <f>670233704/10^6</f>
        <v>670.23370399999999</v>
      </c>
      <c r="F929">
        <f>0</f>
        <v>0</v>
      </c>
      <c r="G929">
        <f>231139633/10^6</f>
        <v>231.139633</v>
      </c>
      <c r="H929">
        <f>0</f>
        <v>0</v>
      </c>
      <c r="I929">
        <f>-41635925/10^6</f>
        <v>-41.635925</v>
      </c>
      <c r="J929">
        <f>0</f>
        <v>0</v>
      </c>
    </row>
    <row r="930" spans="1:10" x14ac:dyDescent="0.25">
      <c r="A930" t="s">
        <v>939</v>
      </c>
      <c r="B930" t="s">
        <v>11</v>
      </c>
      <c r="C930">
        <v>118.1701875</v>
      </c>
      <c r="D930">
        <f>0</f>
        <v>0</v>
      </c>
      <c r="E930">
        <f>666081909/10^6</f>
        <v>666.081909</v>
      </c>
      <c r="F930">
        <f>0</f>
        <v>0</v>
      </c>
      <c r="G930">
        <f>2312276/10^4</f>
        <v>231.2276</v>
      </c>
      <c r="H930">
        <f>0</f>
        <v>0</v>
      </c>
      <c r="I930">
        <f>-41076996/10^6</f>
        <v>-41.076996000000001</v>
      </c>
      <c r="J930">
        <f>0</f>
        <v>0</v>
      </c>
    </row>
    <row r="931" spans="1:10" x14ac:dyDescent="0.25">
      <c r="A931" t="s">
        <v>940</v>
      </c>
      <c r="B931" t="s">
        <v>11</v>
      </c>
      <c r="C931">
        <v>118.91276562500001</v>
      </c>
      <c r="D931">
        <f>0</f>
        <v>0</v>
      </c>
      <c r="E931">
        <f>661936462/10^6</f>
        <v>661.93646200000001</v>
      </c>
      <c r="F931">
        <f>0</f>
        <v>0</v>
      </c>
      <c r="G931">
        <f>231314621/10^6</f>
        <v>231.31462099999999</v>
      </c>
      <c r="H931">
        <f>0</f>
        <v>0</v>
      </c>
      <c r="I931">
        <f>-40771061/10^6</f>
        <v>-40.771061000000003</v>
      </c>
      <c r="J931">
        <f>0</f>
        <v>0</v>
      </c>
    </row>
    <row r="932" spans="1:10" x14ac:dyDescent="0.25">
      <c r="A932" t="s">
        <v>941</v>
      </c>
      <c r="B932" t="s">
        <v>11</v>
      </c>
      <c r="C932">
        <v>119.66460156300001</v>
      </c>
      <c r="D932">
        <f>0</f>
        <v>0</v>
      </c>
      <c r="E932">
        <f>657705811/10^6</f>
        <v>657.70581100000004</v>
      </c>
      <c r="F932">
        <f>0</f>
        <v>0</v>
      </c>
      <c r="G932">
        <f>231388885/10^6</f>
        <v>231.38888499999999</v>
      </c>
      <c r="H932">
        <f>0</f>
        <v>0</v>
      </c>
      <c r="I932">
        <f>-40452919/10^6</f>
        <v>-40.452919000000001</v>
      </c>
      <c r="J932">
        <f>0</f>
        <v>0</v>
      </c>
    </row>
    <row r="933" spans="1:10" x14ac:dyDescent="0.25">
      <c r="A933" t="s">
        <v>942</v>
      </c>
      <c r="B933" t="s">
        <v>11</v>
      </c>
      <c r="C933">
        <v>120.40134375</v>
      </c>
      <c r="D933">
        <f>0</f>
        <v>0</v>
      </c>
      <c r="E933">
        <f>653397278/10^6</f>
        <v>653.39727800000003</v>
      </c>
      <c r="F933">
        <f>0</f>
        <v>0</v>
      </c>
      <c r="G933">
        <f>23143663/10^5</f>
        <v>231.43663000000001</v>
      </c>
      <c r="H933">
        <f>0</f>
        <v>0</v>
      </c>
      <c r="I933">
        <f>-39812721/10^6</f>
        <v>-39.812721000000003</v>
      </c>
      <c r="J933">
        <f>0</f>
        <v>0</v>
      </c>
    </row>
    <row r="934" spans="1:10" x14ac:dyDescent="0.25">
      <c r="A934" t="s">
        <v>943</v>
      </c>
      <c r="B934" t="s">
        <v>11</v>
      </c>
      <c r="C934">
        <v>120.988804688</v>
      </c>
      <c r="D934">
        <f>0</f>
        <v>0</v>
      </c>
      <c r="E934">
        <f>649984497/10^6</f>
        <v>649.98449700000003</v>
      </c>
      <c r="F934">
        <f>0</f>
        <v>0</v>
      </c>
      <c r="G934">
        <f>231447784/10^6</f>
        <v>231.44778400000001</v>
      </c>
      <c r="H934">
        <f>0</f>
        <v>0</v>
      </c>
      <c r="I934">
        <f>-39382137/10^6</f>
        <v>-39.382137</v>
      </c>
      <c r="J934">
        <f>0</f>
        <v>0</v>
      </c>
    </row>
    <row r="935" spans="1:10" x14ac:dyDescent="0.25">
      <c r="A935" t="s">
        <v>944</v>
      </c>
      <c r="B935" t="s">
        <v>11</v>
      </c>
      <c r="C935">
        <v>121.339039063</v>
      </c>
      <c r="D935">
        <f>0</f>
        <v>0</v>
      </c>
      <c r="E935">
        <f>647860962/10^6</f>
        <v>647.86096199999997</v>
      </c>
      <c r="F935">
        <f>0</f>
        <v>0</v>
      </c>
      <c r="G935">
        <f>231468689/10^6</f>
        <v>231.46868900000001</v>
      </c>
      <c r="H935">
        <f>0</f>
        <v>0</v>
      </c>
      <c r="I935">
        <f>-38964329/10^6</f>
        <v>-38.964328999999999</v>
      </c>
      <c r="J935">
        <f>0</f>
        <v>0</v>
      </c>
    </row>
    <row r="936" spans="1:10" x14ac:dyDescent="0.25">
      <c r="A936" t="s">
        <v>945</v>
      </c>
      <c r="B936" t="s">
        <v>11</v>
      </c>
      <c r="C936">
        <v>121.507226563</v>
      </c>
      <c r="D936">
        <f>0</f>
        <v>0</v>
      </c>
      <c r="E936">
        <f>646942078/10^6</f>
        <v>646.94207800000004</v>
      </c>
      <c r="F936">
        <f>0</f>
        <v>0</v>
      </c>
      <c r="G936">
        <f>231515778/10^6</f>
        <v>231.51577800000001</v>
      </c>
      <c r="H936">
        <f>0</f>
        <v>0</v>
      </c>
      <c r="I936">
        <f>-38633507/10^6</f>
        <v>-38.633507000000002</v>
      </c>
      <c r="J936">
        <f>0</f>
        <v>0</v>
      </c>
    </row>
    <row r="937" spans="1:10" x14ac:dyDescent="0.25">
      <c r="A937" t="s">
        <v>946</v>
      </c>
      <c r="B937" t="s">
        <v>11</v>
      </c>
      <c r="C937">
        <v>121.564515625</v>
      </c>
      <c r="D937">
        <f>0</f>
        <v>0</v>
      </c>
      <c r="E937">
        <f>646813721/10^6</f>
        <v>646.81372099999999</v>
      </c>
      <c r="F937">
        <f>0</f>
        <v>0</v>
      </c>
      <c r="G937">
        <f>231563766/10^6</f>
        <v>231.56376599999999</v>
      </c>
      <c r="H937">
        <f>0</f>
        <v>0</v>
      </c>
      <c r="I937">
        <f>-38694977/10^6</f>
        <v>-38.694977000000002</v>
      </c>
      <c r="J937">
        <f>0</f>
        <v>0</v>
      </c>
    </row>
    <row r="938" spans="1:10" x14ac:dyDescent="0.25">
      <c r="A938" t="s">
        <v>947</v>
      </c>
      <c r="B938" t="s">
        <v>11</v>
      </c>
      <c r="C938">
        <v>0</v>
      </c>
      <c r="D938">
        <f>2</f>
        <v>2</v>
      </c>
      <c r="F938">
        <f>2</f>
        <v>2</v>
      </c>
      <c r="H938">
        <f>2</f>
        <v>2</v>
      </c>
      <c r="J938">
        <f>2</f>
        <v>2</v>
      </c>
    </row>
    <row r="939" spans="1:10" x14ac:dyDescent="0.25">
      <c r="A939" t="s">
        <v>948</v>
      </c>
      <c r="B939" t="s">
        <v>11</v>
      </c>
      <c r="C939">
        <v>121.56752343800001</v>
      </c>
      <c r="D939">
        <f>0</f>
        <v>0</v>
      </c>
      <c r="E939">
        <f>647151367/10^6</f>
        <v>647.15136700000005</v>
      </c>
      <c r="F939">
        <f>0</f>
        <v>0</v>
      </c>
      <c r="G939">
        <f>231659164/10^6</f>
        <v>231.659164</v>
      </c>
      <c r="H939">
        <f>0</f>
        <v>0</v>
      </c>
      <c r="I939">
        <f>-38817352/10^6</f>
        <v>-38.817352</v>
      </c>
      <c r="J939">
        <f>0</f>
        <v>0</v>
      </c>
    </row>
    <row r="940" spans="1:10" x14ac:dyDescent="0.25">
      <c r="A940" t="s">
        <v>949</v>
      </c>
      <c r="B940" t="s">
        <v>11</v>
      </c>
      <c r="C940">
        <v>121.51321874999999</v>
      </c>
      <c r="D940">
        <f>0</f>
        <v>0</v>
      </c>
      <c r="E940">
        <f>647455078/10^6</f>
        <v>647.45507799999996</v>
      </c>
      <c r="F940">
        <f>0</f>
        <v>0</v>
      </c>
      <c r="G940">
        <f>231689453/10^6</f>
        <v>231.68945299999999</v>
      </c>
      <c r="H940">
        <f>0</f>
        <v>0</v>
      </c>
      <c r="I940">
        <f>-38735584/10^6</f>
        <v>-38.735584000000003</v>
      </c>
      <c r="J940">
        <f>0</f>
        <v>0</v>
      </c>
    </row>
    <row r="941" spans="1:10" x14ac:dyDescent="0.25">
      <c r="A941" t="s">
        <v>950</v>
      </c>
      <c r="B941" t="s">
        <v>11</v>
      </c>
      <c r="C941">
        <v>121.359492188</v>
      </c>
      <c r="D941">
        <f>0</f>
        <v>0</v>
      </c>
      <c r="E941">
        <f>648371765/10^6</f>
        <v>648.37176499999998</v>
      </c>
      <c r="F941">
        <f>0</f>
        <v>0</v>
      </c>
      <c r="G941">
        <f>231706818/10^6</f>
        <v>231.706818</v>
      </c>
      <c r="H941">
        <f>0</f>
        <v>0</v>
      </c>
      <c r="I941">
        <f>-3877795/10^5</f>
        <v>-38.777949999999997</v>
      </c>
      <c r="J941">
        <f>0</f>
        <v>0</v>
      </c>
    </row>
    <row r="942" spans="1:10" x14ac:dyDescent="0.25">
      <c r="A942" t="s">
        <v>951</v>
      </c>
      <c r="B942" t="s">
        <v>11</v>
      </c>
      <c r="C942">
        <v>121.1348125</v>
      </c>
      <c r="D942">
        <f>0</f>
        <v>0</v>
      </c>
      <c r="E942">
        <f>649700134/10^6</f>
        <v>649.70013400000005</v>
      </c>
      <c r="F942">
        <f>0</f>
        <v>0</v>
      </c>
      <c r="G942">
        <f>231704269/10^6</f>
        <v>231.70426900000001</v>
      </c>
      <c r="H942">
        <f>0</f>
        <v>0</v>
      </c>
      <c r="I942">
        <f>-38980591/10^6</f>
        <v>-38.980590999999997</v>
      </c>
      <c r="J942">
        <f>0</f>
        <v>0</v>
      </c>
    </row>
    <row r="943" spans="1:10" x14ac:dyDescent="0.25">
      <c r="A943" t="s">
        <v>952</v>
      </c>
      <c r="B943" t="s">
        <v>11</v>
      </c>
      <c r="C943">
        <v>120.867429688</v>
      </c>
      <c r="D943">
        <f>0</f>
        <v>0</v>
      </c>
      <c r="E943">
        <f>65112738/10^5</f>
        <v>651.12738000000002</v>
      </c>
      <c r="F943">
        <f>0</f>
        <v>0</v>
      </c>
      <c r="G943">
        <f>231692719/10^6</f>
        <v>231.69271900000001</v>
      </c>
      <c r="H943">
        <f>0</f>
        <v>0</v>
      </c>
      <c r="I943">
        <f>-38956879/10^6</f>
        <v>-38.956879000000001</v>
      </c>
      <c r="J943">
        <f>0</f>
        <v>0</v>
      </c>
    </row>
    <row r="944" spans="1:10" x14ac:dyDescent="0.25">
      <c r="A944" t="s">
        <v>953</v>
      </c>
      <c r="B944" t="s">
        <v>11</v>
      </c>
      <c r="C944">
        <v>120.53812499999999</v>
      </c>
      <c r="D944">
        <f>0</f>
        <v>0</v>
      </c>
      <c r="E944">
        <f>652981506/10^6</f>
        <v>652.98150599999997</v>
      </c>
      <c r="F944">
        <f>0</f>
        <v>0</v>
      </c>
      <c r="G944">
        <f>231665924/10^6</f>
        <v>231.66592399999999</v>
      </c>
      <c r="H944">
        <f>0</f>
        <v>0</v>
      </c>
      <c r="I944">
        <f>-3900927/10^5</f>
        <v>-39.009270000000001</v>
      </c>
      <c r="J944">
        <f>0</f>
        <v>0</v>
      </c>
    </row>
    <row r="945" spans="1:10" x14ac:dyDescent="0.25">
      <c r="A945" t="s">
        <v>954</v>
      </c>
      <c r="B945" t="s">
        <v>11</v>
      </c>
      <c r="C945">
        <v>120.15402343800001</v>
      </c>
      <c r="D945">
        <f>0</f>
        <v>0</v>
      </c>
      <c r="E945">
        <f>655074036/10^6</f>
        <v>655.07403599999998</v>
      </c>
      <c r="F945">
        <f>0</f>
        <v>0</v>
      </c>
      <c r="G945">
        <f>231620773/10^6</f>
        <v>231.62077300000001</v>
      </c>
      <c r="H945">
        <f>0</f>
        <v>0</v>
      </c>
      <c r="I945">
        <f>-39207039/10^6</f>
        <v>-39.207039000000002</v>
      </c>
      <c r="J945">
        <f>0</f>
        <v>0</v>
      </c>
    </row>
    <row r="946" spans="1:10" x14ac:dyDescent="0.25">
      <c r="A946" t="s">
        <v>955</v>
      </c>
      <c r="B946" t="s">
        <v>11</v>
      </c>
      <c r="C946">
        <v>119.726984375</v>
      </c>
      <c r="D946">
        <f>0</f>
        <v>0</v>
      </c>
      <c r="E946">
        <f>657350464/10^6</f>
        <v>657.35046399999999</v>
      </c>
      <c r="F946">
        <f>0</f>
        <v>0</v>
      </c>
      <c r="G946">
        <f>231554688/10^6</f>
        <v>231.554688</v>
      </c>
      <c r="H946">
        <f>0</f>
        <v>0</v>
      </c>
      <c r="I946">
        <f>-39415833/10^6</f>
        <v>-39.415832999999999</v>
      </c>
      <c r="J946">
        <f>0</f>
        <v>0</v>
      </c>
    </row>
    <row r="947" spans="1:10" x14ac:dyDescent="0.25">
      <c r="A947" t="s">
        <v>956</v>
      </c>
      <c r="B947" t="s">
        <v>11</v>
      </c>
      <c r="C947">
        <v>119.24727343800001</v>
      </c>
      <c r="D947">
        <f>0</f>
        <v>0</v>
      </c>
      <c r="E947">
        <f>660025452/10^6</f>
        <v>660.02545199999997</v>
      </c>
      <c r="F947">
        <f>0</f>
        <v>0</v>
      </c>
      <c r="G947">
        <f>231470947/10^6</f>
        <v>231.470947</v>
      </c>
      <c r="H947">
        <f>0</f>
        <v>0</v>
      </c>
      <c r="I947">
        <f>-39883503/10^6</f>
        <v>-39.883502999999997</v>
      </c>
      <c r="J947">
        <f>0</f>
        <v>0</v>
      </c>
    </row>
    <row r="948" spans="1:10" x14ac:dyDescent="0.25">
      <c r="A948" t="s">
        <v>957</v>
      </c>
      <c r="B948" t="s">
        <v>11</v>
      </c>
      <c r="C948">
        <v>118.76</v>
      </c>
      <c r="D948">
        <f>0</f>
        <v>0</v>
      </c>
      <c r="E948">
        <f>662586975/10^6</f>
        <v>662.58697500000005</v>
      </c>
      <c r="F948">
        <f>0</f>
        <v>0</v>
      </c>
      <c r="G948">
        <f>231374405/10^6</f>
        <v>231.374405</v>
      </c>
      <c r="H948">
        <f>0</f>
        <v>0</v>
      </c>
      <c r="I948">
        <f>-40122955/10^6</f>
        <v>-40.122954999999997</v>
      </c>
      <c r="J948">
        <f>0</f>
        <v>0</v>
      </c>
    </row>
    <row r="949" spans="1:10" x14ac:dyDescent="0.25">
      <c r="A949" t="s">
        <v>958</v>
      </c>
      <c r="B949" t="s">
        <v>11</v>
      </c>
      <c r="C949">
        <v>118.24878124999999</v>
      </c>
      <c r="D949">
        <f>0</f>
        <v>0</v>
      </c>
      <c r="E949">
        <f>665262207/10^6</f>
        <v>665.26220699999999</v>
      </c>
      <c r="F949">
        <f>0</f>
        <v>0</v>
      </c>
      <c r="G949">
        <f>231265839/10^6</f>
        <v>231.265839</v>
      </c>
      <c r="H949">
        <f>0</f>
        <v>0</v>
      </c>
      <c r="I949">
        <f>-40117462/10^6</f>
        <v>-40.117462000000003</v>
      </c>
      <c r="J949">
        <f>0</f>
        <v>0</v>
      </c>
    </row>
    <row r="950" spans="1:10" x14ac:dyDescent="0.25">
      <c r="A950" t="s">
        <v>959</v>
      </c>
      <c r="B950" t="s">
        <v>11</v>
      </c>
      <c r="C950">
        <v>117.668390625</v>
      </c>
      <c r="D950">
        <f>0</f>
        <v>0</v>
      </c>
      <c r="E950">
        <f>668571716/10^6</f>
        <v>668.57171600000004</v>
      </c>
      <c r="F950">
        <f>0</f>
        <v>0</v>
      </c>
      <c r="G950">
        <f>231166046/10^6</f>
        <v>231.16604599999999</v>
      </c>
      <c r="H950">
        <f>0</f>
        <v>0</v>
      </c>
      <c r="I950">
        <f>-40583374/10^6</f>
        <v>-40.583373999999999</v>
      </c>
      <c r="J950">
        <f>0</f>
        <v>0</v>
      </c>
    </row>
    <row r="951" spans="1:10" x14ac:dyDescent="0.25">
      <c r="A951" t="s">
        <v>960</v>
      </c>
      <c r="B951" t="s">
        <v>11</v>
      </c>
      <c r="C951">
        <v>117.062617188</v>
      </c>
      <c r="D951">
        <f>0</f>
        <v>0</v>
      </c>
      <c r="E951">
        <f>671976746/10^6</f>
        <v>671.97674600000005</v>
      </c>
      <c r="F951">
        <f>0</f>
        <v>0</v>
      </c>
      <c r="G951">
        <f>231059708/10^6</f>
        <v>231.059708</v>
      </c>
      <c r="H951">
        <f>0</f>
        <v>0</v>
      </c>
      <c r="I951">
        <f>-41042416/10^6</f>
        <v>-41.042416000000003</v>
      </c>
      <c r="J951">
        <f>0</f>
        <v>0</v>
      </c>
    </row>
    <row r="952" spans="1:10" x14ac:dyDescent="0.25">
      <c r="A952" t="s">
        <v>961</v>
      </c>
      <c r="B952" t="s">
        <v>11</v>
      </c>
      <c r="C952">
        <v>116.461601563</v>
      </c>
      <c r="D952">
        <f>0</f>
        <v>0</v>
      </c>
      <c r="E952">
        <f>675429565/10^6</f>
        <v>675.42956500000003</v>
      </c>
      <c r="F952">
        <f>0</f>
        <v>0</v>
      </c>
      <c r="G952">
        <f>230959778/10^6</f>
        <v>230.959778</v>
      </c>
      <c r="H952">
        <f>0</f>
        <v>0</v>
      </c>
      <c r="I952">
        <f>-41383797/10^6</f>
        <v>-41.383797000000001</v>
      </c>
      <c r="J952">
        <f>0</f>
        <v>0</v>
      </c>
    </row>
    <row r="953" spans="1:10" x14ac:dyDescent="0.25">
      <c r="A953" t="s">
        <v>962</v>
      </c>
      <c r="B953" t="s">
        <v>11</v>
      </c>
      <c r="C953">
        <v>115.896148438</v>
      </c>
      <c r="D953">
        <f>0</f>
        <v>0</v>
      </c>
      <c r="E953">
        <f>678545227/10^6</f>
        <v>678.54522699999995</v>
      </c>
      <c r="F953">
        <f>0</f>
        <v>0</v>
      </c>
      <c r="G953">
        <f>230811661/10^6</f>
        <v>230.81166099999999</v>
      </c>
      <c r="H953">
        <f>0</f>
        <v>0</v>
      </c>
      <c r="I953">
        <f>-418041/10^4</f>
        <v>-41.804099999999998</v>
      </c>
      <c r="J953">
        <f>0</f>
        <v>0</v>
      </c>
    </row>
    <row r="954" spans="1:10" x14ac:dyDescent="0.25">
      <c r="A954" t="s">
        <v>963</v>
      </c>
      <c r="B954" t="s">
        <v>11</v>
      </c>
      <c r="C954">
        <v>115.364585938</v>
      </c>
      <c r="D954">
        <f>0</f>
        <v>0</v>
      </c>
      <c r="E954">
        <f>681122986/10^6</f>
        <v>681.12298599999997</v>
      </c>
      <c r="F954">
        <f>0</f>
        <v>0</v>
      </c>
      <c r="G954">
        <f>23056575/10^5</f>
        <v>230.56575000000001</v>
      </c>
      <c r="H954">
        <f>0</f>
        <v>0</v>
      </c>
      <c r="I954">
        <f>-42103592/10^6</f>
        <v>-42.103591999999999</v>
      </c>
      <c r="J954">
        <f>0</f>
        <v>0</v>
      </c>
    </row>
    <row r="955" spans="1:10" x14ac:dyDescent="0.25">
      <c r="A955" t="s">
        <v>964</v>
      </c>
      <c r="B955" t="s">
        <v>11</v>
      </c>
      <c r="C955">
        <v>114.890242188</v>
      </c>
      <c r="D955">
        <f>0</f>
        <v>0</v>
      </c>
      <c r="E955">
        <f>6838396/10^4</f>
        <v>683.83960000000002</v>
      </c>
      <c r="F955">
        <f>0</f>
        <v>0</v>
      </c>
      <c r="G955">
        <f>230383621/10^6</f>
        <v>230.38362100000001</v>
      </c>
      <c r="H955">
        <f>0</f>
        <v>0</v>
      </c>
      <c r="I955">
        <f>-42790607/10^6</f>
        <v>-42.790607000000001</v>
      </c>
      <c r="J955">
        <f>0</f>
        <v>0</v>
      </c>
    </row>
    <row r="956" spans="1:10" x14ac:dyDescent="0.25">
      <c r="A956" t="s">
        <v>965</v>
      </c>
      <c r="B956" t="s">
        <v>11</v>
      </c>
      <c r="C956">
        <v>114.60089062500001</v>
      </c>
      <c r="D956">
        <f>0</f>
        <v>0</v>
      </c>
      <c r="E956">
        <f>685360474/10^6</f>
        <v>685.36047399999995</v>
      </c>
      <c r="F956">
        <f>0</f>
        <v>0</v>
      </c>
      <c r="G956">
        <f>230269348/10^6</f>
        <v>230.26934800000001</v>
      </c>
      <c r="H956">
        <f>0</f>
        <v>0</v>
      </c>
      <c r="I956">
        <f>-43039207/10^6</f>
        <v>-43.039206999999998</v>
      </c>
      <c r="J956">
        <f>0</f>
        <v>0</v>
      </c>
    </row>
    <row r="957" spans="1:10" x14ac:dyDescent="0.25">
      <c r="A957" t="s">
        <v>966</v>
      </c>
      <c r="B957" t="s">
        <v>11</v>
      </c>
      <c r="C957">
        <v>114.342257813</v>
      </c>
      <c r="D957">
        <f>0</f>
        <v>0</v>
      </c>
      <c r="E957">
        <f>686559204/10^6</f>
        <v>686.55920400000002</v>
      </c>
      <c r="F957">
        <f>0</f>
        <v>0</v>
      </c>
      <c r="G957">
        <f>230168869/10^6</f>
        <v>230.168869</v>
      </c>
      <c r="H957">
        <f>0</f>
        <v>0</v>
      </c>
      <c r="I957">
        <f>-42985065/10^6</f>
        <v>-42.985064999999999</v>
      </c>
      <c r="J957">
        <f>0</f>
        <v>0</v>
      </c>
    </row>
    <row r="958" spans="1:10" x14ac:dyDescent="0.25">
      <c r="A958" t="s">
        <v>967</v>
      </c>
      <c r="B958" t="s">
        <v>11</v>
      </c>
      <c r="C958">
        <v>114.25090625</v>
      </c>
      <c r="D958">
        <f>0</f>
        <v>0</v>
      </c>
      <c r="E958">
        <f>687624451/10^6</f>
        <v>687.62445100000002</v>
      </c>
      <c r="F958">
        <f>0</f>
        <v>0</v>
      </c>
      <c r="G958">
        <f>230157333/10^6</f>
        <v>230.15733299999999</v>
      </c>
      <c r="H958">
        <f>0</f>
        <v>0</v>
      </c>
      <c r="I958">
        <f>-43955406/10^6</f>
        <v>-43.955406000000004</v>
      </c>
      <c r="J958">
        <f>0</f>
        <v>0</v>
      </c>
    </row>
    <row r="959" spans="1:10" x14ac:dyDescent="0.25">
      <c r="A959" t="s">
        <v>968</v>
      </c>
      <c r="B959" t="s">
        <v>11</v>
      </c>
      <c r="C959">
        <v>114.7000625</v>
      </c>
      <c r="D959">
        <f>0</f>
        <v>0</v>
      </c>
      <c r="E959">
        <f>685402771/10^6</f>
        <v>685.40277100000003</v>
      </c>
      <c r="F959">
        <f>0</f>
        <v>0</v>
      </c>
      <c r="G959">
        <f>230320358/10^6</f>
        <v>230.320358</v>
      </c>
      <c r="H959">
        <f>0</f>
        <v>0</v>
      </c>
      <c r="I959">
        <f>-43909729/10^6</f>
        <v>-43.909728999999999</v>
      </c>
      <c r="J959">
        <f>0</f>
        <v>0</v>
      </c>
    </row>
    <row r="960" spans="1:10" x14ac:dyDescent="0.25">
      <c r="A960" t="s">
        <v>969</v>
      </c>
      <c r="B960" t="s">
        <v>11</v>
      </c>
      <c r="C960">
        <v>115.30434375</v>
      </c>
      <c r="D960">
        <f>0</f>
        <v>0</v>
      </c>
      <c r="E960">
        <f>681744446/10^6</f>
        <v>681.74444600000004</v>
      </c>
      <c r="F960">
        <f>0</f>
        <v>0</v>
      </c>
      <c r="G960">
        <f>230515717/10^6</f>
        <v>230.515717</v>
      </c>
      <c r="H960">
        <f>0</f>
        <v>0</v>
      </c>
      <c r="I960">
        <f>-42752182/10^6</f>
        <v>-42.752181999999998</v>
      </c>
      <c r="J960">
        <f>0</f>
        <v>0</v>
      </c>
    </row>
    <row r="961" spans="1:10" x14ac:dyDescent="0.25">
      <c r="A961" t="s">
        <v>970</v>
      </c>
      <c r="B961" t="s">
        <v>11</v>
      </c>
      <c r="C961">
        <v>115.73901562499999</v>
      </c>
      <c r="D961">
        <f>0</f>
        <v>0</v>
      </c>
      <c r="E961">
        <f>679336914/10^6</f>
        <v>679.33691399999998</v>
      </c>
      <c r="F961">
        <f>0</f>
        <v>0</v>
      </c>
      <c r="G961">
        <f>230652008/10^6</f>
        <v>230.652008</v>
      </c>
      <c r="H961">
        <f>0</f>
        <v>0</v>
      </c>
      <c r="I961">
        <f>-42398762/10^6</f>
        <v>-42.398761999999998</v>
      </c>
      <c r="J961">
        <f>0</f>
        <v>0</v>
      </c>
    </row>
    <row r="962" spans="1:10" x14ac:dyDescent="0.25">
      <c r="A962" t="s">
        <v>971</v>
      </c>
      <c r="B962" t="s">
        <v>11</v>
      </c>
      <c r="C962">
        <v>116.15309375</v>
      </c>
      <c r="D962">
        <f>0</f>
        <v>0</v>
      </c>
      <c r="E962">
        <f>677358521/10^6</f>
        <v>677.358521</v>
      </c>
      <c r="F962">
        <f>0</f>
        <v>0</v>
      </c>
      <c r="G962">
        <f>230836319/10^6</f>
        <v>230.836319</v>
      </c>
      <c r="H962">
        <f>0</f>
        <v>0</v>
      </c>
      <c r="I962">
        <f>-42287113/10^6</f>
        <v>-42.287112999999998</v>
      </c>
      <c r="J962">
        <f>0</f>
        <v>0</v>
      </c>
    </row>
    <row r="963" spans="1:10" x14ac:dyDescent="0.25">
      <c r="A963" t="s">
        <v>972</v>
      </c>
      <c r="B963" t="s">
        <v>11</v>
      </c>
      <c r="C963">
        <v>116.580476563</v>
      </c>
      <c r="D963">
        <f>0</f>
        <v>0</v>
      </c>
      <c r="E963">
        <f>675274353/10^6</f>
        <v>675.27435300000002</v>
      </c>
      <c r="F963">
        <f>0</f>
        <v>0</v>
      </c>
      <c r="G963">
        <f>230981812/10^6</f>
        <v>230.98181199999999</v>
      </c>
      <c r="H963">
        <f>0</f>
        <v>0</v>
      </c>
      <c r="I963">
        <f>-42219521/10^6</f>
        <v>-42.219521</v>
      </c>
      <c r="J963">
        <f>0</f>
        <v>0</v>
      </c>
    </row>
    <row r="964" spans="1:10" x14ac:dyDescent="0.25">
      <c r="A964" t="s">
        <v>973</v>
      </c>
      <c r="B964" t="s">
        <v>11</v>
      </c>
      <c r="C964">
        <v>116.98593750000001</v>
      </c>
      <c r="D964">
        <f>0</f>
        <v>0</v>
      </c>
      <c r="E964">
        <f>673027039/10^6</f>
        <v>673.02703899999995</v>
      </c>
      <c r="F964">
        <f>0</f>
        <v>0</v>
      </c>
      <c r="G964">
        <f>231080841/10^6</f>
        <v>231.08084099999999</v>
      </c>
      <c r="H964">
        <f>0</f>
        <v>0</v>
      </c>
      <c r="I964">
        <f>-4197559/10^5</f>
        <v>-41.975589999999997</v>
      </c>
      <c r="J964">
        <f>0</f>
        <v>0</v>
      </c>
    </row>
    <row r="965" spans="1:10" x14ac:dyDescent="0.25">
      <c r="A965" t="s">
        <v>974</v>
      </c>
      <c r="B965" t="s">
        <v>11</v>
      </c>
      <c r="C965">
        <v>117.396328125</v>
      </c>
      <c r="D965">
        <f>0</f>
        <v>0</v>
      </c>
      <c r="E965">
        <f>670632141/10^6</f>
        <v>670.63214100000005</v>
      </c>
      <c r="F965">
        <f>0</f>
        <v>0</v>
      </c>
      <c r="G965">
        <f>231173325/10^6</f>
        <v>231.17332500000001</v>
      </c>
      <c r="H965">
        <f>0</f>
        <v>0</v>
      </c>
      <c r="I965">
        <f>-41474346/10^6</f>
        <v>-41.474345999999997</v>
      </c>
      <c r="J965">
        <f>0</f>
        <v>0</v>
      </c>
    </row>
    <row r="966" spans="1:10" x14ac:dyDescent="0.25">
      <c r="A966" t="s">
        <v>975</v>
      </c>
      <c r="B966" t="s">
        <v>11</v>
      </c>
      <c r="C966">
        <v>117.84532812499999</v>
      </c>
      <c r="D966">
        <f>0</f>
        <v>0</v>
      </c>
      <c r="E966">
        <f>668111267/10^6</f>
        <v>668.111267</v>
      </c>
      <c r="F966">
        <f>0</f>
        <v>0</v>
      </c>
      <c r="G966">
        <f>231247681/10^6</f>
        <v>231.247681</v>
      </c>
      <c r="H966">
        <f>0</f>
        <v>0</v>
      </c>
      <c r="I966">
        <f>-41200615/10^6</f>
        <v>-41.200614999999999</v>
      </c>
      <c r="J966">
        <f>0</f>
        <v>0</v>
      </c>
    </row>
    <row r="967" spans="1:10" x14ac:dyDescent="0.25">
      <c r="A967" t="s">
        <v>976</v>
      </c>
      <c r="B967" t="s">
        <v>11</v>
      </c>
      <c r="C967">
        <v>118.324039063</v>
      </c>
      <c r="D967">
        <f>0</f>
        <v>0</v>
      </c>
      <c r="E967">
        <f>665382324/10^6</f>
        <v>665.38232400000004</v>
      </c>
      <c r="F967">
        <f>0</f>
        <v>0</v>
      </c>
      <c r="G967">
        <f>231306976/10^6</f>
        <v>231.30697599999999</v>
      </c>
      <c r="H967">
        <f>0</f>
        <v>0</v>
      </c>
      <c r="I967">
        <f>-4098711/10^5</f>
        <v>-40.987110000000001</v>
      </c>
      <c r="J967">
        <f>0</f>
        <v>0</v>
      </c>
    </row>
    <row r="968" spans="1:10" x14ac:dyDescent="0.25">
      <c r="A968" t="s">
        <v>977</v>
      </c>
      <c r="B968" t="s">
        <v>11</v>
      </c>
      <c r="C968">
        <v>118.80751562499999</v>
      </c>
      <c r="D968">
        <f>0</f>
        <v>0</v>
      </c>
      <c r="E968">
        <f>662688354/10^6</f>
        <v>662.688354</v>
      </c>
      <c r="F968">
        <f>0</f>
        <v>0</v>
      </c>
      <c r="G968">
        <f>231367126/10^6</f>
        <v>231.36712600000001</v>
      </c>
      <c r="H968">
        <f>0</f>
        <v>0</v>
      </c>
      <c r="I968">
        <f>-40633801/10^6</f>
        <v>-40.633800999999998</v>
      </c>
      <c r="J968">
        <f>0</f>
        <v>0</v>
      </c>
    </row>
    <row r="969" spans="1:10" x14ac:dyDescent="0.25">
      <c r="A969" t="s">
        <v>978</v>
      </c>
      <c r="B969" t="s">
        <v>11</v>
      </c>
      <c r="C969">
        <v>119.2936875</v>
      </c>
      <c r="D969">
        <f>0</f>
        <v>0</v>
      </c>
      <c r="E969">
        <f>65990448/10^5</f>
        <v>659.90448000000004</v>
      </c>
      <c r="F969">
        <f>0</f>
        <v>0</v>
      </c>
      <c r="G969">
        <f>231425949/10^6</f>
        <v>231.425949</v>
      </c>
      <c r="H969">
        <f>0</f>
        <v>0</v>
      </c>
      <c r="I969">
        <f>-40137104/10^6</f>
        <v>-40.137104000000001</v>
      </c>
      <c r="J969">
        <f>0</f>
        <v>0</v>
      </c>
    </row>
    <row r="970" spans="1:10" x14ac:dyDescent="0.25">
      <c r="A970" t="s">
        <v>979</v>
      </c>
      <c r="B970" t="s">
        <v>11</v>
      </c>
      <c r="C970">
        <v>119.77040624999999</v>
      </c>
      <c r="D970">
        <f>0</f>
        <v>0</v>
      </c>
      <c r="E970">
        <f>657125916/10^6</f>
        <v>657.12591599999996</v>
      </c>
      <c r="F970">
        <f>0</f>
        <v>0</v>
      </c>
      <c r="G970">
        <f>231472809/10^6</f>
        <v>231.47280900000001</v>
      </c>
      <c r="H970">
        <f>0</f>
        <v>0</v>
      </c>
      <c r="I970">
        <f>-39842003/10^6</f>
        <v>-39.842002999999998</v>
      </c>
      <c r="J970">
        <f>0</f>
        <v>0</v>
      </c>
    </row>
    <row r="971" spans="1:10" x14ac:dyDescent="0.25">
      <c r="A971" t="s">
        <v>980</v>
      </c>
      <c r="B971" t="s">
        <v>11</v>
      </c>
      <c r="C971">
        <v>120.20414062499999</v>
      </c>
      <c r="D971">
        <f>0</f>
        <v>0</v>
      </c>
      <c r="E971">
        <f>65476947/10^5</f>
        <v>654.76946999999996</v>
      </c>
      <c r="F971">
        <f>0</f>
        <v>0</v>
      </c>
      <c r="G971">
        <f>231516571/10^6</f>
        <v>231.516571</v>
      </c>
      <c r="H971">
        <f>0</f>
        <v>0</v>
      </c>
      <c r="I971">
        <f>-39831074/10^6</f>
        <v>-39.831074000000001</v>
      </c>
      <c r="J971">
        <f>0</f>
        <v>0</v>
      </c>
    </row>
    <row r="972" spans="1:10" x14ac:dyDescent="0.25">
      <c r="A972" t="s">
        <v>981</v>
      </c>
      <c r="B972" t="s">
        <v>11</v>
      </c>
      <c r="C972">
        <v>120.55699218800001</v>
      </c>
      <c r="D972">
        <f>0</f>
        <v>0</v>
      </c>
      <c r="E972">
        <f>652638428/10^6</f>
        <v>652.63842799999998</v>
      </c>
      <c r="F972">
        <f>0</f>
        <v>0</v>
      </c>
      <c r="G972">
        <f>2315392/10^4</f>
        <v>231.53919999999999</v>
      </c>
      <c r="H972">
        <f>0</f>
        <v>0</v>
      </c>
      <c r="I972">
        <f>-39380211/10^6</f>
        <v>-39.380211000000003</v>
      </c>
      <c r="J972">
        <f>0</f>
        <v>0</v>
      </c>
    </row>
    <row r="973" spans="1:10" x14ac:dyDescent="0.25">
      <c r="A973" t="s">
        <v>982</v>
      </c>
      <c r="B973" t="s">
        <v>11</v>
      </c>
      <c r="C973">
        <v>120.770140625</v>
      </c>
      <c r="D973">
        <f>0</f>
        <v>0</v>
      </c>
      <c r="E973">
        <f>651300171/10^6</f>
        <v>651.30017099999998</v>
      </c>
      <c r="F973">
        <f>0</f>
        <v>0</v>
      </c>
      <c r="G973">
        <f>231545456/10^6</f>
        <v>231.545456</v>
      </c>
      <c r="H973">
        <f>0</f>
        <v>0</v>
      </c>
      <c r="I973">
        <f>-39025887/10^6</f>
        <v>-39.025886999999997</v>
      </c>
      <c r="J973">
        <f>0</f>
        <v>0</v>
      </c>
    </row>
    <row r="974" spans="1:10" x14ac:dyDescent="0.25">
      <c r="A974" t="s">
        <v>983</v>
      </c>
      <c r="B974" t="s">
        <v>11</v>
      </c>
      <c r="C974">
        <v>120.8281875</v>
      </c>
      <c r="D974">
        <f>0</f>
        <v>0</v>
      </c>
      <c r="E974">
        <f>651099304/10^6</f>
        <v>651.09930399999996</v>
      </c>
      <c r="F974">
        <f>0</f>
        <v>0</v>
      </c>
      <c r="G974">
        <f>231561951/10^6</f>
        <v>231.56195099999999</v>
      </c>
      <c r="H974">
        <f>0</f>
        <v>0</v>
      </c>
      <c r="I974">
        <f>-39249424/10^6</f>
        <v>-39.249423999999998</v>
      </c>
      <c r="J974">
        <f>0</f>
        <v>0</v>
      </c>
    </row>
    <row r="975" spans="1:10" x14ac:dyDescent="0.25">
      <c r="A975" t="s">
        <v>984</v>
      </c>
      <c r="B975" t="s">
        <v>11</v>
      </c>
      <c r="C975">
        <v>0</v>
      </c>
      <c r="D975">
        <f>2</f>
        <v>2</v>
      </c>
      <c r="F975">
        <f>2</f>
        <v>2</v>
      </c>
      <c r="H975">
        <f>2</f>
        <v>2</v>
      </c>
      <c r="J975">
        <f>2</f>
        <v>2</v>
      </c>
    </row>
    <row r="976" spans="1:10" x14ac:dyDescent="0.25">
      <c r="A976" t="s">
        <v>985</v>
      </c>
      <c r="B976" t="s">
        <v>11</v>
      </c>
      <c r="C976">
        <v>120.7423125</v>
      </c>
      <c r="D976">
        <f>0</f>
        <v>0</v>
      </c>
      <c r="E976">
        <f>651794983/10^6</f>
        <v>651.794983</v>
      </c>
      <c r="F976">
        <f>0</f>
        <v>0</v>
      </c>
      <c r="G976">
        <f>231608887/10^6</f>
        <v>231.60888700000001</v>
      </c>
      <c r="H976">
        <f>0</f>
        <v>0</v>
      </c>
      <c r="I976">
        <f>-39270241/10^6</f>
        <v>-39.270240999999999</v>
      </c>
      <c r="J976">
        <f>0</f>
        <v>0</v>
      </c>
    </row>
    <row r="977" spans="1:10" x14ac:dyDescent="0.25">
      <c r="A977" t="s">
        <v>986</v>
      </c>
      <c r="B977" t="s">
        <v>11</v>
      </c>
      <c r="C977">
        <v>120.62682031300001</v>
      </c>
      <c r="D977">
        <f>0</f>
        <v>0</v>
      </c>
      <c r="E977">
        <f>652467163/10^6</f>
        <v>652.46716300000003</v>
      </c>
      <c r="F977">
        <f>0</f>
        <v>0</v>
      </c>
      <c r="G977">
        <f>231627228/10^6</f>
        <v>231.627228</v>
      </c>
      <c r="H977">
        <f>0</f>
        <v>0</v>
      </c>
      <c r="I977">
        <f>-39214211/10^6</f>
        <v>-39.214210999999999</v>
      </c>
      <c r="J977">
        <f>0</f>
        <v>0</v>
      </c>
    </row>
    <row r="978" spans="1:10" x14ac:dyDescent="0.25">
      <c r="A978" t="s">
        <v>987</v>
      </c>
      <c r="B978" t="s">
        <v>11</v>
      </c>
      <c r="C978">
        <v>120.46114843800001</v>
      </c>
      <c r="D978">
        <f>0</f>
        <v>0</v>
      </c>
      <c r="E978">
        <f>65324646/10^5</f>
        <v>653.24645999999996</v>
      </c>
      <c r="F978">
        <f>0</f>
        <v>0</v>
      </c>
      <c r="G978">
        <f>231628128/10^6</f>
        <v>231.628128</v>
      </c>
      <c r="H978">
        <f>0</f>
        <v>0</v>
      </c>
      <c r="I978">
        <f>-39107655/10^6</f>
        <v>-39.107655000000001</v>
      </c>
      <c r="J978">
        <f>0</f>
        <v>0</v>
      </c>
    </row>
    <row r="979" spans="1:10" x14ac:dyDescent="0.25">
      <c r="A979" t="s">
        <v>988</v>
      </c>
      <c r="B979" t="s">
        <v>11</v>
      </c>
      <c r="C979">
        <v>120.261679688</v>
      </c>
      <c r="D979">
        <f>0</f>
        <v>0</v>
      </c>
      <c r="E979">
        <f>654527222/10^6</f>
        <v>654.52722200000005</v>
      </c>
      <c r="F979">
        <f>0</f>
        <v>0</v>
      </c>
      <c r="G979">
        <f>231619461/10^6</f>
        <v>231.619461</v>
      </c>
      <c r="H979">
        <f>0</f>
        <v>0</v>
      </c>
      <c r="I979">
        <f>-39378029/10^6</f>
        <v>-39.378028999999998</v>
      </c>
      <c r="J979">
        <f>0</f>
        <v>0</v>
      </c>
    </row>
    <row r="980" spans="1:10" x14ac:dyDescent="0.25">
      <c r="A980" t="s">
        <v>989</v>
      </c>
      <c r="B980" t="s">
        <v>11</v>
      </c>
      <c r="C980">
        <v>120.035742188</v>
      </c>
      <c r="D980">
        <f>0</f>
        <v>0</v>
      </c>
      <c r="E980">
        <f>655858765/10^6</f>
        <v>655.85876499999995</v>
      </c>
      <c r="F980">
        <f>0</f>
        <v>0</v>
      </c>
      <c r="G980">
        <f>231608749/10^6</f>
        <v>231.60874899999999</v>
      </c>
      <c r="H980">
        <f>0</f>
        <v>0</v>
      </c>
      <c r="I980">
        <f>-39525776/10^6</f>
        <v>-39.525776</v>
      </c>
      <c r="J980">
        <f>0</f>
        <v>0</v>
      </c>
    </row>
    <row r="981" spans="1:10" x14ac:dyDescent="0.25">
      <c r="A981" t="s">
        <v>990</v>
      </c>
      <c r="B981" t="s">
        <v>11</v>
      </c>
      <c r="C981">
        <v>119.774773438</v>
      </c>
      <c r="D981">
        <f>0</f>
        <v>0</v>
      </c>
      <c r="E981">
        <f>657238037/10^6</f>
        <v>657.23803699999996</v>
      </c>
      <c r="F981">
        <f>0</f>
        <v>0</v>
      </c>
      <c r="G981">
        <f>23158313/10^5</f>
        <v>231.58313000000001</v>
      </c>
      <c r="H981">
        <f>0</f>
        <v>0</v>
      </c>
      <c r="I981">
        <f>-39516773/10^6</f>
        <v>-39.516773000000001</v>
      </c>
      <c r="J981">
        <f>0</f>
        <v>0</v>
      </c>
    </row>
    <row r="982" spans="1:10" x14ac:dyDescent="0.25">
      <c r="A982" t="s">
        <v>991</v>
      </c>
      <c r="B982" t="s">
        <v>11</v>
      </c>
      <c r="C982">
        <v>119.468453125</v>
      </c>
      <c r="D982">
        <f>0</f>
        <v>0</v>
      </c>
      <c r="E982">
        <f>658961548/10^6</f>
        <v>658.96154799999999</v>
      </c>
      <c r="F982">
        <f>0</f>
        <v>0</v>
      </c>
      <c r="G982">
        <f>231539459/10^6</f>
        <v>231.53945899999999</v>
      </c>
      <c r="H982">
        <f>0</f>
        <v>0</v>
      </c>
      <c r="I982">
        <f>-3975005/10^5</f>
        <v>-39.750050000000002</v>
      </c>
      <c r="J982">
        <f>0</f>
        <v>0</v>
      </c>
    </row>
    <row r="983" spans="1:10" x14ac:dyDescent="0.25">
      <c r="A983" t="s">
        <v>992</v>
      </c>
      <c r="B983" t="s">
        <v>11</v>
      </c>
      <c r="C983">
        <v>119.13574218800001</v>
      </c>
      <c r="D983">
        <f>0</f>
        <v>0</v>
      </c>
      <c r="E983">
        <f>660739624/10^6</f>
        <v>660.73962400000005</v>
      </c>
      <c r="F983">
        <f>0</f>
        <v>0</v>
      </c>
      <c r="G983">
        <f>231482681/10^6</f>
        <v>231.48268100000001</v>
      </c>
      <c r="H983">
        <f>0</f>
        <v>0</v>
      </c>
      <c r="I983">
        <f>-3992971/10^5</f>
        <v>-39.92971</v>
      </c>
      <c r="J983">
        <f>0</f>
        <v>0</v>
      </c>
    </row>
    <row r="984" spans="1:10" x14ac:dyDescent="0.25">
      <c r="A984" t="s">
        <v>993</v>
      </c>
      <c r="B984" t="s">
        <v>11</v>
      </c>
      <c r="C984">
        <v>118.77377343800001</v>
      </c>
      <c r="D984">
        <f>0</f>
        <v>0</v>
      </c>
      <c r="E984">
        <f>662684204/10^6</f>
        <v>662.68420400000002</v>
      </c>
      <c r="F984">
        <f>0</f>
        <v>0</v>
      </c>
      <c r="G984">
        <f>23141507/10^5</f>
        <v>231.41506999999999</v>
      </c>
      <c r="H984">
        <f>0</f>
        <v>0</v>
      </c>
      <c r="I984">
        <f>-40025608/10^6</f>
        <v>-40.025607999999998</v>
      </c>
      <c r="J984">
        <f>0</f>
        <v>0</v>
      </c>
    </row>
    <row r="985" spans="1:10" x14ac:dyDescent="0.25">
      <c r="A985" t="s">
        <v>994</v>
      </c>
      <c r="B985" t="s">
        <v>11</v>
      </c>
      <c r="C985">
        <v>118.37932031300001</v>
      </c>
      <c r="D985">
        <f>0</f>
        <v>0</v>
      </c>
      <c r="E985">
        <f>664733582/10^6</f>
        <v>664.73358199999996</v>
      </c>
      <c r="F985">
        <f>0</f>
        <v>0</v>
      </c>
      <c r="G985">
        <f>231345779/10^6</f>
        <v>231.34577899999999</v>
      </c>
      <c r="H985">
        <f>0</f>
        <v>0</v>
      </c>
      <c r="I985">
        <f>-40078346/10^6</f>
        <v>-40.078346000000003</v>
      </c>
      <c r="J985">
        <f>0</f>
        <v>0</v>
      </c>
    </row>
    <row r="986" spans="1:10" x14ac:dyDescent="0.25">
      <c r="A986" t="s">
        <v>995</v>
      </c>
      <c r="B986" t="s">
        <v>11</v>
      </c>
      <c r="C986">
        <v>117.95881249999999</v>
      </c>
      <c r="D986">
        <f>0</f>
        <v>0</v>
      </c>
      <c r="E986">
        <f>666971985/10^6</f>
        <v>666.97198500000002</v>
      </c>
      <c r="F986">
        <f>0</f>
        <v>0</v>
      </c>
      <c r="G986">
        <f>231269699/10^6</f>
        <v>231.269699</v>
      </c>
      <c r="H986">
        <f>0</f>
        <v>0</v>
      </c>
      <c r="I986">
        <f>-40289799/10^6</f>
        <v>-40.289799000000002</v>
      </c>
      <c r="J986">
        <f>0</f>
        <v>0</v>
      </c>
    </row>
    <row r="987" spans="1:10" x14ac:dyDescent="0.25">
      <c r="A987" t="s">
        <v>996</v>
      </c>
      <c r="B987" t="s">
        <v>11</v>
      </c>
      <c r="C987">
        <v>117.493375</v>
      </c>
      <c r="D987">
        <f>0</f>
        <v>0</v>
      </c>
      <c r="E987">
        <f>669790527/10^6</f>
        <v>669.790527</v>
      </c>
      <c r="F987">
        <f>0</f>
        <v>0</v>
      </c>
      <c r="G987">
        <f>23118512/10^5</f>
        <v>231.18512000000001</v>
      </c>
      <c r="H987">
        <f>0</f>
        <v>0</v>
      </c>
      <c r="I987">
        <f>-40878098/10^6</f>
        <v>-40.878098000000001</v>
      </c>
      <c r="J987">
        <f>0</f>
        <v>0</v>
      </c>
    </row>
    <row r="988" spans="1:10" x14ac:dyDescent="0.25">
      <c r="A988" t="s">
        <v>997</v>
      </c>
      <c r="B988" t="s">
        <v>11</v>
      </c>
      <c r="C988">
        <v>0</v>
      </c>
      <c r="D988">
        <f>2</f>
        <v>2</v>
      </c>
      <c r="F988">
        <f>2</f>
        <v>2</v>
      </c>
      <c r="H988">
        <f>2</f>
        <v>2</v>
      </c>
      <c r="J988">
        <f>2</f>
        <v>2</v>
      </c>
    </row>
    <row r="989" spans="1:10" x14ac:dyDescent="0.25">
      <c r="A989" t="s">
        <v>998</v>
      </c>
      <c r="B989" t="s">
        <v>11</v>
      </c>
      <c r="C989">
        <v>116.555492188</v>
      </c>
      <c r="D989">
        <f>0</f>
        <v>0</v>
      </c>
      <c r="E989">
        <f>675013123/10^6</f>
        <v>675.01312299999995</v>
      </c>
      <c r="F989">
        <f>0</f>
        <v>0</v>
      </c>
      <c r="G989">
        <f>231015533/10^6</f>
        <v>231.015533</v>
      </c>
      <c r="H989">
        <f>0</f>
        <v>0</v>
      </c>
      <c r="I989">
        <f>-41452244/10^6</f>
        <v>-41.452244</v>
      </c>
      <c r="J989">
        <f>0</f>
        <v>0</v>
      </c>
    </row>
    <row r="990" spans="1:10" x14ac:dyDescent="0.25">
      <c r="A990" t="s">
        <v>999</v>
      </c>
      <c r="B990" t="s">
        <v>11</v>
      </c>
      <c r="C990">
        <v>116.08690625</v>
      </c>
      <c r="D990">
        <f>0</f>
        <v>0</v>
      </c>
      <c r="E990">
        <f>677746948/10^6</f>
        <v>677.74694799999997</v>
      </c>
      <c r="F990">
        <f>0</f>
        <v>0</v>
      </c>
      <c r="G990">
        <f>230925369/10^6</f>
        <v>230.92536899999999</v>
      </c>
      <c r="H990">
        <f>0</f>
        <v>0</v>
      </c>
      <c r="I990">
        <f>-41937603/10^6</f>
        <v>-41.937603000000003</v>
      </c>
      <c r="J990">
        <f>0</f>
        <v>0</v>
      </c>
    </row>
    <row r="991" spans="1:10" x14ac:dyDescent="0.25">
      <c r="A991" t="s">
        <v>1000</v>
      </c>
      <c r="B991" t="s">
        <v>11</v>
      </c>
      <c r="C991">
        <v>115.61771874999999</v>
      </c>
      <c r="D991">
        <f>0</f>
        <v>0</v>
      </c>
      <c r="E991">
        <f>680183838/10^6</f>
        <v>680.18383800000004</v>
      </c>
      <c r="F991">
        <f>0</f>
        <v>0</v>
      </c>
      <c r="G991">
        <f>230756973/10^6</f>
        <v>230.75697299999999</v>
      </c>
      <c r="H991">
        <f>0</f>
        <v>0</v>
      </c>
      <c r="I991">
        <f>-42188015/10^6</f>
        <v>-42.188015</v>
      </c>
      <c r="J991">
        <f>0</f>
        <v>0</v>
      </c>
    </row>
    <row r="992" spans="1:10" x14ac:dyDescent="0.25">
      <c r="A992" t="s">
        <v>1001</v>
      </c>
      <c r="B992" t="s">
        <v>11</v>
      </c>
      <c r="C992">
        <v>115.15533593800001</v>
      </c>
      <c r="D992">
        <f>0</f>
        <v>0</v>
      </c>
      <c r="E992">
        <f>682583008/10^6</f>
        <v>682.58300799999995</v>
      </c>
      <c r="F992">
        <f>0</f>
        <v>0</v>
      </c>
      <c r="G992">
        <f>230572861/10^6</f>
        <v>230.57286099999999</v>
      </c>
      <c r="H992">
        <f>0</f>
        <v>0</v>
      </c>
      <c r="I992">
        <f>-42437263/10^6</f>
        <v>-42.437263000000002</v>
      </c>
      <c r="J992">
        <f>0</f>
        <v>0</v>
      </c>
    </row>
    <row r="993" spans="1:10" x14ac:dyDescent="0.25">
      <c r="A993" t="s">
        <v>1002</v>
      </c>
      <c r="B993" t="s">
        <v>11</v>
      </c>
      <c r="C993">
        <v>114.74440625</v>
      </c>
      <c r="D993">
        <f>0</f>
        <v>0</v>
      </c>
      <c r="E993">
        <f>684941711/10^6</f>
        <v>684.94171100000005</v>
      </c>
      <c r="F993">
        <f>0</f>
        <v>0</v>
      </c>
      <c r="G993">
        <f>230434113/10^6</f>
        <v>230.434113</v>
      </c>
      <c r="H993">
        <f>0</f>
        <v>0</v>
      </c>
      <c r="I993">
        <f>-43030167/10^6</f>
        <v>-43.030166999999999</v>
      </c>
      <c r="J993">
        <f>0</f>
        <v>0</v>
      </c>
    </row>
    <row r="994" spans="1:10" x14ac:dyDescent="0.25">
      <c r="A994" t="s">
        <v>1003</v>
      </c>
      <c r="B994" t="s">
        <v>11</v>
      </c>
      <c r="C994">
        <v>114.525335938</v>
      </c>
      <c r="D994">
        <f>0</f>
        <v>0</v>
      </c>
      <c r="E994">
        <f>685981873/10^6</f>
        <v>685.98187299999995</v>
      </c>
      <c r="F994">
        <f>0</f>
        <v>0</v>
      </c>
      <c r="G994">
        <f>230317108/10^6</f>
        <v>230.31710799999999</v>
      </c>
      <c r="H994">
        <f>0</f>
        <v>0</v>
      </c>
      <c r="I994">
        <f>-43226452/10^6</f>
        <v>-43.226452000000002</v>
      </c>
      <c r="J994">
        <f>0</f>
        <v>0</v>
      </c>
    </row>
    <row r="995" spans="1:10" x14ac:dyDescent="0.25">
      <c r="A995" t="s">
        <v>1004</v>
      </c>
      <c r="B995" t="s">
        <v>11</v>
      </c>
      <c r="C995">
        <v>114.393367188</v>
      </c>
      <c r="D995">
        <f>0</f>
        <v>0</v>
      </c>
      <c r="E995">
        <f>686740601/10^6</f>
        <v>686.74060099999997</v>
      </c>
      <c r="F995">
        <f>0</f>
        <v>0</v>
      </c>
      <c r="G995">
        <f>230319809/10^6</f>
        <v>230.31980899999999</v>
      </c>
      <c r="H995">
        <f>0</f>
        <v>0</v>
      </c>
      <c r="I995">
        <f>-43007481/10^6</f>
        <v>-43.007480999999999</v>
      </c>
      <c r="J995">
        <f>0</f>
        <v>0</v>
      </c>
    </row>
    <row r="996" spans="1:10" x14ac:dyDescent="0.25">
      <c r="A996" t="s">
        <v>1005</v>
      </c>
      <c r="B996" t="s">
        <v>11</v>
      </c>
      <c r="C996">
        <v>114.1935</v>
      </c>
      <c r="D996">
        <f>0</f>
        <v>0</v>
      </c>
      <c r="E996">
        <f>68806897/10^5</f>
        <v>688.06897000000004</v>
      </c>
      <c r="F996">
        <f>0</f>
        <v>0</v>
      </c>
      <c r="G996">
        <f>23026564/10^5</f>
        <v>230.26563999999999</v>
      </c>
      <c r="H996">
        <f>0</f>
        <v>0</v>
      </c>
      <c r="I996">
        <f>-43506985/10^6</f>
        <v>-43.506985</v>
      </c>
      <c r="J996">
        <f>0</f>
        <v>0</v>
      </c>
    </row>
    <row r="997" spans="1:10" x14ac:dyDescent="0.25">
      <c r="A997" t="s">
        <v>1006</v>
      </c>
      <c r="B997" t="s">
        <v>11</v>
      </c>
      <c r="C997">
        <v>114.330523438</v>
      </c>
      <c r="D997">
        <f>0</f>
        <v>0</v>
      </c>
      <c r="E997">
        <f>687328918/10^6</f>
        <v>687.32891800000004</v>
      </c>
      <c r="F997">
        <f>0</f>
        <v>0</v>
      </c>
      <c r="G997">
        <f>230225677/10^6</f>
        <v>230.22567699999999</v>
      </c>
      <c r="H997">
        <f>0</f>
        <v>0</v>
      </c>
      <c r="I997">
        <f>-44072193/10^6</f>
        <v>-44.072192999999999</v>
      </c>
      <c r="J997">
        <f>0</f>
        <v>0</v>
      </c>
    </row>
    <row r="998" spans="1:10" x14ac:dyDescent="0.25">
      <c r="A998" t="s">
        <v>1007</v>
      </c>
      <c r="B998" t="s">
        <v>11</v>
      </c>
      <c r="C998">
        <v>114.90132812500001</v>
      </c>
      <c r="D998">
        <f>0</f>
        <v>0</v>
      </c>
      <c r="E998">
        <f>684110229/10^6</f>
        <v>684.110229</v>
      </c>
      <c r="F998">
        <f>0</f>
        <v>0</v>
      </c>
      <c r="G998">
        <f>230414993/10^6</f>
        <v>230.41499300000001</v>
      </c>
      <c r="H998">
        <f>0</f>
        <v>0</v>
      </c>
      <c r="I998">
        <f>-43422905/10^6</f>
        <v>-43.422905</v>
      </c>
      <c r="J998">
        <f>0</f>
        <v>0</v>
      </c>
    </row>
    <row r="999" spans="1:10" x14ac:dyDescent="0.25">
      <c r="A999" t="s">
        <v>1008</v>
      </c>
      <c r="B999" t="s">
        <v>11</v>
      </c>
      <c r="C999">
        <v>115.458367188</v>
      </c>
      <c r="D999">
        <f>0</f>
        <v>0</v>
      </c>
      <c r="E999">
        <f>680986694/10^6</f>
        <v>680.98669400000006</v>
      </c>
      <c r="F999">
        <f>0</f>
        <v>0</v>
      </c>
      <c r="G999">
        <f>230625061/10^6</f>
        <v>230.62506099999999</v>
      </c>
      <c r="H999">
        <f>0</f>
        <v>0</v>
      </c>
      <c r="I999">
        <f>-4265303/10^5</f>
        <v>-42.653030000000001</v>
      </c>
      <c r="J999">
        <f>0</f>
        <v>0</v>
      </c>
    </row>
    <row r="1000" spans="1:10" x14ac:dyDescent="0.25">
      <c r="A1000" t="s">
        <v>1009</v>
      </c>
      <c r="B1000" t="s">
        <v>11</v>
      </c>
      <c r="C1000">
        <v>115.907898438</v>
      </c>
      <c r="D1000">
        <f>0</f>
        <v>0</v>
      </c>
      <c r="E1000">
        <f>678592712/10^6</f>
        <v>678.59271200000001</v>
      </c>
      <c r="F1000">
        <f>0</f>
        <v>0</v>
      </c>
      <c r="G1000">
        <f>230775146/10^6</f>
        <v>230.77514600000001</v>
      </c>
      <c r="H1000">
        <f>0</f>
        <v>0</v>
      </c>
      <c r="I1000">
        <f>-42343712/10^6</f>
        <v>-42.343711999999996</v>
      </c>
      <c r="J1000">
        <f>0</f>
        <v>0</v>
      </c>
    </row>
    <row r="1001" spans="1:10" x14ac:dyDescent="0.25">
      <c r="A1001" t="s">
        <v>1010</v>
      </c>
      <c r="B1001" t="s">
        <v>11</v>
      </c>
      <c r="C1001">
        <v>116.332429688</v>
      </c>
      <c r="D1001">
        <f>0</f>
        <v>0</v>
      </c>
      <c r="E1001">
        <f>676413391/10^6</f>
        <v>676.41339100000005</v>
      </c>
      <c r="F1001">
        <f>0</f>
        <v>0</v>
      </c>
      <c r="G1001">
        <f>230922653/10^6</f>
        <v>230.922653</v>
      </c>
      <c r="H1001">
        <f>0</f>
        <v>0</v>
      </c>
      <c r="I1001">
        <f>-42002338/10^6</f>
        <v>-42.002338000000002</v>
      </c>
      <c r="J1001">
        <f>0</f>
        <v>0</v>
      </c>
    </row>
    <row r="1002" spans="1:10" x14ac:dyDescent="0.25">
      <c r="A1002" t="s">
        <v>1011</v>
      </c>
      <c r="B1002" t="s">
        <v>11</v>
      </c>
      <c r="C1002">
        <v>116.74473437499999</v>
      </c>
      <c r="D1002">
        <f>0</f>
        <v>0</v>
      </c>
      <c r="E1002">
        <f>674151123/10^6</f>
        <v>674.15112299999998</v>
      </c>
      <c r="F1002">
        <f>0</f>
        <v>0</v>
      </c>
      <c r="G1002">
        <f>231034958/10^6</f>
        <v>231.03495799999999</v>
      </c>
      <c r="H1002">
        <f>0</f>
        <v>0</v>
      </c>
      <c r="I1002">
        <f>-41749096/10^6</f>
        <v>-41.749096000000002</v>
      </c>
      <c r="J1002">
        <f>0</f>
        <v>0</v>
      </c>
    </row>
    <row r="1003" spans="1:10" x14ac:dyDescent="0.25">
      <c r="A1003" t="s">
        <v>1012</v>
      </c>
      <c r="B1003" t="s">
        <v>11</v>
      </c>
      <c r="C1003">
        <v>117.153960938</v>
      </c>
      <c r="D1003">
        <f>0</f>
        <v>0</v>
      </c>
      <c r="E1003">
        <f>671932129/10^6</f>
        <v>671.93212900000003</v>
      </c>
      <c r="F1003">
        <f>0</f>
        <v>0</v>
      </c>
      <c r="G1003">
        <f>231116959/10^6</f>
        <v>231.11695900000001</v>
      </c>
      <c r="H1003">
        <f>0</f>
        <v>0</v>
      </c>
      <c r="I1003">
        <f>-41667316/10^6</f>
        <v>-41.667316</v>
      </c>
      <c r="J1003">
        <f>0</f>
        <v>0</v>
      </c>
    </row>
    <row r="1004" spans="1:10" x14ac:dyDescent="0.25">
      <c r="A1004" t="s">
        <v>1013</v>
      </c>
      <c r="B1004" t="s">
        <v>11</v>
      </c>
      <c r="C1004">
        <v>117.58778125000001</v>
      </c>
      <c r="D1004">
        <f>0</f>
        <v>0</v>
      </c>
      <c r="E1004">
        <f>669573242/10^6</f>
        <v>669.57324200000005</v>
      </c>
      <c r="F1004">
        <f>0</f>
        <v>0</v>
      </c>
      <c r="G1004">
        <f>231196198/10^6</f>
        <v>231.19619800000001</v>
      </c>
      <c r="H1004">
        <f>0</f>
        <v>0</v>
      </c>
      <c r="I1004">
        <f>-41479855/10^6</f>
        <v>-41.479855000000001</v>
      </c>
      <c r="J1004">
        <f>0</f>
        <v>0</v>
      </c>
    </row>
    <row r="1005" spans="1:10" x14ac:dyDescent="0.25">
      <c r="A1005" t="s">
        <v>1014</v>
      </c>
      <c r="B1005" t="s">
        <v>11</v>
      </c>
      <c r="C1005">
        <v>118.079953125</v>
      </c>
      <c r="D1005">
        <f>0</f>
        <v>0</v>
      </c>
      <c r="E1005">
        <f>666689453/10^6</f>
        <v>666.68945299999996</v>
      </c>
      <c r="F1005">
        <f>0</f>
        <v>0</v>
      </c>
      <c r="G1005">
        <f>231261093/10^6</f>
        <v>231.26109299999999</v>
      </c>
      <c r="H1005">
        <f>0</f>
        <v>0</v>
      </c>
      <c r="I1005">
        <f>-41093304/10^6</f>
        <v>-41.093304000000003</v>
      </c>
      <c r="J1005">
        <f>0</f>
        <v>0</v>
      </c>
    </row>
    <row r="1006" spans="1:10" x14ac:dyDescent="0.25">
      <c r="A1006" t="s">
        <v>1015</v>
      </c>
      <c r="B1006" t="s">
        <v>11</v>
      </c>
      <c r="C1006">
        <v>0</v>
      </c>
      <c r="D1006">
        <f>2</f>
        <v>2</v>
      </c>
      <c r="F1006">
        <f>2</f>
        <v>2</v>
      </c>
      <c r="H1006">
        <f>2</f>
        <v>2</v>
      </c>
      <c r="J1006">
        <f>2</f>
        <v>2</v>
      </c>
    </row>
    <row r="1007" spans="1:10" x14ac:dyDescent="0.25">
      <c r="A1007" t="s">
        <v>1016</v>
      </c>
      <c r="B1007" t="s">
        <v>11</v>
      </c>
      <c r="C1007">
        <v>119.135648438</v>
      </c>
      <c r="D1007">
        <f>0</f>
        <v>0</v>
      </c>
      <c r="E1007">
        <f>660831055/10^6</f>
        <v>660.83105499999999</v>
      </c>
      <c r="F1007">
        <f>0</f>
        <v>0</v>
      </c>
      <c r="G1007">
        <f>231395187/10^6</f>
        <v>231.39518699999999</v>
      </c>
      <c r="H1007">
        <f>0</f>
        <v>0</v>
      </c>
      <c r="I1007">
        <f>-40634201/10^6</f>
        <v>-40.634200999999997</v>
      </c>
      <c r="J1007">
        <f>0</f>
        <v>0</v>
      </c>
    </row>
    <row r="1008" spans="1:10" x14ac:dyDescent="0.25">
      <c r="A1008" t="s">
        <v>1017</v>
      </c>
      <c r="B1008" t="s">
        <v>11</v>
      </c>
      <c r="C1008">
        <v>119.64772656300001</v>
      </c>
      <c r="D1008">
        <f>0</f>
        <v>0</v>
      </c>
      <c r="E1008">
        <f>657891418/10^6</f>
        <v>657.89141800000004</v>
      </c>
      <c r="F1008">
        <f>0</f>
        <v>0</v>
      </c>
      <c r="G1008">
        <f>23144841/10^5</f>
        <v>231.44841</v>
      </c>
      <c r="H1008">
        <f>0</f>
        <v>0</v>
      </c>
      <c r="I1008">
        <f>-40185162/10^6</f>
        <v>-40.185161999999998</v>
      </c>
      <c r="J1008">
        <f>0</f>
        <v>0</v>
      </c>
    </row>
    <row r="1009" spans="1:10" x14ac:dyDescent="0.25">
      <c r="A1009" t="s">
        <v>1018</v>
      </c>
      <c r="B1009" t="s">
        <v>11</v>
      </c>
      <c r="C1009">
        <v>120.12215625</v>
      </c>
      <c r="D1009">
        <f>0</f>
        <v>0</v>
      </c>
      <c r="E1009">
        <f>655130493/10^6</f>
        <v>655.130493</v>
      </c>
      <c r="F1009">
        <f>0</f>
        <v>0</v>
      </c>
      <c r="G1009">
        <f>231497696/10^6</f>
        <v>231.49769599999999</v>
      </c>
      <c r="H1009">
        <f>0</f>
        <v>0</v>
      </c>
      <c r="I1009">
        <f>-39736782/10^6</f>
        <v>-39.736781999999998</v>
      </c>
      <c r="J1009">
        <f>0</f>
        <v>0</v>
      </c>
    </row>
    <row r="1010" spans="1:10" x14ac:dyDescent="0.25">
      <c r="A1010" t="s">
        <v>1019</v>
      </c>
      <c r="B1010" t="s">
        <v>11</v>
      </c>
      <c r="C1010">
        <v>120.49954687499999</v>
      </c>
      <c r="D1010">
        <f>0</f>
        <v>0</v>
      </c>
      <c r="E1010">
        <f>652890808/10^6</f>
        <v>652.89080799999999</v>
      </c>
      <c r="F1010">
        <f>0</f>
        <v>0</v>
      </c>
      <c r="G1010">
        <f>231524612/10^6</f>
        <v>231.52461199999999</v>
      </c>
      <c r="H1010">
        <f>0</f>
        <v>0</v>
      </c>
      <c r="I1010">
        <f>-39458939/10^6</f>
        <v>-39.458939000000001</v>
      </c>
      <c r="J1010">
        <f>0</f>
        <v>0</v>
      </c>
    </row>
    <row r="1011" spans="1:10" x14ac:dyDescent="0.25">
      <c r="A1011" t="s">
        <v>1020</v>
      </c>
      <c r="B1011" t="s">
        <v>11</v>
      </c>
      <c r="C1011">
        <v>120.725078125</v>
      </c>
      <c r="D1011">
        <f>0</f>
        <v>0</v>
      </c>
      <c r="E1011">
        <f>651621765/10^6</f>
        <v>651.62176499999998</v>
      </c>
      <c r="F1011">
        <f>0</f>
        <v>0</v>
      </c>
      <c r="G1011">
        <f>231537323/10^6</f>
        <v>231.53732299999999</v>
      </c>
      <c r="H1011">
        <f>0</f>
        <v>0</v>
      </c>
      <c r="I1011">
        <f>-3928635/10^5</f>
        <v>-39.286349999999999</v>
      </c>
      <c r="J1011">
        <f>0</f>
        <v>0</v>
      </c>
    </row>
    <row r="1012" spans="1:10" x14ac:dyDescent="0.25">
      <c r="A1012" t="s">
        <v>1021</v>
      </c>
      <c r="B1012" t="s">
        <v>11</v>
      </c>
      <c r="C1012">
        <v>120.81289062499999</v>
      </c>
      <c r="D1012">
        <f>0</f>
        <v>0</v>
      </c>
      <c r="E1012">
        <f>651182495/10^6</f>
        <v>651.18249500000002</v>
      </c>
      <c r="F1012">
        <f>0</f>
        <v>0</v>
      </c>
      <c r="G1012">
        <f>231563446/10^6</f>
        <v>231.563446</v>
      </c>
      <c r="H1012">
        <f>0</f>
        <v>0</v>
      </c>
      <c r="I1012">
        <f>-3920779/10^5</f>
        <v>-39.207790000000003</v>
      </c>
      <c r="J1012">
        <f>0</f>
        <v>0</v>
      </c>
    </row>
    <row r="1013" spans="1:10" x14ac:dyDescent="0.25">
      <c r="A1013" t="s">
        <v>1022</v>
      </c>
      <c r="B1013" t="s">
        <v>11</v>
      </c>
      <c r="C1013">
        <v>120.8114375</v>
      </c>
      <c r="D1013">
        <f>0</f>
        <v>0</v>
      </c>
      <c r="E1013">
        <f>651231812/10^6</f>
        <v>651.23181199999999</v>
      </c>
      <c r="F1013">
        <f>0</f>
        <v>0</v>
      </c>
      <c r="G1013">
        <f>231593201/10^6</f>
        <v>231.59320099999999</v>
      </c>
      <c r="H1013">
        <f>0</f>
        <v>0</v>
      </c>
      <c r="I1013">
        <f>-39155952/10^6</f>
        <v>-39.155951999999999</v>
      </c>
      <c r="J1013">
        <f>0</f>
        <v>0</v>
      </c>
    </row>
    <row r="1014" spans="1:10" x14ac:dyDescent="0.25">
      <c r="A1014" t="s">
        <v>1023</v>
      </c>
      <c r="B1014" t="s">
        <v>11</v>
      </c>
      <c r="C1014">
        <v>120.75220312499999</v>
      </c>
      <c r="D1014">
        <f>0</f>
        <v>0</v>
      </c>
      <c r="E1014">
        <f>651577148/10^6</f>
        <v>651.57714799999997</v>
      </c>
      <c r="F1014">
        <f>0</f>
        <v>0</v>
      </c>
      <c r="G1014">
        <f>231613846/10^6</f>
        <v>231.613846</v>
      </c>
      <c r="H1014">
        <f>0</f>
        <v>0</v>
      </c>
      <c r="I1014">
        <f>-39106945/10^6</f>
        <v>-39.106945000000003</v>
      </c>
      <c r="J1014">
        <f>0</f>
        <v>0</v>
      </c>
    </row>
    <row r="1015" spans="1:10" x14ac:dyDescent="0.25">
      <c r="A1015" t="s">
        <v>1024</v>
      </c>
      <c r="B1015" t="s">
        <v>11</v>
      </c>
      <c r="C1015">
        <v>120.63153906300001</v>
      </c>
      <c r="D1015">
        <f>0</f>
        <v>0</v>
      </c>
      <c r="E1015">
        <f>652309204/10^6</f>
        <v>652.30920400000002</v>
      </c>
      <c r="F1015">
        <f>0</f>
        <v>0</v>
      </c>
      <c r="G1015">
        <f>231625717/10^6</f>
        <v>231.62571700000001</v>
      </c>
      <c r="H1015">
        <f>0</f>
        <v>0</v>
      </c>
      <c r="I1015">
        <f>-39193256/10^6</f>
        <v>-39.193255999999998</v>
      </c>
      <c r="J1015">
        <f>0</f>
        <v>0</v>
      </c>
    </row>
    <row r="1016" spans="1:10" x14ac:dyDescent="0.25">
      <c r="A1016" t="s">
        <v>1025</v>
      </c>
      <c r="B1016" t="s">
        <v>11</v>
      </c>
      <c r="C1016">
        <v>120.459773438</v>
      </c>
      <c r="D1016">
        <f>0</f>
        <v>0</v>
      </c>
      <c r="E1016">
        <f>653374573/10^6</f>
        <v>653.37457300000005</v>
      </c>
      <c r="F1016">
        <f>0</f>
        <v>0</v>
      </c>
      <c r="G1016">
        <f>231634872/10^6</f>
        <v>231.634872</v>
      </c>
      <c r="H1016">
        <f>0</f>
        <v>0</v>
      </c>
      <c r="I1016">
        <f>-39265999/10^6</f>
        <v>-39.265999000000001</v>
      </c>
      <c r="J1016">
        <f>0</f>
        <v>0</v>
      </c>
    </row>
    <row r="1017" spans="1:10" x14ac:dyDescent="0.25">
      <c r="A1017" t="s">
        <v>1026</v>
      </c>
      <c r="B1017" t="s">
        <v>11</v>
      </c>
      <c r="C1017">
        <v>120.28059374999999</v>
      </c>
      <c r="D1017">
        <f>0</f>
        <v>0</v>
      </c>
      <c r="E1017">
        <f>654383911/10^6</f>
        <v>654.38391100000001</v>
      </c>
      <c r="F1017">
        <f>0</f>
        <v>0</v>
      </c>
      <c r="G1017">
        <f>231630463/10^6</f>
        <v>231.63046299999999</v>
      </c>
      <c r="H1017">
        <f>0</f>
        <v>0</v>
      </c>
      <c r="I1017">
        <f>-3920768/10^5</f>
        <v>-39.207680000000003</v>
      </c>
      <c r="J1017">
        <f>0</f>
        <v>0</v>
      </c>
    </row>
    <row r="1018" spans="1:10" x14ac:dyDescent="0.25">
      <c r="A1018" t="s">
        <v>1027</v>
      </c>
      <c r="B1018" t="s">
        <v>11</v>
      </c>
      <c r="C1018">
        <v>120.10992968800001</v>
      </c>
      <c r="D1018">
        <f>0</f>
        <v>0</v>
      </c>
      <c r="E1018">
        <f>655287842/10^6</f>
        <v>655.28784199999996</v>
      </c>
      <c r="F1018">
        <f>0</f>
        <v>0</v>
      </c>
      <c r="G1018">
        <f>231612213/10^6</f>
        <v>231.612213</v>
      </c>
      <c r="H1018">
        <f>0</f>
        <v>0</v>
      </c>
      <c r="I1018">
        <f>-39264679/10^6</f>
        <v>-39.264679000000001</v>
      </c>
      <c r="J1018">
        <f>0</f>
        <v>0</v>
      </c>
    </row>
    <row r="1019" spans="1:10" x14ac:dyDescent="0.25">
      <c r="A1019" t="s">
        <v>1028</v>
      </c>
      <c r="B1019" t="s">
        <v>11</v>
      </c>
      <c r="C1019">
        <v>119.925101563</v>
      </c>
      <c r="D1019">
        <f>0</f>
        <v>0</v>
      </c>
      <c r="E1019">
        <f>656382507/10^6</f>
        <v>656.38250700000003</v>
      </c>
      <c r="F1019">
        <f>0</f>
        <v>0</v>
      </c>
      <c r="G1019">
        <f>231589386/10^6</f>
        <v>231.58938599999999</v>
      </c>
      <c r="H1019">
        <f>0</f>
        <v>0</v>
      </c>
      <c r="I1019">
        <f>-39594891/10^6</f>
        <v>-39.594890999999997</v>
      </c>
      <c r="J1019">
        <f>0</f>
        <v>0</v>
      </c>
    </row>
    <row r="1020" spans="1:10" x14ac:dyDescent="0.25">
      <c r="A1020" t="s">
        <v>1029</v>
      </c>
      <c r="B1020" t="s">
        <v>11</v>
      </c>
      <c r="C1020">
        <v>119.726023438</v>
      </c>
      <c r="D1020">
        <f>0</f>
        <v>0</v>
      </c>
      <c r="E1020">
        <f>657502197/10^6</f>
        <v>657.50219700000002</v>
      </c>
      <c r="F1020">
        <f>0</f>
        <v>0</v>
      </c>
      <c r="G1020">
        <f>231554474/10^6</f>
        <v>231.554474</v>
      </c>
      <c r="H1020">
        <f>0</f>
        <v>0</v>
      </c>
      <c r="I1020">
        <f>-39716335/10^6</f>
        <v>-39.716335000000001</v>
      </c>
      <c r="J1020">
        <f>0</f>
        <v>0</v>
      </c>
    </row>
    <row r="1021" spans="1:10" x14ac:dyDescent="0.25">
      <c r="A1021" t="s">
        <v>1030</v>
      </c>
      <c r="B1021" t="s">
        <v>11</v>
      </c>
      <c r="C1021">
        <v>119.506507813</v>
      </c>
      <c r="D1021">
        <f>0</f>
        <v>0</v>
      </c>
      <c r="E1021">
        <f>658557983/10^6</f>
        <v>658.55798300000004</v>
      </c>
      <c r="F1021">
        <f>0</f>
        <v>0</v>
      </c>
      <c r="G1021">
        <f>231511353/10^6</f>
        <v>231.51135300000001</v>
      </c>
      <c r="H1021">
        <f>0</f>
        <v>0</v>
      </c>
      <c r="I1021">
        <f>-39604/10^3</f>
        <v>-39.603999999999999</v>
      </c>
      <c r="J1021">
        <f>0</f>
        <v>0</v>
      </c>
    </row>
    <row r="1022" spans="1:10" x14ac:dyDescent="0.25">
      <c r="A1022" t="s">
        <v>1031</v>
      </c>
      <c r="B1022" t="s">
        <v>11</v>
      </c>
      <c r="C1022">
        <v>119.24853125</v>
      </c>
      <c r="D1022">
        <f>0</f>
        <v>0</v>
      </c>
      <c r="E1022">
        <f>659953979/10^6</f>
        <v>659.953979</v>
      </c>
      <c r="F1022">
        <f>0</f>
        <v>0</v>
      </c>
      <c r="G1022">
        <f>231468353/10^6</f>
        <v>231.46835300000001</v>
      </c>
      <c r="H1022">
        <f>0</f>
        <v>0</v>
      </c>
      <c r="I1022">
        <f>-39803791/10^6</f>
        <v>-39.803790999999997</v>
      </c>
      <c r="J1022">
        <f>0</f>
        <v>0</v>
      </c>
    </row>
    <row r="1023" spans="1:10" x14ac:dyDescent="0.25">
      <c r="A1023" t="s">
        <v>1032</v>
      </c>
      <c r="B1023" t="s">
        <v>11</v>
      </c>
      <c r="C1023">
        <v>118.974390625</v>
      </c>
      <c r="D1023">
        <f>0</f>
        <v>0</v>
      </c>
      <c r="E1023">
        <f>661410034/10^6</f>
        <v>661.410034</v>
      </c>
      <c r="F1023">
        <f>0</f>
        <v>0</v>
      </c>
      <c r="G1023">
        <f>231403641/10^6</f>
        <v>231.40364099999999</v>
      </c>
      <c r="H1023">
        <f>0</f>
        <v>0</v>
      </c>
      <c r="I1023">
        <f>-40004784/10^6</f>
        <v>-40.004784000000001</v>
      </c>
      <c r="J1023">
        <f>0</f>
        <v>0</v>
      </c>
    </row>
    <row r="1024" spans="1:10" x14ac:dyDescent="0.25">
      <c r="A1024" t="s">
        <v>1033</v>
      </c>
      <c r="B1024" t="s">
        <v>11</v>
      </c>
      <c r="C1024">
        <v>118.6813125</v>
      </c>
      <c r="D1024">
        <f>0</f>
        <v>0</v>
      </c>
      <c r="E1024">
        <f>663006897/10^6</f>
        <v>663.00689699999998</v>
      </c>
      <c r="F1024">
        <f>0</f>
        <v>0</v>
      </c>
      <c r="G1024">
        <f>231340286/10^6</f>
        <v>231.34028599999999</v>
      </c>
      <c r="H1024">
        <f>0</f>
        <v>0</v>
      </c>
      <c r="I1024">
        <f>-40135201/10^6</f>
        <v>-40.135201000000002</v>
      </c>
      <c r="J1024">
        <f>0</f>
        <v>0</v>
      </c>
    </row>
    <row r="1025" spans="1:10" x14ac:dyDescent="0.25">
      <c r="A1025" t="s">
        <v>1034</v>
      </c>
      <c r="B1025" t="s">
        <v>11</v>
      </c>
      <c r="C1025">
        <v>118.363539063</v>
      </c>
      <c r="D1025">
        <f>0</f>
        <v>0</v>
      </c>
      <c r="E1025">
        <f>66485022/10^5</f>
        <v>664.85022000000004</v>
      </c>
      <c r="F1025">
        <f>0</f>
        <v>0</v>
      </c>
      <c r="G1025">
        <f>231293213/10^6</f>
        <v>231.29321300000001</v>
      </c>
      <c r="H1025">
        <f>0</f>
        <v>0</v>
      </c>
      <c r="I1025">
        <f>-40404751/10^6</f>
        <v>-40.404750999999997</v>
      </c>
      <c r="J1025">
        <f>0</f>
        <v>0</v>
      </c>
    </row>
    <row r="1026" spans="1:10" x14ac:dyDescent="0.25">
      <c r="A1026" t="s">
        <v>1035</v>
      </c>
      <c r="B1026" t="s">
        <v>11</v>
      </c>
      <c r="C1026">
        <v>118.04537500000001</v>
      </c>
      <c r="D1026">
        <f>0</f>
        <v>0</v>
      </c>
      <c r="E1026">
        <f>666494751/10^6</f>
        <v>666.49475099999995</v>
      </c>
      <c r="F1026">
        <f>0</f>
        <v>0</v>
      </c>
      <c r="G1026">
        <f>23121994/10^5</f>
        <v>231.21994000000001</v>
      </c>
      <c r="H1026">
        <f>0</f>
        <v>0</v>
      </c>
      <c r="I1026">
        <f>-40587433/10^6</f>
        <v>-40.587432999999997</v>
      </c>
      <c r="J1026">
        <f>0</f>
        <v>0</v>
      </c>
    </row>
    <row r="1027" spans="1:10" x14ac:dyDescent="0.25">
      <c r="A1027" t="s">
        <v>1036</v>
      </c>
      <c r="B1027" t="s">
        <v>11</v>
      </c>
      <c r="C1027">
        <v>117.732296875</v>
      </c>
      <c r="D1027">
        <f>0</f>
        <v>0</v>
      </c>
      <c r="E1027">
        <f>668240112/10^6</f>
        <v>668.24011199999995</v>
      </c>
      <c r="F1027">
        <f>0</f>
        <v>0</v>
      </c>
      <c r="G1027">
        <f>231153305/10^6</f>
        <v>231.15330499999999</v>
      </c>
      <c r="H1027">
        <f>0</f>
        <v>0</v>
      </c>
      <c r="I1027">
        <f>-4081588/10^5</f>
        <v>-40.81588</v>
      </c>
      <c r="J1027">
        <f>0</f>
        <v>0</v>
      </c>
    </row>
    <row r="1028" spans="1:10" x14ac:dyDescent="0.25">
      <c r="A1028" t="s">
        <v>1037</v>
      </c>
      <c r="B1028" t="s">
        <v>11</v>
      </c>
      <c r="C1028">
        <v>117.42059374999999</v>
      </c>
      <c r="D1028">
        <f>0</f>
        <v>0</v>
      </c>
      <c r="E1028">
        <f>670022705/10^6</f>
        <v>670.02270499999997</v>
      </c>
      <c r="F1028">
        <f>0</f>
        <v>0</v>
      </c>
      <c r="G1028">
        <f>23110965/10^5</f>
        <v>231.10964999999999</v>
      </c>
      <c r="H1028">
        <f>0</f>
        <v>0</v>
      </c>
      <c r="I1028">
        <f>-41010048/10^6</f>
        <v>-41.010047999999998</v>
      </c>
      <c r="J1028">
        <f>0</f>
        <v>0</v>
      </c>
    </row>
    <row r="1029" spans="1:10" x14ac:dyDescent="0.25">
      <c r="A1029" t="s">
        <v>1038</v>
      </c>
      <c r="B1029" t="s">
        <v>11</v>
      </c>
      <c r="C1029">
        <v>117.09575781300001</v>
      </c>
      <c r="D1029">
        <f>0</f>
        <v>0</v>
      </c>
      <c r="E1029">
        <f>671703125/10^6</f>
        <v>671.703125</v>
      </c>
      <c r="F1029">
        <f>0</f>
        <v>0</v>
      </c>
      <c r="G1029">
        <f>231044235/10^6</f>
        <v>231.04423499999999</v>
      </c>
      <c r="H1029">
        <f>0</f>
        <v>0</v>
      </c>
      <c r="I1029">
        <f>-41051502/10^6</f>
        <v>-41.051501999999999</v>
      </c>
      <c r="J1029">
        <f>0</f>
        <v>0</v>
      </c>
    </row>
    <row r="1030" spans="1:10" x14ac:dyDescent="0.25">
      <c r="A1030" t="s">
        <v>1039</v>
      </c>
      <c r="B1030" t="s">
        <v>11</v>
      </c>
      <c r="C1030">
        <v>116.74925</v>
      </c>
      <c r="D1030">
        <f>0</f>
        <v>0</v>
      </c>
      <c r="E1030">
        <f>673720947/10^6</f>
        <v>673.72094700000002</v>
      </c>
      <c r="F1030">
        <f>0</f>
        <v>0</v>
      </c>
      <c r="G1030">
        <f>23097052/10^5</f>
        <v>230.97051999999999</v>
      </c>
      <c r="H1030">
        <f>0</f>
        <v>0</v>
      </c>
      <c r="I1030">
        <f>-41340652/10^6</f>
        <v>-41.340651999999999</v>
      </c>
      <c r="J1030">
        <f>0</f>
        <v>0</v>
      </c>
    </row>
    <row r="1031" spans="1:10" x14ac:dyDescent="0.25">
      <c r="A1031" t="s">
        <v>1040</v>
      </c>
      <c r="B1031" t="s">
        <v>11</v>
      </c>
      <c r="C1031">
        <v>116.40430468800001</v>
      </c>
      <c r="D1031">
        <f>0</f>
        <v>0</v>
      </c>
      <c r="E1031">
        <f>675822021/10^6</f>
        <v>675.82202099999995</v>
      </c>
      <c r="F1031">
        <f>0</f>
        <v>0</v>
      </c>
      <c r="G1031">
        <f>230930191/10^6</f>
        <v>230.93019100000001</v>
      </c>
      <c r="H1031">
        <f>0</f>
        <v>0</v>
      </c>
      <c r="I1031">
        <f>-41735474/10^6</f>
        <v>-41.735474000000004</v>
      </c>
      <c r="J1031">
        <f>0</f>
        <v>0</v>
      </c>
    </row>
    <row r="1032" spans="1:10" x14ac:dyDescent="0.25">
      <c r="A1032" t="s">
        <v>1041</v>
      </c>
      <c r="B1032" t="s">
        <v>11</v>
      </c>
      <c r="C1032">
        <v>116.03647656300001</v>
      </c>
      <c r="D1032">
        <f>0</f>
        <v>0</v>
      </c>
      <c r="E1032">
        <f>677793518/10^6</f>
        <v>677.79351799999995</v>
      </c>
      <c r="F1032">
        <f>0</f>
        <v>0</v>
      </c>
      <c r="G1032">
        <f>230842255/10^6</f>
        <v>230.84225499999999</v>
      </c>
      <c r="H1032">
        <f>0</f>
        <v>0</v>
      </c>
      <c r="I1032">
        <f>-41890347/10^6</f>
        <v>-41.890346999999998</v>
      </c>
      <c r="J1032">
        <f>0</f>
        <v>0</v>
      </c>
    </row>
    <row r="1033" spans="1:10" x14ac:dyDescent="0.25">
      <c r="A1033" t="s">
        <v>1042</v>
      </c>
      <c r="B1033" t="s">
        <v>11</v>
      </c>
      <c r="C1033">
        <v>115.643671875</v>
      </c>
      <c r="D1033">
        <f>0</f>
        <v>0</v>
      </c>
      <c r="E1033">
        <f>679737488/10^6</f>
        <v>679.73748799999998</v>
      </c>
      <c r="F1033">
        <f>0</f>
        <v>0</v>
      </c>
      <c r="G1033">
        <f>230669312/10^6</f>
        <v>230.66931199999999</v>
      </c>
      <c r="H1033">
        <f>0</f>
        <v>0</v>
      </c>
      <c r="I1033">
        <f>-42096935/10^6</f>
        <v>-42.096935000000002</v>
      </c>
      <c r="J1033">
        <f>0</f>
        <v>0</v>
      </c>
    </row>
    <row r="1034" spans="1:10" x14ac:dyDescent="0.25">
      <c r="A1034" t="s">
        <v>1043</v>
      </c>
      <c r="B1034" t="s">
        <v>11</v>
      </c>
      <c r="C1034">
        <v>115.33576562499999</v>
      </c>
      <c r="D1034">
        <f>0</f>
        <v>0</v>
      </c>
      <c r="E1034">
        <f>681366394/10^6</f>
        <v>681.36639400000001</v>
      </c>
      <c r="F1034">
        <f>0</f>
        <v>0</v>
      </c>
      <c r="G1034">
        <f>230553574/10^6</f>
        <v>230.553574</v>
      </c>
      <c r="H1034">
        <f>0</f>
        <v>0</v>
      </c>
      <c r="I1034">
        <f>-42305607/10^6</f>
        <v>-42.305607000000002</v>
      </c>
      <c r="J1034">
        <f>0</f>
        <v>0</v>
      </c>
    </row>
    <row r="1035" spans="1:10" x14ac:dyDescent="0.25">
      <c r="A1035" t="s">
        <v>1044</v>
      </c>
      <c r="B1035" t="s">
        <v>11</v>
      </c>
      <c r="C1035">
        <v>115.078734375</v>
      </c>
      <c r="D1035">
        <f>0</f>
        <v>0</v>
      </c>
      <c r="E1035">
        <f>682963318/10^6</f>
        <v>682.96331799999996</v>
      </c>
      <c r="F1035">
        <f>0</f>
        <v>0</v>
      </c>
      <c r="G1035">
        <f>230517883/10^6</f>
        <v>230.51788300000001</v>
      </c>
      <c r="H1035">
        <f>0</f>
        <v>0</v>
      </c>
      <c r="I1035">
        <f>-42534088/10^6</f>
        <v>-42.534087999999997</v>
      </c>
      <c r="J1035">
        <f>0</f>
        <v>0</v>
      </c>
    </row>
    <row r="1036" spans="1:10" x14ac:dyDescent="0.25">
      <c r="A1036" t="s">
        <v>1045</v>
      </c>
      <c r="B1036" t="s">
        <v>11</v>
      </c>
      <c r="C1036">
        <v>114.80908593800001</v>
      </c>
      <c r="D1036">
        <f>0</f>
        <v>0</v>
      </c>
      <c r="E1036">
        <f>684753662/10^6</f>
        <v>684.75366199999996</v>
      </c>
      <c r="F1036">
        <f>0</f>
        <v>0</v>
      </c>
      <c r="G1036">
        <f>230490891/10^6</f>
        <v>230.490891</v>
      </c>
      <c r="H1036">
        <f>0</f>
        <v>0</v>
      </c>
      <c r="I1036">
        <f>-43022202/10^6</f>
        <v>-43.022202</v>
      </c>
      <c r="J1036">
        <f>0</f>
        <v>0</v>
      </c>
    </row>
    <row r="1037" spans="1:10" x14ac:dyDescent="0.25">
      <c r="A1037" t="s">
        <v>1046</v>
      </c>
      <c r="B1037" t="s">
        <v>11</v>
      </c>
      <c r="C1037">
        <v>114.66996875</v>
      </c>
      <c r="D1037">
        <f>0</f>
        <v>0</v>
      </c>
      <c r="E1037">
        <f>685289124/10^6</f>
        <v>685.28912400000002</v>
      </c>
      <c r="F1037">
        <f>0</f>
        <v>0</v>
      </c>
      <c r="G1037">
        <f>23040419/10^5</f>
        <v>230.40419</v>
      </c>
      <c r="H1037">
        <f>0</f>
        <v>0</v>
      </c>
      <c r="I1037">
        <f>-43012363/10^6</f>
        <v>-43.012363000000001</v>
      </c>
      <c r="J1037">
        <f>0</f>
        <v>0</v>
      </c>
    </row>
    <row r="1038" spans="1:10" x14ac:dyDescent="0.25">
      <c r="A1038" t="s">
        <v>1047</v>
      </c>
      <c r="B1038" t="s">
        <v>11</v>
      </c>
      <c r="C1038">
        <v>114.392195313</v>
      </c>
      <c r="D1038">
        <f>0</f>
        <v>0</v>
      </c>
      <c r="E1038">
        <f>686515198/10^6</f>
        <v>686.51519800000005</v>
      </c>
      <c r="F1038">
        <f>0</f>
        <v>0</v>
      </c>
      <c r="G1038">
        <f>230282257/10^6</f>
        <v>230.28225699999999</v>
      </c>
      <c r="H1038">
        <f>0</f>
        <v>0</v>
      </c>
      <c r="I1038">
        <f>-42870987/10^6</f>
        <v>-42.870987</v>
      </c>
      <c r="J1038">
        <f>0</f>
        <v>0</v>
      </c>
    </row>
    <row r="1039" spans="1:10" x14ac:dyDescent="0.25">
      <c r="A1039" t="s">
        <v>1048</v>
      </c>
      <c r="B1039" t="s">
        <v>11</v>
      </c>
      <c r="C1039">
        <v>114.170875</v>
      </c>
      <c r="D1039">
        <f>0</f>
        <v>0</v>
      </c>
      <c r="E1039">
        <f>688831055/10^6</f>
        <v>688.83105499999999</v>
      </c>
      <c r="F1039">
        <f>0</f>
        <v>0</v>
      </c>
      <c r="G1039">
        <f>230244446/10^6</f>
        <v>230.24444600000001</v>
      </c>
      <c r="H1039">
        <f>0</f>
        <v>0</v>
      </c>
      <c r="I1039">
        <f>-44584354/10^6</f>
        <v>-44.584353999999998</v>
      </c>
      <c r="J1039">
        <f>0</f>
        <v>0</v>
      </c>
    </row>
    <row r="1040" spans="1:10" x14ac:dyDescent="0.25">
      <c r="A1040" t="s">
        <v>1049</v>
      </c>
      <c r="B1040" t="s">
        <v>11</v>
      </c>
      <c r="C1040">
        <v>115.676367188</v>
      </c>
      <c r="D1040">
        <f>0</f>
        <v>0</v>
      </c>
      <c r="E1040">
        <f>680575317/10^6</f>
        <v>680.57531700000004</v>
      </c>
      <c r="F1040">
        <f>0</f>
        <v>0</v>
      </c>
      <c r="G1040">
        <f>230365829/10^6</f>
        <v>230.36582899999999</v>
      </c>
      <c r="H1040">
        <f>0</f>
        <v>0</v>
      </c>
      <c r="I1040">
        <f>-45447121/10^6</f>
        <v>-45.447121000000003</v>
      </c>
      <c r="J1040">
        <f>0</f>
        <v>0</v>
      </c>
    </row>
    <row r="1041" spans="1:10" x14ac:dyDescent="0.25">
      <c r="A1041" t="s">
        <v>1050</v>
      </c>
      <c r="B1041" t="s">
        <v>11</v>
      </c>
      <c r="C1041">
        <v>119.567234375</v>
      </c>
      <c r="D1041">
        <f>0</f>
        <v>0</v>
      </c>
      <c r="E1041">
        <f>657662598/10^6</f>
        <v>657.662598</v>
      </c>
      <c r="F1041">
        <f>0</f>
        <v>0</v>
      </c>
      <c r="G1041">
        <f>230710159/10^6</f>
        <v>230.710159</v>
      </c>
      <c r="H1041">
        <f>0</f>
        <v>0</v>
      </c>
      <c r="I1041">
        <f>-43911751/10^6</f>
        <v>-43.911751000000002</v>
      </c>
      <c r="J1041">
        <f>0</f>
        <v>0</v>
      </c>
    </row>
    <row r="1042" spans="1:10" x14ac:dyDescent="0.25">
      <c r="A1042" t="s">
        <v>1051</v>
      </c>
      <c r="B1042" t="s">
        <v>11</v>
      </c>
      <c r="C1042">
        <v>123.951375</v>
      </c>
      <c r="D1042">
        <f>0</f>
        <v>0</v>
      </c>
      <c r="E1042">
        <f>633170349/10^6</f>
        <v>633.17034899999999</v>
      </c>
      <c r="F1042">
        <f>0</f>
        <v>0</v>
      </c>
      <c r="G1042">
        <f>231065811/10^6</f>
        <v>231.065811</v>
      </c>
      <c r="H1042">
        <f>0</f>
        <v>0</v>
      </c>
      <c r="I1042">
        <f>-42080936/10^6</f>
        <v>-42.080936000000001</v>
      </c>
      <c r="J1042">
        <f>0</f>
        <v>0</v>
      </c>
    </row>
    <row r="1043" spans="1:10" x14ac:dyDescent="0.25">
      <c r="A1043" t="s">
        <v>1052</v>
      </c>
      <c r="B1043" t="s">
        <v>11</v>
      </c>
      <c r="C1043">
        <v>126.66971875</v>
      </c>
      <c r="D1043">
        <f>0</f>
        <v>0</v>
      </c>
      <c r="E1043">
        <f>618356445/10^6</f>
        <v>618.35644500000001</v>
      </c>
      <c r="F1043">
        <f>0</f>
        <v>0</v>
      </c>
      <c r="G1043">
        <f>23161647/10^5</f>
        <v>231.61646999999999</v>
      </c>
      <c r="H1043">
        <f>0</f>
        <v>0</v>
      </c>
      <c r="I1043">
        <f>-37848301/10^6</f>
        <v>-37.848300999999999</v>
      </c>
      <c r="J1043">
        <f>0</f>
        <v>0</v>
      </c>
    </row>
    <row r="1044" spans="1:10" x14ac:dyDescent="0.25">
      <c r="A1044" t="s">
        <v>1053</v>
      </c>
      <c r="B1044" t="s">
        <v>11</v>
      </c>
      <c r="C1044">
        <v>126.40390625000001</v>
      </c>
      <c r="D1044">
        <f>0</f>
        <v>0</v>
      </c>
      <c r="E1044">
        <f>617989441/10^6</f>
        <v>617.98944100000006</v>
      </c>
      <c r="F1044">
        <f>0</f>
        <v>0</v>
      </c>
      <c r="G1044">
        <f>231517578/10^6</f>
        <v>231.51757799999999</v>
      </c>
      <c r="H1044">
        <f>0</f>
        <v>0</v>
      </c>
      <c r="I1044">
        <f>-34328503/10^6</f>
        <v>-34.328502999999998</v>
      </c>
      <c r="J1044">
        <f>0</f>
        <v>0</v>
      </c>
    </row>
    <row r="1045" spans="1:10" x14ac:dyDescent="0.25">
      <c r="A1045" t="s">
        <v>1054</v>
      </c>
      <c r="B1045" t="s">
        <v>11</v>
      </c>
      <c r="C1045">
        <v>125.005421875</v>
      </c>
      <c r="D1045">
        <f>0</f>
        <v>0</v>
      </c>
      <c r="E1045">
        <f>624623108/10^6</f>
        <v>624.623108</v>
      </c>
      <c r="F1045">
        <f>0</f>
        <v>0</v>
      </c>
      <c r="G1045">
        <f>230777695/10^6</f>
        <v>230.77769499999999</v>
      </c>
      <c r="H1045">
        <f>0</f>
        <v>0</v>
      </c>
      <c r="I1045">
        <f>-36064808/10^6</f>
        <v>-36.064807999999999</v>
      </c>
      <c r="J1045">
        <f>0</f>
        <v>0</v>
      </c>
    </row>
    <row r="1046" spans="1:10" x14ac:dyDescent="0.25">
      <c r="A1046" t="s">
        <v>1055</v>
      </c>
      <c r="B1046" t="s">
        <v>11</v>
      </c>
      <c r="C1046">
        <v>125.015953125</v>
      </c>
      <c r="D1046">
        <f>0</f>
        <v>0</v>
      </c>
      <c r="E1046">
        <f>626707092/10^6</f>
        <v>626.70709199999999</v>
      </c>
      <c r="F1046">
        <f>0</f>
        <v>0</v>
      </c>
      <c r="G1046">
        <f>231224579/10^6</f>
        <v>231.22457900000001</v>
      </c>
      <c r="H1046">
        <f>0</f>
        <v>0</v>
      </c>
      <c r="I1046">
        <f>-37740417/10^6</f>
        <v>-37.740417000000001</v>
      </c>
      <c r="J1046">
        <f>0</f>
        <v>0</v>
      </c>
    </row>
    <row r="1047" spans="1:10" x14ac:dyDescent="0.25">
      <c r="A1047" t="s">
        <v>1056</v>
      </c>
      <c r="B1047" t="s">
        <v>11</v>
      </c>
      <c r="C1047">
        <v>125.36334375</v>
      </c>
      <c r="D1047">
        <f>0</f>
        <v>0</v>
      </c>
      <c r="E1047">
        <f>625821594/10^6</f>
        <v>625.821594</v>
      </c>
      <c r="F1047">
        <f>0</f>
        <v>0</v>
      </c>
      <c r="G1047">
        <f>231857056/10^6</f>
        <v>231.857056</v>
      </c>
      <c r="H1047">
        <f>0</f>
        <v>0</v>
      </c>
      <c r="I1047">
        <f>-3662933/10^5</f>
        <v>-36.629330000000003</v>
      </c>
      <c r="J1047">
        <f>0</f>
        <v>0</v>
      </c>
    </row>
    <row r="1048" spans="1:10" x14ac:dyDescent="0.25">
      <c r="A1048" t="s">
        <v>1057</v>
      </c>
      <c r="B1048" t="s">
        <v>11</v>
      </c>
      <c r="C1048">
        <v>124.7895</v>
      </c>
      <c r="D1048">
        <f>0</f>
        <v>0</v>
      </c>
      <c r="E1048">
        <f>628721436/10^6</f>
        <v>628.72143600000004</v>
      </c>
      <c r="F1048">
        <f>0</f>
        <v>0</v>
      </c>
      <c r="G1048">
        <f>231750275/10^6</f>
        <v>231.75027499999999</v>
      </c>
      <c r="H1048">
        <f>0</f>
        <v>0</v>
      </c>
      <c r="I1048">
        <f>-36282455/10^6</f>
        <v>-36.282454999999999</v>
      </c>
      <c r="J1048">
        <f>0</f>
        <v>0</v>
      </c>
    </row>
    <row r="1049" spans="1:10" x14ac:dyDescent="0.25">
      <c r="A1049" t="s">
        <v>1058</v>
      </c>
      <c r="B1049" t="s">
        <v>11</v>
      </c>
      <c r="C1049">
        <v>123.953929688</v>
      </c>
      <c r="D1049">
        <f>0</f>
        <v>0</v>
      </c>
      <c r="E1049">
        <f>633777466/10^6</f>
        <v>633.777466</v>
      </c>
      <c r="F1049">
        <f>0</f>
        <v>0</v>
      </c>
      <c r="G1049">
        <f>231884964/10^6</f>
        <v>231.884964</v>
      </c>
      <c r="H1049">
        <f>0</f>
        <v>0</v>
      </c>
      <c r="I1049">
        <f>-37027802/10^6</f>
        <v>-37.027802000000001</v>
      </c>
      <c r="J1049">
        <f>0</f>
        <v>0</v>
      </c>
    </row>
    <row r="1050" spans="1:10" x14ac:dyDescent="0.25">
      <c r="A1050" t="s">
        <v>1059</v>
      </c>
      <c r="B1050" t="s">
        <v>11</v>
      </c>
      <c r="C1050">
        <v>123.564859375</v>
      </c>
      <c r="D1050">
        <f>0</f>
        <v>0</v>
      </c>
      <c r="E1050">
        <f>63642395/10^5</f>
        <v>636.42394999999999</v>
      </c>
      <c r="F1050">
        <f>0</f>
        <v>0</v>
      </c>
      <c r="G1050">
        <f>231989899/10^6</f>
        <v>231.98989900000001</v>
      </c>
      <c r="H1050">
        <f>0</f>
        <v>0</v>
      </c>
      <c r="I1050">
        <f>-37537991/10^6</f>
        <v>-37.537990999999998</v>
      </c>
      <c r="J1050">
        <f>0</f>
        <v>0</v>
      </c>
    </row>
    <row r="1051" spans="1:10" x14ac:dyDescent="0.25">
      <c r="A1051" t="s">
        <v>1060</v>
      </c>
      <c r="B1051" t="s">
        <v>11</v>
      </c>
      <c r="C1051">
        <v>123.30782031300001</v>
      </c>
      <c r="D1051">
        <f>0</f>
        <v>0</v>
      </c>
      <c r="E1051">
        <f>638124329/10^6</f>
        <v>638.12432899999999</v>
      </c>
      <c r="F1051">
        <f>0</f>
        <v>0</v>
      </c>
      <c r="G1051">
        <f>231984833/10^6</f>
        <v>231.98483300000001</v>
      </c>
      <c r="H1051">
        <f>0</f>
        <v>0</v>
      </c>
      <c r="I1051">
        <f>-37627453/10^6</f>
        <v>-37.627453000000003</v>
      </c>
      <c r="J1051">
        <f>0</f>
        <v>0</v>
      </c>
    </row>
    <row r="1052" spans="1:10" x14ac:dyDescent="0.25">
      <c r="A1052" t="s">
        <v>1061</v>
      </c>
      <c r="B1052" t="s">
        <v>11</v>
      </c>
      <c r="C1052">
        <v>122.894484375</v>
      </c>
      <c r="D1052">
        <f>0</f>
        <v>0</v>
      </c>
      <c r="E1052">
        <f>640192322/10^6</f>
        <v>640.19232199999999</v>
      </c>
      <c r="F1052">
        <f>0</f>
        <v>0</v>
      </c>
      <c r="G1052">
        <f>231951904/10^6</f>
        <v>231.95190400000001</v>
      </c>
      <c r="H1052">
        <f>0</f>
        <v>0</v>
      </c>
      <c r="I1052">
        <f>-37549335/10^6</f>
        <v>-37.549334999999999</v>
      </c>
      <c r="J1052">
        <f>0</f>
        <v>0</v>
      </c>
    </row>
    <row r="1053" spans="1:10" x14ac:dyDescent="0.25">
      <c r="A1053" t="s">
        <v>1062</v>
      </c>
      <c r="B1053" t="s">
        <v>11</v>
      </c>
      <c r="C1053">
        <v>122.494257813</v>
      </c>
      <c r="D1053">
        <f>0</f>
        <v>0</v>
      </c>
      <c r="E1053">
        <f>642248779/10^6</f>
        <v>642.24877900000001</v>
      </c>
      <c r="F1053">
        <f>0</f>
        <v>0</v>
      </c>
      <c r="G1053">
        <f>231912109/10^6</f>
        <v>231.91210899999999</v>
      </c>
      <c r="H1053">
        <f>0</f>
        <v>0</v>
      </c>
      <c r="I1053">
        <f>-37627064/10^6</f>
        <v>-37.627063999999997</v>
      </c>
      <c r="J1053">
        <f>0</f>
        <v>0</v>
      </c>
    </row>
    <row r="1054" spans="1:10" x14ac:dyDescent="0.25">
      <c r="A1054" t="s">
        <v>1063</v>
      </c>
      <c r="B1054" t="s">
        <v>11</v>
      </c>
      <c r="C1054">
        <v>122.060875</v>
      </c>
      <c r="D1054">
        <f>0</f>
        <v>0</v>
      </c>
      <c r="E1054">
        <f>644601807/10^6</f>
        <v>644.60180700000001</v>
      </c>
      <c r="F1054">
        <f>0</f>
        <v>0</v>
      </c>
      <c r="G1054">
        <f>231846695/10^6</f>
        <v>231.84669500000001</v>
      </c>
      <c r="H1054">
        <f>0</f>
        <v>0</v>
      </c>
      <c r="I1054">
        <f>-37931278/10^6</f>
        <v>-37.931277999999999</v>
      </c>
      <c r="J1054">
        <f>0</f>
        <v>0</v>
      </c>
    </row>
    <row r="1055" spans="1:10" x14ac:dyDescent="0.25">
      <c r="A1055" t="s">
        <v>1064</v>
      </c>
      <c r="B1055" t="s">
        <v>11</v>
      </c>
      <c r="C1055">
        <v>121.53035156300001</v>
      </c>
      <c r="D1055">
        <f>0</f>
        <v>0</v>
      </c>
      <c r="E1055">
        <f>647444702/10^6</f>
        <v>647.44470200000001</v>
      </c>
      <c r="F1055">
        <f>0</f>
        <v>0</v>
      </c>
      <c r="G1055">
        <f>231770508/10^6</f>
        <v>231.77050800000001</v>
      </c>
      <c r="H1055">
        <f>0</f>
        <v>0</v>
      </c>
      <c r="I1055">
        <f>-38208752/10^6</f>
        <v>-38.208751999999997</v>
      </c>
      <c r="J1055">
        <f>0</f>
        <v>0</v>
      </c>
    </row>
    <row r="1056" spans="1:10" x14ac:dyDescent="0.25">
      <c r="A1056" t="s">
        <v>1065</v>
      </c>
      <c r="B1056" t="s">
        <v>11</v>
      </c>
      <c r="C1056">
        <v>120.95887500000001</v>
      </c>
      <c r="D1056">
        <f>0</f>
        <v>0</v>
      </c>
      <c r="E1056">
        <f>650530396/10^6</f>
        <v>650.530396</v>
      </c>
      <c r="F1056">
        <f>0</f>
        <v>0</v>
      </c>
      <c r="G1056">
        <f>231680923/10^6</f>
        <v>231.68092300000001</v>
      </c>
      <c r="H1056">
        <f>0</f>
        <v>0</v>
      </c>
      <c r="I1056">
        <f>-38502193/10^6</f>
        <v>-38.502192999999998</v>
      </c>
      <c r="J1056">
        <f>0</f>
        <v>0</v>
      </c>
    </row>
    <row r="1057" spans="1:10" x14ac:dyDescent="0.25">
      <c r="A1057" t="s">
        <v>1066</v>
      </c>
      <c r="B1057" t="s">
        <v>11</v>
      </c>
      <c r="C1057">
        <v>0</v>
      </c>
      <c r="D1057">
        <f>2</f>
        <v>2</v>
      </c>
      <c r="F1057">
        <f>2</f>
        <v>2</v>
      </c>
      <c r="H1057">
        <f>2</f>
        <v>2</v>
      </c>
      <c r="J1057">
        <f>2</f>
        <v>2</v>
      </c>
    </row>
    <row r="1058" spans="1:10" x14ac:dyDescent="0.25">
      <c r="A1058" t="s">
        <v>1067</v>
      </c>
      <c r="B1058" t="s">
        <v>11</v>
      </c>
      <c r="C1058">
        <v>119.78244531300001</v>
      </c>
      <c r="D1058">
        <f>0</f>
        <v>0</v>
      </c>
      <c r="E1058">
        <f>656638123/10^6</f>
        <v>656.63812299999995</v>
      </c>
      <c r="F1058">
        <f>0</f>
        <v>0</v>
      </c>
      <c r="G1058">
        <f>231475693/10^6</f>
        <v>231.47569300000001</v>
      </c>
      <c r="H1058">
        <f>0</f>
        <v>0</v>
      </c>
      <c r="I1058">
        <f>-39093494/10^6</f>
        <v>-39.093494</v>
      </c>
      <c r="J1058">
        <f>0</f>
        <v>0</v>
      </c>
    </row>
    <row r="1059" spans="1:10" x14ac:dyDescent="0.25">
      <c r="A1059" t="s">
        <v>1068</v>
      </c>
      <c r="B1059" t="s">
        <v>11</v>
      </c>
      <c r="C1059">
        <v>119.14063281300001</v>
      </c>
      <c r="D1059">
        <f>0</f>
        <v>0</v>
      </c>
      <c r="E1059">
        <f>660040527/10^6</f>
        <v>660.040527</v>
      </c>
      <c r="F1059">
        <f>0</f>
        <v>0</v>
      </c>
      <c r="G1059">
        <f>231347/10^3</f>
        <v>231.34700000000001</v>
      </c>
      <c r="H1059">
        <f>0</f>
        <v>0</v>
      </c>
      <c r="I1059">
        <f>-39349457/10^6</f>
        <v>-39.349457000000001</v>
      </c>
      <c r="J1059">
        <f>0</f>
        <v>0</v>
      </c>
    </row>
    <row r="1060" spans="1:10" x14ac:dyDescent="0.25">
      <c r="A1060" t="s">
        <v>1069</v>
      </c>
      <c r="B1060" t="s">
        <v>11</v>
      </c>
      <c r="C1060">
        <v>118.41667187500001</v>
      </c>
      <c r="D1060">
        <f>0</f>
        <v>0</v>
      </c>
      <c r="E1060">
        <f>664160339/10^6</f>
        <v>664.16033900000002</v>
      </c>
      <c r="F1060">
        <f>0</f>
        <v>0</v>
      </c>
      <c r="G1060">
        <f>231222366/10^6</f>
        <v>231.22236599999999</v>
      </c>
      <c r="H1060">
        <f>0</f>
        <v>0</v>
      </c>
      <c r="I1060">
        <f>-39960938/10^6</f>
        <v>-39.960937999999999</v>
      </c>
      <c r="J1060">
        <f>0</f>
        <v>0</v>
      </c>
    </row>
    <row r="1061" spans="1:10" x14ac:dyDescent="0.25">
      <c r="A1061" t="s">
        <v>1070</v>
      </c>
      <c r="B1061" t="s">
        <v>11</v>
      </c>
      <c r="C1061">
        <v>117.71809374999999</v>
      </c>
      <c r="D1061">
        <f>0</f>
        <v>0</v>
      </c>
      <c r="E1061">
        <f>668115051/10^6</f>
        <v>668.11505099999999</v>
      </c>
      <c r="F1061">
        <f>0</f>
        <v>0</v>
      </c>
      <c r="G1061">
        <f>231086975/10^6</f>
        <v>231.086975</v>
      </c>
      <c r="H1061">
        <f>0</f>
        <v>0</v>
      </c>
      <c r="I1061">
        <f>-40668079/10^6</f>
        <v>-40.668078999999999</v>
      </c>
      <c r="J1061">
        <f>0</f>
        <v>0</v>
      </c>
    </row>
    <row r="1062" spans="1:10" x14ac:dyDescent="0.25">
      <c r="A1062" t="s">
        <v>1071</v>
      </c>
      <c r="B1062" t="s">
        <v>11</v>
      </c>
      <c r="C1062">
        <v>117.04600000000001</v>
      </c>
      <c r="D1062">
        <f>0</f>
        <v>0</v>
      </c>
      <c r="E1062">
        <f>671749695/10^6</f>
        <v>671.74969499999997</v>
      </c>
      <c r="F1062">
        <f>0</f>
        <v>0</v>
      </c>
      <c r="G1062">
        <f>230931091/10^6</f>
        <v>230.93109100000001</v>
      </c>
      <c r="H1062">
        <f>0</f>
        <v>0</v>
      </c>
      <c r="I1062">
        <f>-41108456/10^6</f>
        <v>-41.108455999999997</v>
      </c>
      <c r="J1062">
        <f>0</f>
        <v>0</v>
      </c>
    </row>
    <row r="1063" spans="1:10" x14ac:dyDescent="0.25">
      <c r="A1063" t="s">
        <v>1072</v>
      </c>
      <c r="B1063" t="s">
        <v>11</v>
      </c>
      <c r="C1063">
        <v>116.360460938</v>
      </c>
      <c r="D1063">
        <f>0</f>
        <v>0</v>
      </c>
      <c r="E1063">
        <f>675601379/10^6</f>
        <v>675.60137899999995</v>
      </c>
      <c r="F1063">
        <f>0</f>
        <v>0</v>
      </c>
      <c r="G1063">
        <f>230800919/10^6</f>
        <v>230.80091899999999</v>
      </c>
      <c r="H1063">
        <f>0</f>
        <v>0</v>
      </c>
      <c r="I1063">
        <f>-41555962/10^6</f>
        <v>-41.555962000000001</v>
      </c>
      <c r="J1063">
        <f>0</f>
        <v>0</v>
      </c>
    </row>
    <row r="1064" spans="1:10" x14ac:dyDescent="0.25">
      <c r="A1064" t="s">
        <v>1073</v>
      </c>
      <c r="B1064" t="s">
        <v>11</v>
      </c>
      <c r="C1064">
        <v>115.740390625</v>
      </c>
      <c r="D1064">
        <f>0</f>
        <v>0</v>
      </c>
      <c r="E1064">
        <f>679043335/10^6</f>
        <v>679.04333499999996</v>
      </c>
      <c r="F1064">
        <f>0</f>
        <v>0</v>
      </c>
      <c r="G1064">
        <f>23064447/10^5</f>
        <v>230.64447000000001</v>
      </c>
      <c r="H1064">
        <f>0</f>
        <v>0</v>
      </c>
      <c r="I1064">
        <f>-41996868/10^6</f>
        <v>-41.996867999999999</v>
      </c>
      <c r="J1064">
        <f>0</f>
        <v>0</v>
      </c>
    </row>
    <row r="1065" spans="1:10" x14ac:dyDescent="0.25">
      <c r="A1065" t="s">
        <v>1074</v>
      </c>
      <c r="B1065" t="s">
        <v>11</v>
      </c>
      <c r="C1065">
        <v>115.23414843800001</v>
      </c>
      <c r="D1065">
        <f>0</f>
        <v>0</v>
      </c>
      <c r="E1065">
        <f>681617798/10^6</f>
        <v>681.61779799999999</v>
      </c>
      <c r="F1065">
        <f>0</f>
        <v>0</v>
      </c>
      <c r="G1065">
        <f>230446228/10^6</f>
        <v>230.44622799999999</v>
      </c>
      <c r="H1065">
        <f>0</f>
        <v>0</v>
      </c>
      <c r="I1065">
        <f>-42288952/10^6</f>
        <v>-42.288952000000002</v>
      </c>
      <c r="J1065">
        <f>0</f>
        <v>0</v>
      </c>
    </row>
    <row r="1066" spans="1:10" x14ac:dyDescent="0.25">
      <c r="A1066" t="s">
        <v>1075</v>
      </c>
      <c r="B1066" t="s">
        <v>11</v>
      </c>
      <c r="C1066">
        <v>114.822929688</v>
      </c>
      <c r="D1066">
        <f>0</f>
        <v>0</v>
      </c>
      <c r="E1066">
        <f>683750244/10^6</f>
        <v>683.75024399999995</v>
      </c>
      <c r="F1066">
        <f>0</f>
        <v>0</v>
      </c>
      <c r="G1066">
        <f>230280426/10^6</f>
        <v>230.28042600000001</v>
      </c>
      <c r="H1066">
        <f>0</f>
        <v>0</v>
      </c>
      <c r="I1066">
        <f>-42646442/10^6</f>
        <v>-42.646442</v>
      </c>
      <c r="J1066">
        <f>0</f>
        <v>0</v>
      </c>
    </row>
    <row r="1067" spans="1:10" x14ac:dyDescent="0.25">
      <c r="A1067" t="s">
        <v>1076</v>
      </c>
      <c r="B1067" t="s">
        <v>11</v>
      </c>
      <c r="C1067">
        <v>114.52509375</v>
      </c>
      <c r="D1067">
        <f>0</f>
        <v>0</v>
      </c>
      <c r="E1067">
        <f>685571777/10^6</f>
        <v>685.571777</v>
      </c>
      <c r="F1067">
        <f>0</f>
        <v>0</v>
      </c>
      <c r="G1067">
        <f>230209229/10^6</f>
        <v>230.20922899999999</v>
      </c>
      <c r="H1067">
        <f>0</f>
        <v>0</v>
      </c>
      <c r="I1067">
        <f>-43097092/10^6</f>
        <v>-43.097092000000004</v>
      </c>
      <c r="J1067">
        <f>0</f>
        <v>0</v>
      </c>
    </row>
    <row r="1068" spans="1:10" x14ac:dyDescent="0.25">
      <c r="A1068" t="s">
        <v>1077</v>
      </c>
      <c r="B1068" t="s">
        <v>11</v>
      </c>
      <c r="C1068">
        <v>114.356601563</v>
      </c>
      <c r="D1068">
        <f>0</f>
        <v>0</v>
      </c>
      <c r="E1068">
        <f>686716614/10^6</f>
        <v>686.71661400000005</v>
      </c>
      <c r="F1068">
        <f>0</f>
        <v>0</v>
      </c>
      <c r="G1068">
        <f>230203476/10^6</f>
        <v>230.20347599999999</v>
      </c>
      <c r="H1068">
        <f>0</f>
        <v>0</v>
      </c>
      <c r="I1068">
        <f>-43287746/10^6</f>
        <v>-43.287745999999999</v>
      </c>
      <c r="J1068">
        <f>0</f>
        <v>0</v>
      </c>
    </row>
    <row r="1069" spans="1:10" x14ac:dyDescent="0.25">
      <c r="A1069" t="s">
        <v>1078</v>
      </c>
      <c r="B1069" t="s">
        <v>11</v>
      </c>
      <c r="C1069">
        <v>114.3385</v>
      </c>
      <c r="D1069">
        <f>0</f>
        <v>0</v>
      </c>
      <c r="E1069">
        <f>686730286/10^6</f>
        <v>686.73028599999998</v>
      </c>
      <c r="F1069">
        <f>0</f>
        <v>0</v>
      </c>
      <c r="G1069">
        <f>230184586/10^6</f>
        <v>230.184586</v>
      </c>
      <c r="H1069">
        <f>0</f>
        <v>0</v>
      </c>
      <c r="I1069">
        <f>-43224262/10^6</f>
        <v>-43.224262000000003</v>
      </c>
      <c r="J1069">
        <f>0</f>
        <v>0</v>
      </c>
    </row>
    <row r="1070" spans="1:10" x14ac:dyDescent="0.25">
      <c r="A1070" t="s">
        <v>1079</v>
      </c>
      <c r="B1070" t="s">
        <v>11</v>
      </c>
      <c r="C1070">
        <v>114.4289375</v>
      </c>
      <c r="D1070">
        <f>0</f>
        <v>0</v>
      </c>
      <c r="E1070">
        <f>686402466/10^6</f>
        <v>686.402466</v>
      </c>
      <c r="F1070">
        <f>0</f>
        <v>0</v>
      </c>
      <c r="G1070">
        <f>230255341/10^6</f>
        <v>230.25534099999999</v>
      </c>
      <c r="H1070">
        <f>0</f>
        <v>0</v>
      </c>
      <c r="I1070">
        <f>-43272705/10^6</f>
        <v>-43.272705000000002</v>
      </c>
      <c r="J1070">
        <f>0</f>
        <v>0</v>
      </c>
    </row>
    <row r="1071" spans="1:10" x14ac:dyDescent="0.25">
      <c r="A1071" t="s">
        <v>1080</v>
      </c>
      <c r="B1071" t="s">
        <v>11</v>
      </c>
      <c r="C1071">
        <v>114.49749218800001</v>
      </c>
      <c r="D1071">
        <f>0</f>
        <v>0</v>
      </c>
      <c r="E1071">
        <f>686290161/10^6</f>
        <v>686.29016100000001</v>
      </c>
      <c r="F1071">
        <f>0</f>
        <v>0</v>
      </c>
      <c r="G1071">
        <f>230348557/10^6</f>
        <v>230.348557</v>
      </c>
      <c r="H1071">
        <f>0</f>
        <v>0</v>
      </c>
      <c r="I1071">
        <f>-43281456/10^6</f>
        <v>-43.281455999999999</v>
      </c>
      <c r="J1071">
        <f>0</f>
        <v>0</v>
      </c>
    </row>
    <row r="1072" spans="1:10" x14ac:dyDescent="0.25">
      <c r="A1072" t="s">
        <v>1081</v>
      </c>
      <c r="B1072" t="s">
        <v>11</v>
      </c>
      <c r="C1072">
        <v>114.505515625</v>
      </c>
      <c r="D1072">
        <f>0</f>
        <v>0</v>
      </c>
      <c r="E1072">
        <f>686279846/10^6</f>
        <v>686.27984600000002</v>
      </c>
      <c r="F1072">
        <f>0</f>
        <v>0</v>
      </c>
      <c r="G1072">
        <f>230373505/10^6</f>
        <v>230.37350499999999</v>
      </c>
      <c r="H1072">
        <f>0</f>
        <v>0</v>
      </c>
      <c r="I1072">
        <f>-4321954/10^5</f>
        <v>-43.219540000000002</v>
      </c>
      <c r="J1072">
        <f>0</f>
        <v>0</v>
      </c>
    </row>
    <row r="1073" spans="1:10" x14ac:dyDescent="0.25">
      <c r="A1073" t="s">
        <v>1082</v>
      </c>
      <c r="B1073" t="s">
        <v>11</v>
      </c>
      <c r="C1073">
        <v>114.482921875</v>
      </c>
      <c r="D1073">
        <f>0</f>
        <v>0</v>
      </c>
      <c r="E1073">
        <f>686456299/10^6</f>
        <v>686.45629899999994</v>
      </c>
      <c r="F1073">
        <f>0</f>
        <v>0</v>
      </c>
      <c r="G1073">
        <f>230414886/10^6</f>
        <v>230.414886</v>
      </c>
      <c r="H1073">
        <f>0</f>
        <v>0</v>
      </c>
      <c r="I1073">
        <f>-43146313/10^6</f>
        <v>-43.146312999999999</v>
      </c>
      <c r="J1073">
        <f>0</f>
        <v>0</v>
      </c>
    </row>
    <row r="1074" spans="1:10" x14ac:dyDescent="0.25">
      <c r="A1074" t="s">
        <v>1083</v>
      </c>
      <c r="B1074" t="s">
        <v>11</v>
      </c>
      <c r="C1074">
        <v>0</v>
      </c>
      <c r="D1074">
        <f>2</f>
        <v>2</v>
      </c>
      <c r="F1074">
        <f>2</f>
        <v>2</v>
      </c>
      <c r="H1074">
        <f>2</f>
        <v>2</v>
      </c>
      <c r="J1074">
        <f>2</f>
        <v>2</v>
      </c>
    </row>
    <row r="1075" spans="1:10" x14ac:dyDescent="0.25">
      <c r="A1075" t="s">
        <v>1084</v>
      </c>
      <c r="B1075" t="s">
        <v>11</v>
      </c>
      <c r="C1075">
        <v>114.35418749999999</v>
      </c>
      <c r="D1075">
        <f>0</f>
        <v>0</v>
      </c>
      <c r="E1075">
        <f>68732489/10^5</f>
        <v>687.32488999999998</v>
      </c>
      <c r="F1075">
        <f>0</f>
        <v>0</v>
      </c>
      <c r="G1075">
        <f>230373413/10^6</f>
        <v>230.373413</v>
      </c>
      <c r="H1075">
        <f>0</f>
        <v>0</v>
      </c>
      <c r="I1075">
        <f>-43344467/10^6</f>
        <v>-43.344467000000002</v>
      </c>
      <c r="J1075">
        <f>0</f>
        <v>0</v>
      </c>
    </row>
    <row r="1076" spans="1:10" x14ac:dyDescent="0.25">
      <c r="A1076" t="s">
        <v>1085</v>
      </c>
      <c r="B1076" t="s">
        <v>11</v>
      </c>
      <c r="C1076">
        <v>114.316789063</v>
      </c>
      <c r="D1076">
        <f>0</f>
        <v>0</v>
      </c>
      <c r="E1076">
        <f>687767822/10^6</f>
        <v>687.76782200000002</v>
      </c>
      <c r="F1076">
        <f>0</f>
        <v>0</v>
      </c>
      <c r="G1076">
        <f>230415131/10^6</f>
        <v>230.415131</v>
      </c>
      <c r="H1076">
        <f>0</f>
        <v>0</v>
      </c>
      <c r="I1076">
        <f>-43538742/10^6</f>
        <v>-43.538741999999999</v>
      </c>
      <c r="J1076">
        <f>0</f>
        <v>0</v>
      </c>
    </row>
    <row r="1077" spans="1:10" x14ac:dyDescent="0.25">
      <c r="A1077" t="s">
        <v>1086</v>
      </c>
      <c r="B1077" t="s">
        <v>11</v>
      </c>
      <c r="C1077">
        <v>114.33450000000001</v>
      </c>
      <c r="D1077">
        <f>0</f>
        <v>0</v>
      </c>
      <c r="E1077">
        <f>687662292/10^6</f>
        <v>687.66229199999998</v>
      </c>
      <c r="F1077">
        <f>0</f>
        <v>0</v>
      </c>
      <c r="G1077">
        <f>23046402/10^5</f>
        <v>230.46402</v>
      </c>
      <c r="H1077">
        <f>0</f>
        <v>0</v>
      </c>
      <c r="I1077">
        <f>-43352272/10^6</f>
        <v>-43.352271999999999</v>
      </c>
      <c r="J1077">
        <f>0</f>
        <v>0</v>
      </c>
    </row>
    <row r="1078" spans="1:10" x14ac:dyDescent="0.25">
      <c r="A1078" t="s">
        <v>1087</v>
      </c>
      <c r="B1078" t="s">
        <v>11</v>
      </c>
      <c r="C1078">
        <v>114.41137500000001</v>
      </c>
      <c r="D1078">
        <f>0</f>
        <v>0</v>
      </c>
      <c r="E1078">
        <f>687363037/10^6</f>
        <v>687.36303699999996</v>
      </c>
      <c r="F1078">
        <f>0</f>
        <v>0</v>
      </c>
      <c r="G1078">
        <f>230506805/10^6</f>
        <v>230.50680500000001</v>
      </c>
      <c r="H1078">
        <f>0</f>
        <v>0</v>
      </c>
      <c r="I1078">
        <f>-4342757/10^5</f>
        <v>-43.427570000000003</v>
      </c>
      <c r="J1078">
        <f>0</f>
        <v>0</v>
      </c>
    </row>
    <row r="1079" spans="1:10" x14ac:dyDescent="0.25">
      <c r="A1079" t="s">
        <v>1088</v>
      </c>
      <c r="B1079" t="s">
        <v>11</v>
      </c>
      <c r="C1079">
        <v>114.57078906300001</v>
      </c>
      <c r="D1079">
        <f>0</f>
        <v>0</v>
      </c>
      <c r="E1079">
        <f>686548096/10^6</f>
        <v>686.54809599999999</v>
      </c>
      <c r="F1079">
        <f>0</f>
        <v>0</v>
      </c>
      <c r="G1079">
        <f>230563339/10^6</f>
        <v>230.56333900000001</v>
      </c>
      <c r="H1079">
        <f>0</f>
        <v>0</v>
      </c>
      <c r="I1079">
        <f>-4342345/10^5</f>
        <v>-43.423450000000003</v>
      </c>
      <c r="J1079">
        <f>0</f>
        <v>0</v>
      </c>
    </row>
    <row r="1080" spans="1:10" x14ac:dyDescent="0.25">
      <c r="A1080" t="s">
        <v>1089</v>
      </c>
      <c r="B1080" t="s">
        <v>11</v>
      </c>
      <c r="C1080">
        <v>114.76160937500001</v>
      </c>
      <c r="D1080">
        <f>0</f>
        <v>0</v>
      </c>
      <c r="E1080">
        <f>685396362/10^6</f>
        <v>685.39636199999995</v>
      </c>
      <c r="F1080">
        <f>0</f>
        <v>0</v>
      </c>
      <c r="G1080">
        <f>230628387/10^6</f>
        <v>230.628387</v>
      </c>
      <c r="H1080">
        <f>0</f>
        <v>0</v>
      </c>
      <c r="I1080">
        <f>-43060001/10^6</f>
        <v>-43.060001</v>
      </c>
      <c r="J1080">
        <f>0</f>
        <v>0</v>
      </c>
    </row>
    <row r="1081" spans="1:10" x14ac:dyDescent="0.25">
      <c r="A1081" t="s">
        <v>1090</v>
      </c>
      <c r="B1081" t="s">
        <v>11</v>
      </c>
      <c r="C1081">
        <v>0</v>
      </c>
      <c r="D1081">
        <f>2</f>
        <v>2</v>
      </c>
      <c r="F1081">
        <f>2</f>
        <v>2</v>
      </c>
      <c r="H1081">
        <f>2</f>
        <v>2</v>
      </c>
      <c r="J1081">
        <f>2</f>
        <v>2</v>
      </c>
    </row>
    <row r="1082" spans="1:10" x14ac:dyDescent="0.25">
      <c r="A1082" t="s">
        <v>1091</v>
      </c>
      <c r="B1082" t="s">
        <v>11</v>
      </c>
      <c r="C1082">
        <v>115.118054688</v>
      </c>
      <c r="D1082">
        <f>0</f>
        <v>0</v>
      </c>
      <c r="E1082">
        <f>683225708/10^6</f>
        <v>683.22570800000005</v>
      </c>
      <c r="F1082">
        <f>0</f>
        <v>0</v>
      </c>
      <c r="G1082">
        <f>230695145/10^6</f>
        <v>230.695145</v>
      </c>
      <c r="H1082">
        <f>0</f>
        <v>0</v>
      </c>
      <c r="I1082">
        <f>-42662754/10^6</f>
        <v>-42.662754</v>
      </c>
      <c r="J1082">
        <f>0</f>
        <v>0</v>
      </c>
    </row>
    <row r="1083" spans="1:10" x14ac:dyDescent="0.25">
      <c r="A1083" t="s">
        <v>1092</v>
      </c>
      <c r="B1083" t="s">
        <v>11</v>
      </c>
      <c r="C1083">
        <v>115.31025781300001</v>
      </c>
      <c r="D1083">
        <f>0</f>
        <v>0</v>
      </c>
      <c r="E1083">
        <f>682345093/10^6</f>
        <v>682.34509300000002</v>
      </c>
      <c r="F1083">
        <f>0</f>
        <v>0</v>
      </c>
      <c r="G1083">
        <f>230777206/10^6</f>
        <v>230.77720600000001</v>
      </c>
      <c r="H1083">
        <f>0</f>
        <v>0</v>
      </c>
      <c r="I1083">
        <f>-42735382/10^6</f>
        <v>-42.735382000000001</v>
      </c>
      <c r="J1083">
        <f>0</f>
        <v>0</v>
      </c>
    </row>
    <row r="1084" spans="1:10" x14ac:dyDescent="0.25">
      <c r="A1084" t="s">
        <v>1093</v>
      </c>
      <c r="B1084" t="s">
        <v>11</v>
      </c>
      <c r="C1084">
        <v>115.517484375</v>
      </c>
      <c r="D1084">
        <f>0</f>
        <v>0</v>
      </c>
      <c r="E1084">
        <f>681268188/10^6</f>
        <v>681.26818800000001</v>
      </c>
      <c r="F1084">
        <f>0</f>
        <v>0</v>
      </c>
      <c r="G1084">
        <f>230821213/10^6</f>
        <v>230.821213</v>
      </c>
      <c r="H1084">
        <f>0</f>
        <v>0</v>
      </c>
      <c r="I1084">
        <f>-42828289/10^6</f>
        <v>-42.828288999999998</v>
      </c>
      <c r="J1084">
        <f>0</f>
        <v>0</v>
      </c>
    </row>
    <row r="1085" spans="1:10" x14ac:dyDescent="0.25">
      <c r="A1085" t="s">
        <v>1094</v>
      </c>
      <c r="B1085" t="s">
        <v>11</v>
      </c>
      <c r="C1085">
        <v>115.743351563</v>
      </c>
      <c r="D1085">
        <f>0</f>
        <v>0</v>
      </c>
      <c r="E1085">
        <f>679839294/10^6</f>
        <v>679.839294</v>
      </c>
      <c r="F1085">
        <f>0</f>
        <v>0</v>
      </c>
      <c r="G1085">
        <f>230883713/10^6</f>
        <v>230.883713</v>
      </c>
      <c r="H1085">
        <f>0</f>
        <v>0</v>
      </c>
      <c r="I1085">
        <f>-42456192/10^6</f>
        <v>-42.456192000000001</v>
      </c>
      <c r="J1085">
        <f>0</f>
        <v>0</v>
      </c>
    </row>
    <row r="1086" spans="1:10" x14ac:dyDescent="0.25">
      <c r="A1086" t="s">
        <v>1095</v>
      </c>
      <c r="B1086" t="s">
        <v>11</v>
      </c>
      <c r="C1086">
        <v>115.95790624999999</v>
      </c>
      <c r="D1086">
        <f>0</f>
        <v>0</v>
      </c>
      <c r="E1086">
        <f>678579407/10^6</f>
        <v>678.57940699999995</v>
      </c>
      <c r="F1086">
        <f>0</f>
        <v>0</v>
      </c>
      <c r="G1086">
        <f>230936493/10^6</f>
        <v>230.93649300000001</v>
      </c>
      <c r="H1086">
        <f>0</f>
        <v>0</v>
      </c>
      <c r="I1086">
        <f>-42254745/10^6</f>
        <v>-42.254745</v>
      </c>
      <c r="J1086">
        <f>0</f>
        <v>0</v>
      </c>
    </row>
    <row r="1087" spans="1:10" x14ac:dyDescent="0.25">
      <c r="A1087" t="s">
        <v>1096</v>
      </c>
      <c r="B1087" t="s">
        <v>11</v>
      </c>
      <c r="C1087">
        <v>116.169960938</v>
      </c>
      <c r="D1087">
        <f>0</f>
        <v>0</v>
      </c>
      <c r="E1087">
        <f>677350891/10^6</f>
        <v>677.35089100000005</v>
      </c>
      <c r="F1087">
        <f>0</f>
        <v>0</v>
      </c>
      <c r="G1087">
        <f>230946304/10^6</f>
        <v>230.946304</v>
      </c>
      <c r="H1087">
        <f>0</f>
        <v>0</v>
      </c>
      <c r="I1087">
        <f>-42134575/10^6</f>
        <v>-42.134574999999998</v>
      </c>
      <c r="J1087">
        <f>0</f>
        <v>0</v>
      </c>
    </row>
    <row r="1088" spans="1:10" x14ac:dyDescent="0.25">
      <c r="A1088" t="s">
        <v>1097</v>
      </c>
      <c r="B1088" t="s">
        <v>11</v>
      </c>
      <c r="C1088">
        <v>116.415539063</v>
      </c>
      <c r="D1088">
        <f>0</f>
        <v>0</v>
      </c>
      <c r="E1088">
        <f>675735291/10^6</f>
        <v>675.73529099999996</v>
      </c>
      <c r="F1088">
        <f>0</f>
        <v>0</v>
      </c>
      <c r="G1088">
        <f>230884842/10^6</f>
        <v>230.88484199999999</v>
      </c>
      <c r="H1088">
        <f>0</f>
        <v>0</v>
      </c>
      <c r="I1088">
        <f>-41982216/10^6</f>
        <v>-41.982216000000001</v>
      </c>
      <c r="J1088">
        <f>0</f>
        <v>0</v>
      </c>
    </row>
    <row r="1089" spans="1:10" x14ac:dyDescent="0.25">
      <c r="A1089" t="s">
        <v>1098</v>
      </c>
      <c r="B1089" t="s">
        <v>11</v>
      </c>
      <c r="C1089">
        <v>116.70384375</v>
      </c>
      <c r="D1089">
        <f>0</f>
        <v>0</v>
      </c>
      <c r="E1089">
        <f>673784363/10^6</f>
        <v>673.78436299999998</v>
      </c>
      <c r="F1089">
        <f>0</f>
        <v>0</v>
      </c>
      <c r="G1089">
        <f>230850082/10^6</f>
        <v>230.85008199999999</v>
      </c>
      <c r="H1089">
        <f>0</f>
        <v>0</v>
      </c>
      <c r="I1089">
        <f>-41749451/10^6</f>
        <v>-41.749451000000001</v>
      </c>
      <c r="J1089">
        <f>0</f>
        <v>0</v>
      </c>
    </row>
    <row r="1090" spans="1:10" x14ac:dyDescent="0.25">
      <c r="A1090" t="s">
        <v>1099</v>
      </c>
      <c r="B1090" t="s">
        <v>11</v>
      </c>
      <c r="C1090">
        <v>117.02721093800001</v>
      </c>
      <c r="D1090">
        <f>0</f>
        <v>0</v>
      </c>
      <c r="E1090">
        <f>672016479/10^6</f>
        <v>672.016479</v>
      </c>
      <c r="F1090">
        <f>0</f>
        <v>0</v>
      </c>
      <c r="G1090">
        <f>230941437/10^6</f>
        <v>230.94143700000001</v>
      </c>
      <c r="H1090">
        <f>0</f>
        <v>0</v>
      </c>
      <c r="I1090">
        <f>-41476009/10^6</f>
        <v>-41.476008999999998</v>
      </c>
      <c r="J1090">
        <f>0</f>
        <v>0</v>
      </c>
    </row>
    <row r="1091" spans="1:10" x14ac:dyDescent="0.25">
      <c r="A1091" t="s">
        <v>1100</v>
      </c>
      <c r="B1091" t="s">
        <v>11</v>
      </c>
      <c r="C1091">
        <v>117.383382813</v>
      </c>
      <c r="D1091">
        <f>0</f>
        <v>0</v>
      </c>
      <c r="E1091">
        <f>670355713/10^6</f>
        <v>670.35571300000004</v>
      </c>
      <c r="F1091">
        <f>0</f>
        <v>0</v>
      </c>
      <c r="G1091">
        <f>231080475/10^6</f>
        <v>231.08047500000001</v>
      </c>
      <c r="H1091">
        <f>0</f>
        <v>0</v>
      </c>
      <c r="I1091">
        <f>-41492577/10^6</f>
        <v>-41.492576999999997</v>
      </c>
      <c r="J1091">
        <f>0</f>
        <v>0</v>
      </c>
    </row>
    <row r="1092" spans="1:10" x14ac:dyDescent="0.25">
      <c r="A1092" t="s">
        <v>1101</v>
      </c>
      <c r="B1092" t="s">
        <v>11</v>
      </c>
      <c r="C1092">
        <v>0</v>
      </c>
      <c r="D1092">
        <f>2</f>
        <v>2</v>
      </c>
      <c r="F1092">
        <f>2</f>
        <v>2</v>
      </c>
      <c r="H1092">
        <f>2</f>
        <v>2</v>
      </c>
      <c r="J1092">
        <f>2</f>
        <v>2</v>
      </c>
    </row>
    <row r="1093" spans="1:10" x14ac:dyDescent="0.25">
      <c r="A1093" t="s">
        <v>1102</v>
      </c>
      <c r="B1093" t="s">
        <v>11</v>
      </c>
      <c r="C1093">
        <v>118.2868125</v>
      </c>
      <c r="D1093">
        <f>0</f>
        <v>0</v>
      </c>
      <c r="E1093">
        <f>665513428/10^6</f>
        <v>665.51342799999998</v>
      </c>
      <c r="F1093">
        <f>0</f>
        <v>0</v>
      </c>
      <c r="G1093">
        <f>231314331/10^6</f>
        <v>231.31433100000001</v>
      </c>
      <c r="H1093">
        <f>0</f>
        <v>0</v>
      </c>
      <c r="I1093">
        <f>-40889809/10^6</f>
        <v>-40.889809</v>
      </c>
      <c r="J1093">
        <f>0</f>
        <v>0</v>
      </c>
    </row>
    <row r="1094" spans="1:10" x14ac:dyDescent="0.25">
      <c r="A1094" t="s">
        <v>1103</v>
      </c>
      <c r="B1094" t="s">
        <v>11</v>
      </c>
      <c r="C1094">
        <v>118.83437499999999</v>
      </c>
      <c r="D1094">
        <f>0</f>
        <v>0</v>
      </c>
      <c r="E1094">
        <f>662649231/10^6</f>
        <v>662.64923099999999</v>
      </c>
      <c r="F1094">
        <f>0</f>
        <v>0</v>
      </c>
      <c r="G1094">
        <f>231419174/10^6</f>
        <v>231.419174</v>
      </c>
      <c r="H1094">
        <f>0</f>
        <v>0</v>
      </c>
      <c r="I1094">
        <f>-40763073/10^6</f>
        <v>-40.763072999999999</v>
      </c>
      <c r="J1094">
        <f>0</f>
        <v>0</v>
      </c>
    </row>
    <row r="1095" spans="1:10" x14ac:dyDescent="0.25">
      <c r="A1095" t="s">
        <v>1104</v>
      </c>
      <c r="B1095" t="s">
        <v>11</v>
      </c>
      <c r="C1095">
        <v>119.42264843800001</v>
      </c>
      <c r="D1095">
        <f>0</f>
        <v>0</v>
      </c>
      <c r="E1095">
        <f>659227966/10^6</f>
        <v>659.22796600000004</v>
      </c>
      <c r="F1095">
        <f>0</f>
        <v>0</v>
      </c>
      <c r="G1095">
        <f>231502792/10^6</f>
        <v>231.502792</v>
      </c>
      <c r="H1095">
        <f>0</f>
        <v>0</v>
      </c>
      <c r="I1095">
        <f>-40246468/10^6</f>
        <v>-40.246468</v>
      </c>
      <c r="J1095">
        <f>0</f>
        <v>0</v>
      </c>
    </row>
    <row r="1096" spans="1:10" x14ac:dyDescent="0.25">
      <c r="A1096" t="s">
        <v>1105</v>
      </c>
      <c r="B1096" t="s">
        <v>11</v>
      </c>
      <c r="C1096">
        <v>120.00277343800001</v>
      </c>
      <c r="D1096">
        <f>0</f>
        <v>0</v>
      </c>
      <c r="E1096">
        <f>655894653/10^6</f>
        <v>655.89465299999995</v>
      </c>
      <c r="F1096">
        <f>0</f>
        <v>0</v>
      </c>
      <c r="G1096">
        <f>231566956/10^6</f>
        <v>231.566956</v>
      </c>
      <c r="H1096">
        <f>0</f>
        <v>0</v>
      </c>
      <c r="I1096">
        <f>-39624432/10^6</f>
        <v>-39.624431999999999</v>
      </c>
      <c r="J1096">
        <f>0</f>
        <v>0</v>
      </c>
    </row>
    <row r="1097" spans="1:10" x14ac:dyDescent="0.25">
      <c r="A1097" t="s">
        <v>1106</v>
      </c>
      <c r="B1097" t="s">
        <v>11</v>
      </c>
      <c r="C1097">
        <v>120.56321875</v>
      </c>
      <c r="D1097">
        <f>0</f>
        <v>0</v>
      </c>
      <c r="E1097">
        <f>652792114/10^6</f>
        <v>652.79211399999997</v>
      </c>
      <c r="F1097">
        <f>0</f>
        <v>0</v>
      </c>
      <c r="G1097">
        <f>231610809/10^6</f>
        <v>231.61080899999999</v>
      </c>
      <c r="H1097">
        <f>0</f>
        <v>0</v>
      </c>
      <c r="I1097">
        <f>-3937785/10^5</f>
        <v>-39.377850000000002</v>
      </c>
      <c r="J1097">
        <f>0</f>
        <v>0</v>
      </c>
    </row>
    <row r="1098" spans="1:10" x14ac:dyDescent="0.25">
      <c r="A1098" t="s">
        <v>1107</v>
      </c>
      <c r="B1098" t="s">
        <v>11</v>
      </c>
      <c r="C1098">
        <v>121.056640625</v>
      </c>
      <c r="D1098">
        <f>0</f>
        <v>0</v>
      </c>
      <c r="E1098">
        <f>649973267/10^6</f>
        <v>649.97326699999996</v>
      </c>
      <c r="F1098">
        <f>0</f>
        <v>0</v>
      </c>
      <c r="G1098">
        <f>231634933/10^6</f>
        <v>231.63493299999999</v>
      </c>
      <c r="H1098">
        <f>0</f>
        <v>0</v>
      </c>
      <c r="I1098">
        <f>-39199905/10^6</f>
        <v>-39.199905000000001</v>
      </c>
      <c r="J1098">
        <f>0</f>
        <v>0</v>
      </c>
    </row>
    <row r="1099" spans="1:10" x14ac:dyDescent="0.25">
      <c r="A1099" t="s">
        <v>1108</v>
      </c>
      <c r="B1099" t="s">
        <v>11</v>
      </c>
      <c r="C1099">
        <v>121.441210938</v>
      </c>
      <c r="D1099">
        <f>0</f>
        <v>0</v>
      </c>
      <c r="E1099">
        <f>647918396/10^6</f>
        <v>647.91839600000003</v>
      </c>
      <c r="F1099">
        <f>0</f>
        <v>0</v>
      </c>
      <c r="G1099">
        <f>231669662/10^6</f>
        <v>231.66966199999999</v>
      </c>
      <c r="H1099">
        <f>0</f>
        <v>0</v>
      </c>
      <c r="I1099">
        <f>-39050907/10^6</f>
        <v>-39.050907000000002</v>
      </c>
      <c r="J1099">
        <f>0</f>
        <v>0</v>
      </c>
    </row>
    <row r="1100" spans="1:10" x14ac:dyDescent="0.25">
      <c r="A1100" t="s">
        <v>1109</v>
      </c>
      <c r="B1100" t="s">
        <v>11</v>
      </c>
      <c r="C1100">
        <v>121.761039063</v>
      </c>
      <c r="D1100">
        <f>0</f>
        <v>0</v>
      </c>
      <c r="E1100">
        <f>646169006/10^6</f>
        <v>646.16900599999997</v>
      </c>
      <c r="F1100">
        <f>0</f>
        <v>0</v>
      </c>
      <c r="G1100">
        <f>231717056/10^6</f>
        <v>231.71705600000001</v>
      </c>
      <c r="H1100">
        <f>0</f>
        <v>0</v>
      </c>
      <c r="I1100">
        <f>-38804562/10^6</f>
        <v>-38.804561999999997</v>
      </c>
      <c r="J1100">
        <f>0</f>
        <v>0</v>
      </c>
    </row>
    <row r="1101" spans="1:10" x14ac:dyDescent="0.25">
      <c r="A1101" t="s">
        <v>1110</v>
      </c>
      <c r="B1101" t="s">
        <v>11</v>
      </c>
      <c r="C1101">
        <v>122.0234375</v>
      </c>
      <c r="D1101">
        <f>0</f>
        <v>0</v>
      </c>
      <c r="E1101">
        <f>64472406/10^5</f>
        <v>644.72406000000001</v>
      </c>
      <c r="F1101">
        <f>0</f>
        <v>0</v>
      </c>
      <c r="G1101">
        <f>231760803/10^6</f>
        <v>231.76080300000001</v>
      </c>
      <c r="H1101">
        <f>0</f>
        <v>0</v>
      </c>
      <c r="I1101">
        <f>-38621449/10^6</f>
        <v>-38.621448999999998</v>
      </c>
      <c r="J1101">
        <f>0</f>
        <v>0</v>
      </c>
    </row>
    <row r="1102" spans="1:10" x14ac:dyDescent="0.25">
      <c r="A1102" t="s">
        <v>1111</v>
      </c>
      <c r="B1102" t="s">
        <v>11</v>
      </c>
      <c r="C1102">
        <v>122.23684375000001</v>
      </c>
      <c r="D1102">
        <f>0</f>
        <v>0</v>
      </c>
      <c r="E1102">
        <f>643702759/10^6</f>
        <v>643.70275900000001</v>
      </c>
      <c r="F1102">
        <f>0</f>
        <v>0</v>
      </c>
      <c r="G1102">
        <f>231803848/10^6</f>
        <v>231.80384799999999</v>
      </c>
      <c r="H1102">
        <f>0</f>
        <v>0</v>
      </c>
      <c r="I1102">
        <f>-3870649/10^5</f>
        <v>-38.706490000000002</v>
      </c>
      <c r="J1102">
        <f>0</f>
        <v>0</v>
      </c>
    </row>
    <row r="1103" spans="1:10" x14ac:dyDescent="0.25">
      <c r="A1103" t="s">
        <v>1112</v>
      </c>
      <c r="B1103" t="s">
        <v>11</v>
      </c>
      <c r="C1103">
        <v>0</v>
      </c>
      <c r="D1103">
        <f>2</f>
        <v>2</v>
      </c>
      <c r="F1103">
        <f>2</f>
        <v>2</v>
      </c>
      <c r="H1103">
        <f>2</f>
        <v>2</v>
      </c>
      <c r="J1103">
        <f>2</f>
        <v>2</v>
      </c>
    </row>
    <row r="1104" spans="1:10" x14ac:dyDescent="0.25">
      <c r="A1104" t="s">
        <v>1113</v>
      </c>
      <c r="B1104" t="s">
        <v>11</v>
      </c>
      <c r="C1104">
        <v>122.529859375</v>
      </c>
      <c r="D1104">
        <f>0</f>
        <v>0</v>
      </c>
      <c r="E1104">
        <f>642197083/10^6</f>
        <v>642.19708300000002</v>
      </c>
      <c r="F1104">
        <f>0</f>
        <v>0</v>
      </c>
      <c r="G1104">
        <f>231865524/10^6</f>
        <v>231.86552399999999</v>
      </c>
      <c r="H1104">
        <f>0</f>
        <v>0</v>
      </c>
      <c r="I1104">
        <f>-38384232/10^6</f>
        <v>-38.384231999999997</v>
      </c>
      <c r="J1104">
        <f>0</f>
        <v>0</v>
      </c>
    </row>
    <row r="1105" spans="1:10" x14ac:dyDescent="0.25">
      <c r="A1105" t="s">
        <v>1114</v>
      </c>
      <c r="B1105" t="s">
        <v>11</v>
      </c>
      <c r="C1105">
        <v>122.5859375</v>
      </c>
      <c r="D1105">
        <f>0</f>
        <v>0</v>
      </c>
      <c r="E1105">
        <f>641907959/10^6</f>
        <v>641.90795900000001</v>
      </c>
      <c r="F1105">
        <f>0</f>
        <v>0</v>
      </c>
      <c r="G1105">
        <f>231884659/10^6</f>
        <v>231.884659</v>
      </c>
      <c r="H1105">
        <f>0</f>
        <v>0</v>
      </c>
      <c r="I1105">
        <f>-38345062/10^6</f>
        <v>-38.345061999999999</v>
      </c>
      <c r="J1105">
        <f>0</f>
        <v>0</v>
      </c>
    </row>
    <row r="1106" spans="1:10" x14ac:dyDescent="0.25">
      <c r="A1106" t="s">
        <v>1115</v>
      </c>
      <c r="B1106" t="s">
        <v>11</v>
      </c>
      <c r="C1106">
        <v>122.60753124999999</v>
      </c>
      <c r="D1106">
        <f>0</f>
        <v>0</v>
      </c>
      <c r="E1106">
        <f>641811218/10^6</f>
        <v>641.81121800000005</v>
      </c>
      <c r="F1106">
        <f>0</f>
        <v>0</v>
      </c>
      <c r="G1106">
        <f>231898056/10^6</f>
        <v>231.898056</v>
      </c>
      <c r="H1106">
        <f>0</f>
        <v>0</v>
      </c>
      <c r="I1106">
        <f>-38251392/10^6</f>
        <v>-38.251392000000003</v>
      </c>
      <c r="J1106">
        <f>0</f>
        <v>0</v>
      </c>
    </row>
    <row r="1107" spans="1:10" x14ac:dyDescent="0.25">
      <c r="A1107" t="s">
        <v>1116</v>
      </c>
      <c r="B1107" t="s">
        <v>11</v>
      </c>
      <c r="C1107">
        <v>0</v>
      </c>
      <c r="D1107">
        <f>2</f>
        <v>2</v>
      </c>
      <c r="F1107">
        <f>2</f>
        <v>2</v>
      </c>
      <c r="H1107">
        <f>2</f>
        <v>2</v>
      </c>
      <c r="J1107">
        <f>2</f>
        <v>2</v>
      </c>
    </row>
    <row r="1108" spans="1:10" x14ac:dyDescent="0.25">
      <c r="A1108" t="s">
        <v>1117</v>
      </c>
      <c r="B1108" t="s">
        <v>11</v>
      </c>
      <c r="C1108">
        <v>122.558429688</v>
      </c>
      <c r="D1108">
        <f>0</f>
        <v>0</v>
      </c>
      <c r="E1108">
        <f>642158386/10^6</f>
        <v>642.15838599999995</v>
      </c>
      <c r="F1108">
        <f>0</f>
        <v>0</v>
      </c>
      <c r="G1108">
        <f>231904709/10^6</f>
        <v>231.904709</v>
      </c>
      <c r="H1108">
        <f>0</f>
        <v>0</v>
      </c>
      <c r="I1108">
        <f>-38323521/10^6</f>
        <v>-38.323521</v>
      </c>
      <c r="J1108">
        <f>0</f>
        <v>0</v>
      </c>
    </row>
    <row r="1109" spans="1:10" x14ac:dyDescent="0.25">
      <c r="A1109" t="s">
        <v>1118</v>
      </c>
      <c r="B1109" t="s">
        <v>11</v>
      </c>
      <c r="C1109">
        <v>122.517757813</v>
      </c>
      <c r="D1109">
        <f>0</f>
        <v>0</v>
      </c>
      <c r="E1109">
        <f>642343689/10^6</f>
        <v>642.34368900000004</v>
      </c>
      <c r="F1109">
        <f>0</f>
        <v>0</v>
      </c>
      <c r="G1109">
        <f>231895676/10^6</f>
        <v>231.89567600000001</v>
      </c>
      <c r="H1109">
        <f>0</f>
        <v>0</v>
      </c>
      <c r="I1109">
        <f>-38267635/10^6</f>
        <v>-38.267634999999999</v>
      </c>
      <c r="J1109">
        <f>0</f>
        <v>0</v>
      </c>
    </row>
    <row r="1110" spans="1:10" x14ac:dyDescent="0.25">
      <c r="A1110" t="s">
        <v>1119</v>
      </c>
      <c r="B1110" t="s">
        <v>11</v>
      </c>
      <c r="C1110">
        <v>122.43149218800001</v>
      </c>
      <c r="D1110">
        <f>0</f>
        <v>0</v>
      </c>
      <c r="E1110">
        <f>642806274/10^6</f>
        <v>642.80627400000003</v>
      </c>
      <c r="F1110">
        <f>0</f>
        <v>0</v>
      </c>
      <c r="G1110">
        <f>231882996/10^6</f>
        <v>231.88299599999999</v>
      </c>
      <c r="H1110">
        <f>0</f>
        <v>0</v>
      </c>
      <c r="I1110">
        <f>-38284782/10^6</f>
        <v>-38.284782</v>
      </c>
      <c r="J1110">
        <f>0</f>
        <v>0</v>
      </c>
    </row>
    <row r="1111" spans="1:10" x14ac:dyDescent="0.25">
      <c r="A1111" t="s">
        <v>1120</v>
      </c>
      <c r="B1111" t="s">
        <v>11</v>
      </c>
      <c r="C1111">
        <v>122.279335938</v>
      </c>
      <c r="D1111">
        <f>0</f>
        <v>0</v>
      </c>
      <c r="E1111">
        <f>643502808/10^6</f>
        <v>643.50280799999996</v>
      </c>
      <c r="F1111">
        <f>0</f>
        <v>0</v>
      </c>
      <c r="G1111">
        <f>231858688/10^6</f>
        <v>231.858688</v>
      </c>
      <c r="H1111">
        <f>0</f>
        <v>0</v>
      </c>
      <c r="I1111">
        <f>-38046711/10^6</f>
        <v>-38.046711000000002</v>
      </c>
      <c r="J1111">
        <f>0</f>
        <v>0</v>
      </c>
    </row>
    <row r="1112" spans="1:10" x14ac:dyDescent="0.25">
      <c r="A1112" t="s">
        <v>1121</v>
      </c>
      <c r="B1112" t="s">
        <v>11</v>
      </c>
      <c r="C1112">
        <v>122.067898438</v>
      </c>
      <c r="D1112">
        <f>0</f>
        <v>0</v>
      </c>
      <c r="E1112">
        <f>644625183/10^6</f>
        <v>644.62518299999999</v>
      </c>
      <c r="F1112">
        <f>0</f>
        <v>0</v>
      </c>
      <c r="G1112">
        <f>231827316/10^6</f>
        <v>231.827316</v>
      </c>
      <c r="H1112">
        <f>0</f>
        <v>0</v>
      </c>
      <c r="I1112">
        <f>-38052383/10^6</f>
        <v>-38.052382999999999</v>
      </c>
      <c r="J1112">
        <f>0</f>
        <v>0</v>
      </c>
    </row>
    <row r="1113" spans="1:10" x14ac:dyDescent="0.25">
      <c r="A1113" t="s">
        <v>1122</v>
      </c>
      <c r="B1113" t="s">
        <v>11</v>
      </c>
      <c r="C1113">
        <v>0</v>
      </c>
      <c r="D1113">
        <f>2</f>
        <v>2</v>
      </c>
      <c r="F1113">
        <f>2</f>
        <v>2</v>
      </c>
      <c r="H1113">
        <f>2</f>
        <v>2</v>
      </c>
      <c r="J1113">
        <f>2</f>
        <v>2</v>
      </c>
    </row>
    <row r="1114" spans="1:10" x14ac:dyDescent="0.25">
      <c r="A1114" t="s">
        <v>1123</v>
      </c>
      <c r="B1114" t="s">
        <v>11</v>
      </c>
      <c r="C1114">
        <v>121.578382813</v>
      </c>
      <c r="D1114">
        <f>0</f>
        <v>0</v>
      </c>
      <c r="E1114">
        <f>647231995/10^6</f>
        <v>647.23199499999998</v>
      </c>
      <c r="F1114">
        <f>0</f>
        <v>0</v>
      </c>
      <c r="G1114">
        <f>23174881/10^5</f>
        <v>231.74880999999999</v>
      </c>
      <c r="H1114">
        <f>0</f>
        <v>0</v>
      </c>
      <c r="I1114">
        <f>-38375889/10^6</f>
        <v>-38.375889000000001</v>
      </c>
      <c r="J1114">
        <f>0</f>
        <v>0</v>
      </c>
    </row>
    <row r="1115" spans="1:10" x14ac:dyDescent="0.25">
      <c r="A1115" t="s">
        <v>1124</v>
      </c>
      <c r="B1115" t="s">
        <v>11</v>
      </c>
      <c r="C1115">
        <v>121.290414063</v>
      </c>
      <c r="D1115">
        <f>0</f>
        <v>0</v>
      </c>
      <c r="E1115">
        <f>648868042/10^6</f>
        <v>648.86804199999995</v>
      </c>
      <c r="F1115">
        <f>0</f>
        <v>0</v>
      </c>
      <c r="G1115">
        <f>231699646/10^6</f>
        <v>231.699646</v>
      </c>
      <c r="H1115">
        <f>0</f>
        <v>0</v>
      </c>
      <c r="I1115">
        <f>-38714031/10^6</f>
        <v>-38.714030999999999</v>
      </c>
      <c r="J1115">
        <f>0</f>
        <v>0</v>
      </c>
    </row>
    <row r="1116" spans="1:10" x14ac:dyDescent="0.25">
      <c r="A1116" t="s">
        <v>1125</v>
      </c>
      <c r="B1116" t="s">
        <v>11</v>
      </c>
      <c r="C1116">
        <v>121.00140625</v>
      </c>
      <c r="D1116">
        <f>0</f>
        <v>0</v>
      </c>
      <c r="E1116">
        <f>650383728/10^6</f>
        <v>650.38372800000002</v>
      </c>
      <c r="F1116">
        <f>0</f>
        <v>0</v>
      </c>
      <c r="G1116">
        <f>231656815/10^6</f>
        <v>231.65681499999999</v>
      </c>
      <c r="H1116">
        <f>0</f>
        <v>0</v>
      </c>
      <c r="I1116">
        <f>-38840607/10^6</f>
        <v>-38.840606999999999</v>
      </c>
      <c r="J1116">
        <f>0</f>
        <v>0</v>
      </c>
    </row>
    <row r="1117" spans="1:10" x14ac:dyDescent="0.25">
      <c r="A1117" t="s">
        <v>1126</v>
      </c>
      <c r="B1117" t="s">
        <v>11</v>
      </c>
      <c r="C1117">
        <v>120.72053124999999</v>
      </c>
      <c r="D1117">
        <f>0</f>
        <v>0</v>
      </c>
      <c r="E1117">
        <f>651830383/10^6</f>
        <v>651.83038299999998</v>
      </c>
      <c r="F1117">
        <f>0</f>
        <v>0</v>
      </c>
      <c r="G1117">
        <f>231611191/10^6</f>
        <v>231.61119099999999</v>
      </c>
      <c r="H1117">
        <f>0</f>
        <v>0</v>
      </c>
      <c r="I1117">
        <f>-38900852/10^6</f>
        <v>-38.900852</v>
      </c>
      <c r="J1117">
        <f>0</f>
        <v>0</v>
      </c>
    </row>
    <row r="1118" spans="1:10" x14ac:dyDescent="0.25">
      <c r="A1118" t="s">
        <v>1127</v>
      </c>
      <c r="B1118" t="s">
        <v>11</v>
      </c>
      <c r="C1118">
        <v>0</v>
      </c>
      <c r="D1118">
        <f>2</f>
        <v>2</v>
      </c>
      <c r="F1118">
        <f>2</f>
        <v>2</v>
      </c>
      <c r="H1118">
        <f>2</f>
        <v>2</v>
      </c>
      <c r="J1118">
        <f>2</f>
        <v>2</v>
      </c>
    </row>
    <row r="1119" spans="1:10" x14ac:dyDescent="0.25">
      <c r="A1119" t="s">
        <v>1128</v>
      </c>
      <c r="B1119" t="s">
        <v>11</v>
      </c>
      <c r="C1119">
        <v>120.15639843800001</v>
      </c>
      <c r="D1119">
        <f>0</f>
        <v>0</v>
      </c>
      <c r="E1119">
        <f>654751831/10^6</f>
        <v>654.75183100000004</v>
      </c>
      <c r="F1119">
        <f>0</f>
        <v>0</v>
      </c>
      <c r="G1119">
        <f>231519455/10^6</f>
        <v>231.51945499999999</v>
      </c>
      <c r="H1119">
        <f>0</f>
        <v>0</v>
      </c>
      <c r="I1119">
        <f>-39143288/10^6</f>
        <v>-39.143287999999998</v>
      </c>
      <c r="J1119">
        <f>0</f>
        <v>0</v>
      </c>
    </row>
    <row r="1120" spans="1:10" x14ac:dyDescent="0.25">
      <c r="A1120" t="s">
        <v>1129</v>
      </c>
      <c r="B1120" t="s">
        <v>11</v>
      </c>
      <c r="C1120">
        <v>119.904640625</v>
      </c>
      <c r="D1120">
        <f>0</f>
        <v>0</v>
      </c>
      <c r="E1120">
        <f>656235229/10^6</f>
        <v>656.235229</v>
      </c>
      <c r="F1120">
        <f>0</f>
        <v>0</v>
      </c>
      <c r="G1120">
        <f>231475723/10^6</f>
        <v>231.47572299999999</v>
      </c>
      <c r="H1120">
        <f>0</f>
        <v>0</v>
      </c>
      <c r="I1120">
        <f>-39382481/10^6</f>
        <v>-39.382480999999999</v>
      </c>
      <c r="J1120">
        <f>0</f>
        <v>0</v>
      </c>
    </row>
    <row r="1121" spans="1:10" x14ac:dyDescent="0.25">
      <c r="A1121" t="s">
        <v>1130</v>
      </c>
      <c r="B1121" t="s">
        <v>11</v>
      </c>
      <c r="C1121">
        <v>119.630671875</v>
      </c>
      <c r="D1121">
        <f>0</f>
        <v>0</v>
      </c>
      <c r="E1121">
        <f>657601746/10^6</f>
        <v>657.60174600000005</v>
      </c>
      <c r="F1121">
        <f>0</f>
        <v>0</v>
      </c>
      <c r="G1121">
        <f>231434814/10^6</f>
        <v>231.43481399999999</v>
      </c>
      <c r="H1121">
        <f>0</f>
        <v>0</v>
      </c>
      <c r="I1121">
        <f>-3931369/10^5</f>
        <v>-39.313690000000001</v>
      </c>
      <c r="J1121">
        <f>0</f>
        <v>0</v>
      </c>
    </row>
    <row r="1122" spans="1:10" x14ac:dyDescent="0.25">
      <c r="A1122" t="s">
        <v>1131</v>
      </c>
      <c r="B1122" t="s">
        <v>11</v>
      </c>
      <c r="C1122">
        <v>0</v>
      </c>
      <c r="D1122">
        <f>2</f>
        <v>2</v>
      </c>
      <c r="F1122">
        <f>2</f>
        <v>2</v>
      </c>
      <c r="H1122">
        <f>2</f>
        <v>2</v>
      </c>
      <c r="J1122">
        <f>2</f>
        <v>2</v>
      </c>
    </row>
    <row r="1123" spans="1:10" x14ac:dyDescent="0.25">
      <c r="A1123" t="s">
        <v>1132</v>
      </c>
      <c r="B1123" t="s">
        <v>11</v>
      </c>
      <c r="C1123">
        <v>119.04924218800001</v>
      </c>
      <c r="D1123">
        <f>0</f>
        <v>0</v>
      </c>
      <c r="E1123">
        <f>660973389/10^6</f>
        <v>660.973389</v>
      </c>
      <c r="F1123">
        <f>0</f>
        <v>0</v>
      </c>
      <c r="G1123">
        <f>231361221/10^6</f>
        <v>231.361221</v>
      </c>
      <c r="H1123">
        <f>0</f>
        <v>0</v>
      </c>
      <c r="I1123">
        <f>-40039955/10^6</f>
        <v>-40.039954999999999</v>
      </c>
      <c r="J1123">
        <f>0</f>
        <v>0</v>
      </c>
    </row>
    <row r="1124" spans="1:10" x14ac:dyDescent="0.25">
      <c r="A1124" t="s">
        <v>1133</v>
      </c>
      <c r="B1124" t="s">
        <v>11</v>
      </c>
      <c r="C1124">
        <v>118.753726563</v>
      </c>
      <c r="D1124">
        <f>0</f>
        <v>0</v>
      </c>
      <c r="E1124">
        <f>662519531/10^6</f>
        <v>662.51953100000003</v>
      </c>
      <c r="F1124">
        <f>0</f>
        <v>0</v>
      </c>
      <c r="G1124">
        <f>231318954/10^6</f>
        <v>231.31895399999999</v>
      </c>
      <c r="H1124">
        <f>0</f>
        <v>0</v>
      </c>
      <c r="I1124">
        <f>-40161449/10^6</f>
        <v>-40.161448999999998</v>
      </c>
      <c r="J1124">
        <f>0</f>
        <v>0</v>
      </c>
    </row>
    <row r="1125" spans="1:10" x14ac:dyDescent="0.25">
      <c r="A1125" t="s">
        <v>1134</v>
      </c>
      <c r="B1125" t="s">
        <v>11</v>
      </c>
      <c r="C1125">
        <v>118.4933125</v>
      </c>
      <c r="D1125">
        <f>0</f>
        <v>0</v>
      </c>
      <c r="E1125">
        <f>66391925/10^5</f>
        <v>663.91925000000003</v>
      </c>
      <c r="F1125">
        <f>0</f>
        <v>0</v>
      </c>
      <c r="G1125">
        <f>231282166/10^6</f>
        <v>231.28216599999999</v>
      </c>
      <c r="H1125">
        <f>0</f>
        <v>0</v>
      </c>
      <c r="I1125">
        <f>-40195423/10^6</f>
        <v>-40.195422999999998</v>
      </c>
      <c r="J1125">
        <f>0</f>
        <v>0</v>
      </c>
    </row>
    <row r="1126" spans="1:10" x14ac:dyDescent="0.25">
      <c r="A1126" t="s">
        <v>1135</v>
      </c>
      <c r="B1126" t="s">
        <v>11</v>
      </c>
      <c r="C1126">
        <v>118.286382813</v>
      </c>
      <c r="D1126">
        <f>0</f>
        <v>0</v>
      </c>
      <c r="E1126">
        <f>665125122/10^6</f>
        <v>665.12512200000003</v>
      </c>
      <c r="F1126">
        <f>0</f>
        <v>0</v>
      </c>
      <c r="G1126">
        <f>231253357/10^6</f>
        <v>231.25335699999999</v>
      </c>
      <c r="H1126">
        <f>0</f>
        <v>0</v>
      </c>
      <c r="I1126">
        <f>-40306919/10^6</f>
        <v>-40.306919000000001</v>
      </c>
      <c r="J1126">
        <f>0</f>
        <v>0</v>
      </c>
    </row>
    <row r="1127" spans="1:10" x14ac:dyDescent="0.25">
      <c r="A1127" t="s">
        <v>1136</v>
      </c>
      <c r="B1127" t="s">
        <v>11</v>
      </c>
      <c r="C1127">
        <v>118.107820313</v>
      </c>
      <c r="D1127">
        <f>0</f>
        <v>0</v>
      </c>
      <c r="E1127">
        <f>666131531/10^6</f>
        <v>666.131531</v>
      </c>
      <c r="F1127">
        <f>0</f>
        <v>0</v>
      </c>
      <c r="G1127">
        <f>231243668/10^6</f>
        <v>231.24366800000001</v>
      </c>
      <c r="H1127">
        <f>0</f>
        <v>0</v>
      </c>
      <c r="I1127">
        <f>-40392647/10^6</f>
        <v>-40.392646999999997</v>
      </c>
      <c r="J1127">
        <f>0</f>
        <v>0</v>
      </c>
    </row>
    <row r="1128" spans="1:10" x14ac:dyDescent="0.25">
      <c r="A1128" t="s">
        <v>1137</v>
      </c>
      <c r="B1128" t="s">
        <v>11</v>
      </c>
      <c r="C1128">
        <v>117.923523438</v>
      </c>
      <c r="D1128">
        <f>0</f>
        <v>0</v>
      </c>
      <c r="E1128">
        <f>667222961/10^6</f>
        <v>667.22296100000005</v>
      </c>
      <c r="F1128">
        <f>0</f>
        <v>0</v>
      </c>
      <c r="G1128">
        <f>231244507/10^6</f>
        <v>231.244507</v>
      </c>
      <c r="H1128">
        <f>0</f>
        <v>0</v>
      </c>
      <c r="I1128">
        <f>-405023/10^4</f>
        <v>-40.502299999999998</v>
      </c>
      <c r="J1128">
        <f>0</f>
        <v>0</v>
      </c>
    </row>
    <row r="1129" spans="1:10" x14ac:dyDescent="0.25">
      <c r="A1129" t="s">
        <v>1138</v>
      </c>
      <c r="B1129" t="s">
        <v>11</v>
      </c>
      <c r="C1129">
        <v>117.742570313</v>
      </c>
      <c r="D1129">
        <f>0</f>
        <v>0</v>
      </c>
      <c r="E1129">
        <f>668268616/10^6</f>
        <v>668.26861599999995</v>
      </c>
      <c r="F1129">
        <f>0</f>
        <v>0</v>
      </c>
      <c r="G1129">
        <f>231224609/10^6</f>
        <v>231.22460899999999</v>
      </c>
      <c r="H1129">
        <f>0</f>
        <v>0</v>
      </c>
      <c r="I1129">
        <f>-40604816/10^6</f>
        <v>-40.604816</v>
      </c>
      <c r="J1129">
        <f>0</f>
        <v>0</v>
      </c>
    </row>
    <row r="1130" spans="1:10" x14ac:dyDescent="0.25">
      <c r="A1130" t="s">
        <v>1139</v>
      </c>
      <c r="B1130" t="s">
        <v>11</v>
      </c>
      <c r="C1130">
        <v>117.56939843800001</v>
      </c>
      <c r="D1130">
        <f>0</f>
        <v>0</v>
      </c>
      <c r="E1130">
        <f>669400879/10^6</f>
        <v>669.40087900000003</v>
      </c>
      <c r="F1130">
        <f>0</f>
        <v>0</v>
      </c>
      <c r="G1130">
        <f>231224243/10^6</f>
        <v>231.224243</v>
      </c>
      <c r="H1130">
        <f>0</f>
        <v>0</v>
      </c>
      <c r="I1130">
        <f>-40899864/10^6</f>
        <v>-40.899864000000001</v>
      </c>
      <c r="J1130">
        <f>0</f>
        <v>0</v>
      </c>
    </row>
    <row r="1131" spans="1:10" x14ac:dyDescent="0.25">
      <c r="A1131" t="s">
        <v>1140</v>
      </c>
      <c r="B1131" t="s">
        <v>11</v>
      </c>
      <c r="C1131">
        <v>117.401039063</v>
      </c>
      <c r="D1131">
        <f>0</f>
        <v>0</v>
      </c>
      <c r="E1131">
        <f>670560425/10^6</f>
        <v>670.56042500000001</v>
      </c>
      <c r="F1131">
        <f>0</f>
        <v>0</v>
      </c>
      <c r="G1131">
        <f>231235458/10^6</f>
        <v>231.23545799999999</v>
      </c>
      <c r="H1131">
        <f>0</f>
        <v>0</v>
      </c>
      <c r="I1131">
        <f>-41184818/10^6</f>
        <v>-41.184818</v>
      </c>
      <c r="J1131">
        <f>0</f>
        <v>0</v>
      </c>
    </row>
    <row r="1132" spans="1:10" x14ac:dyDescent="0.25">
      <c r="A1132" t="s">
        <v>1141</v>
      </c>
      <c r="B1132" t="s">
        <v>11</v>
      </c>
      <c r="C1132">
        <v>117.24309375</v>
      </c>
      <c r="D1132">
        <f>0</f>
        <v>0</v>
      </c>
      <c r="E1132">
        <f>67146228/10^5</f>
        <v>671.46227999999996</v>
      </c>
      <c r="F1132">
        <f>0</f>
        <v>0</v>
      </c>
      <c r="G1132">
        <f>231221558/10^6</f>
        <v>231.22155799999999</v>
      </c>
      <c r="H1132">
        <f>0</f>
        <v>0</v>
      </c>
      <c r="I1132">
        <f>-41149353/10^6</f>
        <v>-41.149352999999998</v>
      </c>
      <c r="J1132">
        <f>0</f>
        <v>0</v>
      </c>
    </row>
    <row r="1133" spans="1:10" x14ac:dyDescent="0.25">
      <c r="A1133" t="s">
        <v>1142</v>
      </c>
      <c r="B1133" t="s">
        <v>11</v>
      </c>
      <c r="C1133">
        <v>117.10012500000001</v>
      </c>
      <c r="D1133">
        <f>0</f>
        <v>0</v>
      </c>
      <c r="E1133">
        <f>672193298/10^6</f>
        <v>672.19329800000003</v>
      </c>
      <c r="F1133">
        <f>0</f>
        <v>0</v>
      </c>
      <c r="G1133">
        <f>231205154/10^6</f>
        <v>231.20515399999999</v>
      </c>
      <c r="H1133">
        <f>0</f>
        <v>0</v>
      </c>
      <c r="I1133">
        <f>-41106182/10^6</f>
        <v>-41.106181999999997</v>
      </c>
      <c r="J1133">
        <f>0</f>
        <v>0</v>
      </c>
    </row>
    <row r="1134" spans="1:10" x14ac:dyDescent="0.25">
      <c r="A1134" t="s">
        <v>1143</v>
      </c>
      <c r="B1134" t="s">
        <v>11</v>
      </c>
      <c r="C1134">
        <v>116.935148438</v>
      </c>
      <c r="D1134">
        <f>0</f>
        <v>0</v>
      </c>
      <c r="E1134">
        <f>673184021/10^6</f>
        <v>673.18402100000003</v>
      </c>
      <c r="F1134">
        <f>0</f>
        <v>0</v>
      </c>
      <c r="G1134">
        <f>231190201/10^6</f>
        <v>231.190201</v>
      </c>
      <c r="H1134">
        <f>0</f>
        <v>0</v>
      </c>
      <c r="I1134">
        <f>-41331905/10^6</f>
        <v>-41.331904999999999</v>
      </c>
      <c r="J1134">
        <f>0</f>
        <v>0</v>
      </c>
    </row>
    <row r="1135" spans="1:10" x14ac:dyDescent="0.25">
      <c r="A1135" t="s">
        <v>1144</v>
      </c>
      <c r="B1135" t="s">
        <v>11</v>
      </c>
      <c r="C1135">
        <v>116.739234375</v>
      </c>
      <c r="D1135">
        <f>0</f>
        <v>0</v>
      </c>
      <c r="E1135">
        <f>674405457/10^6</f>
        <v>674.40545699999996</v>
      </c>
      <c r="F1135">
        <f>0</f>
        <v>0</v>
      </c>
      <c r="G1135">
        <f>231174622/10^6</f>
        <v>231.174622</v>
      </c>
      <c r="H1135">
        <f>0</f>
        <v>0</v>
      </c>
      <c r="I1135">
        <f>-41563137/10^6</f>
        <v>-41.563136999999998</v>
      </c>
      <c r="J1135">
        <f>0</f>
        <v>0</v>
      </c>
    </row>
    <row r="1136" spans="1:10" x14ac:dyDescent="0.25">
      <c r="A1136" t="s">
        <v>1145</v>
      </c>
      <c r="B1136" t="s">
        <v>11</v>
      </c>
      <c r="C1136">
        <v>116.54086718800001</v>
      </c>
      <c r="D1136">
        <f>0</f>
        <v>0</v>
      </c>
      <c r="E1136">
        <f>675598572/10^6</f>
        <v>675.59857199999999</v>
      </c>
      <c r="F1136">
        <f>0</f>
        <v>0</v>
      </c>
      <c r="G1136">
        <f>231155563/10^6</f>
        <v>231.155563</v>
      </c>
      <c r="H1136">
        <f>0</f>
        <v>0</v>
      </c>
      <c r="I1136">
        <f>-41728382/10^6</f>
        <v>-41.728382000000003</v>
      </c>
      <c r="J1136">
        <f>0</f>
        <v>0</v>
      </c>
    </row>
    <row r="1137" spans="1:10" x14ac:dyDescent="0.25">
      <c r="A1137" t="s">
        <v>1146</v>
      </c>
      <c r="B1137" t="s">
        <v>11</v>
      </c>
      <c r="C1137">
        <v>116.346992188</v>
      </c>
      <c r="D1137">
        <f>0</f>
        <v>0</v>
      </c>
      <c r="E1137">
        <f>676630493/10^6</f>
        <v>676.630493</v>
      </c>
      <c r="F1137">
        <f>0</f>
        <v>0</v>
      </c>
      <c r="G1137">
        <f>231130066/10^6</f>
        <v>231.130066</v>
      </c>
      <c r="H1137">
        <f>0</f>
        <v>0</v>
      </c>
      <c r="I1137">
        <f>-41660217/10^6</f>
        <v>-41.660217000000003</v>
      </c>
      <c r="J1137">
        <f>0</f>
        <v>0</v>
      </c>
    </row>
    <row r="1138" spans="1:10" x14ac:dyDescent="0.25">
      <c r="A1138" t="s">
        <v>1147</v>
      </c>
      <c r="B1138" t="s">
        <v>11</v>
      </c>
      <c r="C1138">
        <v>116.14910937499999</v>
      </c>
      <c r="D1138">
        <f>0</f>
        <v>0</v>
      </c>
      <c r="E1138">
        <f>677787048/10^6</f>
        <v>677.78704800000003</v>
      </c>
      <c r="F1138">
        <f>0</f>
        <v>0</v>
      </c>
      <c r="G1138">
        <f>23109317/10^5</f>
        <v>231.09316999999999</v>
      </c>
      <c r="H1138">
        <f>0</f>
        <v>0</v>
      </c>
      <c r="I1138">
        <f>-41742733/10^6</f>
        <v>-41.742733000000001</v>
      </c>
      <c r="J1138">
        <f>0</f>
        <v>0</v>
      </c>
    </row>
    <row r="1139" spans="1:10" x14ac:dyDescent="0.25">
      <c r="A1139" t="s">
        <v>1148</v>
      </c>
      <c r="B1139" t="s">
        <v>11</v>
      </c>
      <c r="C1139">
        <v>115.94684375</v>
      </c>
      <c r="D1139">
        <f>0</f>
        <v>0</v>
      </c>
      <c r="E1139">
        <f>679120789/10^6</f>
        <v>679.12078899999995</v>
      </c>
      <c r="F1139">
        <f>0</f>
        <v>0</v>
      </c>
      <c r="G1139">
        <f>231064896/10^6</f>
        <v>231.064896</v>
      </c>
      <c r="H1139">
        <f>0</f>
        <v>0</v>
      </c>
      <c r="I1139">
        <f>-4217033/10^5</f>
        <v>-42.17033</v>
      </c>
      <c r="J1139">
        <f>0</f>
        <v>0</v>
      </c>
    </row>
    <row r="1140" spans="1:10" x14ac:dyDescent="0.25">
      <c r="A1140" t="s">
        <v>1149</v>
      </c>
      <c r="B1140" t="s">
        <v>11</v>
      </c>
      <c r="C1140">
        <v>115.76882031300001</v>
      </c>
      <c r="D1140">
        <f>0</f>
        <v>0</v>
      </c>
      <c r="E1140">
        <f>680009583/10^6</f>
        <v>680.00958300000002</v>
      </c>
      <c r="F1140">
        <f>0</f>
        <v>0</v>
      </c>
      <c r="G1140">
        <f>230991379/10^6</f>
        <v>230.99137899999999</v>
      </c>
      <c r="H1140">
        <f>0</f>
        <v>0</v>
      </c>
      <c r="I1140">
        <f>-42367725/10^6</f>
        <v>-42.367725</v>
      </c>
      <c r="J1140">
        <f>0</f>
        <v>0</v>
      </c>
    </row>
    <row r="1141" spans="1:10" x14ac:dyDescent="0.25">
      <c r="A1141" t="s">
        <v>1150</v>
      </c>
      <c r="B1141" t="s">
        <v>11</v>
      </c>
      <c r="C1141">
        <v>115.62335937500001</v>
      </c>
      <c r="D1141">
        <f>0</f>
        <v>0</v>
      </c>
      <c r="E1141">
        <f>680618225/10^6</f>
        <v>680.61822500000005</v>
      </c>
      <c r="F1141">
        <f>0</f>
        <v>0</v>
      </c>
      <c r="G1141">
        <f>230908249/10^6</f>
        <v>230.90824900000001</v>
      </c>
      <c r="H1141">
        <f>0</f>
        <v>0</v>
      </c>
      <c r="I1141">
        <f>-4235807/10^5</f>
        <v>-42.358069999999998</v>
      </c>
      <c r="J1141">
        <f>0</f>
        <v>0</v>
      </c>
    </row>
    <row r="1142" spans="1:10" x14ac:dyDescent="0.25">
      <c r="A1142" t="s">
        <v>1151</v>
      </c>
      <c r="B1142" t="s">
        <v>11</v>
      </c>
      <c r="C1142">
        <v>115.492828125</v>
      </c>
      <c r="D1142">
        <f>0</f>
        <v>0</v>
      </c>
      <c r="E1142">
        <f>681334229/10^6</f>
        <v>681.33422900000005</v>
      </c>
      <c r="F1142">
        <f>0</f>
        <v>0</v>
      </c>
      <c r="G1142">
        <f>230882858/10^6</f>
        <v>230.882858</v>
      </c>
      <c r="H1142">
        <f>0</f>
        <v>0</v>
      </c>
      <c r="I1142">
        <f>-42396744/10^6</f>
        <v>-42.396743999999998</v>
      </c>
      <c r="J1142">
        <f>0</f>
        <v>0</v>
      </c>
    </row>
    <row r="1143" spans="1:10" x14ac:dyDescent="0.25">
      <c r="A1143" t="s">
        <v>1152</v>
      </c>
      <c r="B1143" t="s">
        <v>11</v>
      </c>
      <c r="C1143">
        <v>115.362273438</v>
      </c>
      <c r="D1143">
        <f>0</f>
        <v>0</v>
      </c>
      <c r="E1143">
        <f>682032959/10^6</f>
        <v>682.03295900000001</v>
      </c>
      <c r="F1143">
        <f>0</f>
        <v>0</v>
      </c>
      <c r="G1143">
        <f>230827545/10^6</f>
        <v>230.82754499999999</v>
      </c>
      <c r="H1143">
        <f>0</f>
        <v>0</v>
      </c>
      <c r="I1143">
        <f>-42453442/10^6</f>
        <v>-42.453442000000003</v>
      </c>
      <c r="J1143">
        <f>0</f>
        <v>0</v>
      </c>
    </row>
    <row r="1144" spans="1:10" x14ac:dyDescent="0.25">
      <c r="A1144" t="s">
        <v>1153</v>
      </c>
      <c r="B1144" t="s">
        <v>11</v>
      </c>
      <c r="C1144">
        <v>115.252953125</v>
      </c>
      <c r="D1144">
        <f>0</f>
        <v>0</v>
      </c>
      <c r="E1144">
        <f>682768372/10^6</f>
        <v>682.768372</v>
      </c>
      <c r="F1144">
        <f>0</f>
        <v>0</v>
      </c>
      <c r="G1144">
        <f>230831177/10^6</f>
        <v>230.831177</v>
      </c>
      <c r="H1144">
        <f>0</f>
        <v>0</v>
      </c>
      <c r="I1144">
        <f>-42569118/10^6</f>
        <v>-42.569118000000003</v>
      </c>
      <c r="J1144">
        <f>0</f>
        <v>0</v>
      </c>
    </row>
    <row r="1145" spans="1:10" x14ac:dyDescent="0.25">
      <c r="A1145" t="s">
        <v>1154</v>
      </c>
      <c r="B1145" t="s">
        <v>11</v>
      </c>
      <c r="C1145">
        <v>115.230070313</v>
      </c>
      <c r="D1145">
        <f>0</f>
        <v>0</v>
      </c>
      <c r="E1145">
        <f>682981506/10^6</f>
        <v>682.98150599999997</v>
      </c>
      <c r="F1145">
        <f>0</f>
        <v>0</v>
      </c>
      <c r="G1145">
        <f>23086528/10^5</f>
        <v>230.86528000000001</v>
      </c>
      <c r="H1145">
        <f>0</f>
        <v>0</v>
      </c>
      <c r="I1145">
        <f>-42652084/10^6</f>
        <v>-42.652084000000002</v>
      </c>
      <c r="J1145">
        <f>0</f>
        <v>0</v>
      </c>
    </row>
    <row r="1146" spans="1:10" x14ac:dyDescent="0.25">
      <c r="A1146" t="s">
        <v>1155</v>
      </c>
      <c r="B1146" t="s">
        <v>11</v>
      </c>
      <c r="C1146">
        <v>115.271484375</v>
      </c>
      <c r="D1146">
        <f>0</f>
        <v>0</v>
      </c>
      <c r="E1146">
        <f>682506531/10^6</f>
        <v>682.506531</v>
      </c>
      <c r="F1146">
        <f>0</f>
        <v>0</v>
      </c>
      <c r="G1146">
        <f>230790253/10^6</f>
        <v>230.79025300000001</v>
      </c>
      <c r="H1146">
        <f>0</f>
        <v>0</v>
      </c>
      <c r="I1146">
        <f>-42625809/10^6</f>
        <v>-42.625808999999997</v>
      </c>
      <c r="J1146">
        <f>0</f>
        <v>0</v>
      </c>
    </row>
    <row r="1147" spans="1:10" x14ac:dyDescent="0.25">
      <c r="A1147" t="s">
        <v>1156</v>
      </c>
      <c r="B1147" t="s">
        <v>11</v>
      </c>
      <c r="C1147">
        <v>115.31015625000001</v>
      </c>
      <c r="D1147">
        <f>0</f>
        <v>0</v>
      </c>
      <c r="E1147">
        <f>682363403/10^6</f>
        <v>682.36340299999995</v>
      </c>
      <c r="F1147">
        <f>0</f>
        <v>0</v>
      </c>
      <c r="G1147">
        <f>230804276/10^6</f>
        <v>230.80427599999999</v>
      </c>
      <c r="H1147">
        <f>0</f>
        <v>0</v>
      </c>
      <c r="I1147">
        <f>-42730392/10^6</f>
        <v>-42.730392000000002</v>
      </c>
      <c r="J1147">
        <f>0</f>
        <v>0</v>
      </c>
    </row>
    <row r="1148" spans="1:10" x14ac:dyDescent="0.25">
      <c r="A1148" t="s">
        <v>1157</v>
      </c>
      <c r="B1148" t="s">
        <v>11</v>
      </c>
      <c r="C1148">
        <v>115.35050781300001</v>
      </c>
      <c r="D1148">
        <f>0</f>
        <v>0</v>
      </c>
      <c r="E1148">
        <f>682335083/10^6</f>
        <v>682.33508300000005</v>
      </c>
      <c r="F1148">
        <f>0</f>
        <v>0</v>
      </c>
      <c r="G1148">
        <f>230906708/10^6</f>
        <v>230.90670800000001</v>
      </c>
      <c r="H1148">
        <f>0</f>
        <v>0</v>
      </c>
      <c r="I1148">
        <f>-4265863/10^5</f>
        <v>-42.658630000000002</v>
      </c>
      <c r="J1148">
        <f>0</f>
        <v>0</v>
      </c>
    </row>
    <row r="1149" spans="1:10" x14ac:dyDescent="0.25">
      <c r="A1149" t="s">
        <v>1158</v>
      </c>
      <c r="B1149" t="s">
        <v>11</v>
      </c>
      <c r="C1149">
        <v>0</v>
      </c>
      <c r="D1149">
        <f>2</f>
        <v>2</v>
      </c>
      <c r="F1149">
        <f>2</f>
        <v>2</v>
      </c>
      <c r="H1149">
        <f>2</f>
        <v>2</v>
      </c>
      <c r="J1149">
        <f>2</f>
        <v>2</v>
      </c>
    </row>
    <row r="1150" spans="1:10" x14ac:dyDescent="0.25">
      <c r="A1150" t="s">
        <v>1159</v>
      </c>
      <c r="B1150" t="s">
        <v>11</v>
      </c>
      <c r="C1150">
        <v>115.4866875</v>
      </c>
      <c r="D1150">
        <f>0</f>
        <v>0</v>
      </c>
      <c r="E1150">
        <f>681669739/10^6</f>
        <v>681.66973900000005</v>
      </c>
      <c r="F1150">
        <f>0</f>
        <v>0</v>
      </c>
      <c r="G1150">
        <f>230965485/10^6</f>
        <v>230.965485</v>
      </c>
      <c r="H1150">
        <f>0</f>
        <v>0</v>
      </c>
      <c r="I1150">
        <f>-42632473/10^6</f>
        <v>-42.632472999999997</v>
      </c>
      <c r="J1150">
        <f>0</f>
        <v>0</v>
      </c>
    </row>
    <row r="1151" spans="1:10" x14ac:dyDescent="0.25">
      <c r="A1151" t="s">
        <v>1160</v>
      </c>
      <c r="B1151" t="s">
        <v>11</v>
      </c>
      <c r="C1151">
        <v>115.637203125</v>
      </c>
      <c r="D1151">
        <f>0</f>
        <v>0</v>
      </c>
      <c r="E1151">
        <f>680884399/10^6</f>
        <v>680.88439900000003</v>
      </c>
      <c r="F1151">
        <f>0</f>
        <v>0</v>
      </c>
      <c r="G1151">
        <f>231019379/10^6</f>
        <v>231.01937899999999</v>
      </c>
      <c r="H1151">
        <f>0</f>
        <v>0</v>
      </c>
      <c r="I1151">
        <f>-42510616/10^6</f>
        <v>-42.510615999999999</v>
      </c>
      <c r="J1151">
        <f>0</f>
        <v>0</v>
      </c>
    </row>
    <row r="1152" spans="1:10" x14ac:dyDescent="0.25">
      <c r="A1152" t="s">
        <v>1161</v>
      </c>
      <c r="B1152" t="s">
        <v>11</v>
      </c>
      <c r="C1152">
        <v>115.822203125</v>
      </c>
      <c r="D1152">
        <f>0</f>
        <v>0</v>
      </c>
      <c r="E1152">
        <f>67981427/10^5</f>
        <v>679.81426999999996</v>
      </c>
      <c r="F1152">
        <f>0</f>
        <v>0</v>
      </c>
      <c r="G1152">
        <f>231053726/10^6</f>
        <v>231.05372600000001</v>
      </c>
      <c r="H1152">
        <f>0</f>
        <v>0</v>
      </c>
      <c r="I1152">
        <f>-42382103/10^6</f>
        <v>-42.382103000000001</v>
      </c>
      <c r="J1152">
        <f>0</f>
        <v>0</v>
      </c>
    </row>
    <row r="1153" spans="1:10" x14ac:dyDescent="0.25">
      <c r="A1153" t="s">
        <v>1162</v>
      </c>
      <c r="B1153" t="s">
        <v>11</v>
      </c>
      <c r="C1153">
        <v>116.00596874999999</v>
      </c>
      <c r="D1153">
        <f>0</f>
        <v>0</v>
      </c>
      <c r="E1153">
        <f>678688538/10^6</f>
        <v>678.68853799999999</v>
      </c>
      <c r="F1153">
        <f>0</f>
        <v>0</v>
      </c>
      <c r="G1153">
        <f>231079071/10^6</f>
        <v>231.079071</v>
      </c>
      <c r="H1153">
        <f>0</f>
        <v>0</v>
      </c>
      <c r="I1153">
        <f>-42283302/10^6</f>
        <v>-42.283301999999999</v>
      </c>
      <c r="J1153">
        <f>0</f>
        <v>0</v>
      </c>
    </row>
    <row r="1154" spans="1:10" x14ac:dyDescent="0.25">
      <c r="A1154" t="s">
        <v>1163</v>
      </c>
      <c r="B1154" t="s">
        <v>11</v>
      </c>
      <c r="C1154">
        <v>116.240414063</v>
      </c>
      <c r="D1154">
        <f>0</f>
        <v>0</v>
      </c>
      <c r="E1154">
        <f>677500488/10^6</f>
        <v>677.50048800000002</v>
      </c>
      <c r="F1154">
        <f>0</f>
        <v>0</v>
      </c>
      <c r="G1154">
        <f>231136078/10^6</f>
        <v>231.136078</v>
      </c>
      <c r="H1154">
        <f>0</f>
        <v>0</v>
      </c>
      <c r="I1154">
        <f>-42241829/10^6</f>
        <v>-42.241829000000003</v>
      </c>
      <c r="J1154">
        <f>0</f>
        <v>0</v>
      </c>
    </row>
    <row r="1155" spans="1:10" x14ac:dyDescent="0.25">
      <c r="A1155" t="s">
        <v>1164</v>
      </c>
      <c r="B1155" t="s">
        <v>11</v>
      </c>
      <c r="C1155">
        <v>116.58568750000001</v>
      </c>
      <c r="D1155">
        <f>0</f>
        <v>0</v>
      </c>
      <c r="E1155">
        <f>67568866/10^5</f>
        <v>675.68866000000003</v>
      </c>
      <c r="F1155">
        <f>0</f>
        <v>0</v>
      </c>
      <c r="G1155">
        <f>23120459/10^5</f>
        <v>231.20459</v>
      </c>
      <c r="H1155">
        <f>0</f>
        <v>0</v>
      </c>
      <c r="I1155">
        <f>-42226585/10^6</f>
        <v>-42.226585</v>
      </c>
      <c r="J1155">
        <f>0</f>
        <v>0</v>
      </c>
    </row>
    <row r="1156" spans="1:10" x14ac:dyDescent="0.25">
      <c r="A1156" t="s">
        <v>1165</v>
      </c>
      <c r="B1156" t="s">
        <v>11</v>
      </c>
      <c r="C1156">
        <v>117.02816406300001</v>
      </c>
      <c r="D1156">
        <f>0</f>
        <v>0</v>
      </c>
      <c r="E1156">
        <f>672989563/10^6</f>
        <v>672.98956299999998</v>
      </c>
      <c r="F1156">
        <f>0</f>
        <v>0</v>
      </c>
      <c r="G1156">
        <f>231265823/10^6</f>
        <v>231.26582300000001</v>
      </c>
      <c r="H1156">
        <f>0</f>
        <v>0</v>
      </c>
      <c r="I1156">
        <f>-41830383/10^6</f>
        <v>-41.830382999999998</v>
      </c>
      <c r="J1156">
        <f>0</f>
        <v>0</v>
      </c>
    </row>
    <row r="1157" spans="1:10" x14ac:dyDescent="0.25">
      <c r="A1157" t="s">
        <v>1166</v>
      </c>
      <c r="B1157" t="s">
        <v>11</v>
      </c>
      <c r="C1157">
        <v>117.538804688</v>
      </c>
      <c r="D1157">
        <f>0</f>
        <v>0</v>
      </c>
      <c r="E1157">
        <f>670033447/10^6</f>
        <v>670.03344700000002</v>
      </c>
      <c r="F1157">
        <f>0</f>
        <v>0</v>
      </c>
      <c r="G1157">
        <f>231333588/10^6</f>
        <v>231.33358799999999</v>
      </c>
      <c r="H1157">
        <f>0</f>
        <v>0</v>
      </c>
      <c r="I1157">
        <f>-41441719/10^6</f>
        <v>-41.441718999999999</v>
      </c>
      <c r="J1157">
        <f>0</f>
        <v>0</v>
      </c>
    </row>
    <row r="1158" spans="1:10" x14ac:dyDescent="0.25">
      <c r="A1158" t="s">
        <v>1167</v>
      </c>
      <c r="B1158" t="s">
        <v>11</v>
      </c>
      <c r="C1158">
        <v>118.10775</v>
      </c>
      <c r="D1158">
        <f>0</f>
        <v>0</v>
      </c>
      <c r="E1158">
        <f>666843445/10^6</f>
        <v>666.84344499999997</v>
      </c>
      <c r="F1158">
        <f>0</f>
        <v>0</v>
      </c>
      <c r="G1158">
        <f>231408508/10^6</f>
        <v>231.40850800000001</v>
      </c>
      <c r="H1158">
        <f>0</f>
        <v>0</v>
      </c>
      <c r="I1158">
        <f>-41172001/10^6</f>
        <v>-41.172001000000002</v>
      </c>
      <c r="J1158">
        <f>0</f>
        <v>0</v>
      </c>
    </row>
    <row r="1159" spans="1:10" x14ac:dyDescent="0.25">
      <c r="A1159" t="s">
        <v>1168</v>
      </c>
      <c r="B1159" t="s">
        <v>11</v>
      </c>
      <c r="C1159">
        <v>0</v>
      </c>
      <c r="D1159">
        <f>2</f>
        <v>2</v>
      </c>
      <c r="F1159">
        <f>2</f>
        <v>2</v>
      </c>
      <c r="H1159">
        <f>2</f>
        <v>2</v>
      </c>
      <c r="J1159">
        <f>2</f>
        <v>2</v>
      </c>
    </row>
    <row r="1160" spans="1:10" x14ac:dyDescent="0.25">
      <c r="A1160" t="s">
        <v>1169</v>
      </c>
      <c r="B1160" t="s">
        <v>11</v>
      </c>
      <c r="C1160">
        <v>0</v>
      </c>
      <c r="D1160">
        <f>2</f>
        <v>2</v>
      </c>
      <c r="F1160">
        <f>2</f>
        <v>2</v>
      </c>
      <c r="H1160">
        <f>2</f>
        <v>2</v>
      </c>
      <c r="J1160">
        <f>2</f>
        <v>2</v>
      </c>
    </row>
    <row r="1161" spans="1:10" x14ac:dyDescent="0.25">
      <c r="A1161" t="s">
        <v>1170</v>
      </c>
      <c r="B1161" t="s">
        <v>11</v>
      </c>
      <c r="C1161">
        <v>119.98664062500001</v>
      </c>
      <c r="D1161">
        <f>0</f>
        <v>0</v>
      </c>
      <c r="E1161">
        <f>656082153/10^6</f>
        <v>656.08215299999995</v>
      </c>
      <c r="F1161">
        <f>0</f>
        <v>0</v>
      </c>
      <c r="G1161">
        <f>231604492/10^6</f>
        <v>231.60449199999999</v>
      </c>
      <c r="H1161">
        <f>0</f>
        <v>0</v>
      </c>
      <c r="I1161">
        <f>-39716625/10^6</f>
        <v>-39.716625000000001</v>
      </c>
      <c r="J1161">
        <f>0</f>
        <v>0</v>
      </c>
    </row>
    <row r="1162" spans="1:10" x14ac:dyDescent="0.25">
      <c r="A1162" t="s">
        <v>1171</v>
      </c>
      <c r="B1162" t="s">
        <v>11</v>
      </c>
      <c r="C1162">
        <v>120.594757813</v>
      </c>
      <c r="D1162">
        <f>0</f>
        <v>0</v>
      </c>
      <c r="E1162">
        <f>652710083/10^6</f>
        <v>652.71008300000005</v>
      </c>
      <c r="F1162">
        <f>0</f>
        <v>0</v>
      </c>
      <c r="G1162">
        <f>23164856/10^5</f>
        <v>231.64856</v>
      </c>
      <c r="H1162">
        <f>0</f>
        <v>0</v>
      </c>
      <c r="I1162">
        <f>-39533066/10^6</f>
        <v>-39.533065999999998</v>
      </c>
      <c r="J1162">
        <f>0</f>
        <v>0</v>
      </c>
    </row>
    <row r="1163" spans="1:10" x14ac:dyDescent="0.25">
      <c r="A1163" t="s">
        <v>1172</v>
      </c>
      <c r="B1163" t="s">
        <v>11</v>
      </c>
      <c r="C1163">
        <v>121.10924218800001</v>
      </c>
      <c r="D1163">
        <f>0</f>
        <v>0</v>
      </c>
      <c r="E1163">
        <f>649790466/10^6</f>
        <v>649.79046600000004</v>
      </c>
      <c r="F1163">
        <f>0</f>
        <v>0</v>
      </c>
      <c r="G1163">
        <f>231683273/10^6</f>
        <v>231.68327300000001</v>
      </c>
      <c r="H1163">
        <f>0</f>
        <v>0</v>
      </c>
      <c r="I1163">
        <f>-39190193/10^6</f>
        <v>-39.190193000000001</v>
      </c>
      <c r="J1163">
        <f>0</f>
        <v>0</v>
      </c>
    </row>
    <row r="1164" spans="1:10" x14ac:dyDescent="0.25">
      <c r="A1164" t="s">
        <v>1173</v>
      </c>
      <c r="B1164" t="s">
        <v>11</v>
      </c>
      <c r="C1164">
        <v>121.4989375</v>
      </c>
      <c r="D1164">
        <f>0</f>
        <v>0</v>
      </c>
      <c r="E1164">
        <f>647688416/10^6</f>
        <v>647.68841599999996</v>
      </c>
      <c r="F1164">
        <f>0</f>
        <v>0</v>
      </c>
      <c r="G1164">
        <f>231729828/10^6</f>
        <v>231.729828</v>
      </c>
      <c r="H1164">
        <f>0</f>
        <v>0</v>
      </c>
      <c r="I1164">
        <f>-3894796/10^5</f>
        <v>-38.947960000000002</v>
      </c>
      <c r="J1164">
        <f>0</f>
        <v>0</v>
      </c>
    </row>
    <row r="1165" spans="1:10" x14ac:dyDescent="0.25">
      <c r="A1165" t="s">
        <v>1174</v>
      </c>
      <c r="B1165" t="s">
        <v>11</v>
      </c>
      <c r="C1165">
        <v>121.782625</v>
      </c>
      <c r="D1165">
        <f>0</f>
        <v>0</v>
      </c>
      <c r="E1165">
        <f>646222046/10^6</f>
        <v>646.22204599999998</v>
      </c>
      <c r="F1165">
        <f>0</f>
        <v>0</v>
      </c>
      <c r="G1165">
        <f>231780304/10^6</f>
        <v>231.780304</v>
      </c>
      <c r="H1165">
        <f>0</f>
        <v>0</v>
      </c>
      <c r="I1165">
        <f>-38894455/10^6</f>
        <v>-38.894455000000001</v>
      </c>
      <c r="J1165">
        <f>0</f>
        <v>0</v>
      </c>
    </row>
    <row r="1166" spans="1:10" x14ac:dyDescent="0.25">
      <c r="A1166" t="s">
        <v>1175</v>
      </c>
      <c r="B1166" t="s">
        <v>11</v>
      </c>
      <c r="C1166">
        <v>121.97921875</v>
      </c>
      <c r="D1166">
        <f>0</f>
        <v>0</v>
      </c>
      <c r="E1166">
        <f>645018738/10^6</f>
        <v>645.01873799999998</v>
      </c>
      <c r="F1166">
        <f>0</f>
        <v>0</v>
      </c>
      <c r="G1166">
        <f>231823349/10^6</f>
        <v>231.82334900000001</v>
      </c>
      <c r="H1166">
        <f>0</f>
        <v>0</v>
      </c>
      <c r="I1166">
        <f>-3859549/10^5</f>
        <v>-38.595489999999998</v>
      </c>
      <c r="J1166">
        <f>0</f>
        <v>0</v>
      </c>
    </row>
    <row r="1167" spans="1:10" x14ac:dyDescent="0.25">
      <c r="A1167" t="s">
        <v>1176</v>
      </c>
      <c r="B1167" t="s">
        <v>11</v>
      </c>
      <c r="C1167">
        <v>122.095726563</v>
      </c>
      <c r="D1167">
        <f>0</f>
        <v>0</v>
      </c>
      <c r="E1167">
        <f>644423401/10^6</f>
        <v>644.42340100000001</v>
      </c>
      <c r="F1167">
        <f>0</f>
        <v>0</v>
      </c>
      <c r="G1167">
        <f>231863174/10^6</f>
        <v>231.86317399999999</v>
      </c>
      <c r="H1167">
        <f>0</f>
        <v>0</v>
      </c>
      <c r="I1167">
        <f>-38435825/10^6</f>
        <v>-38.435825000000001</v>
      </c>
      <c r="J1167">
        <f>0</f>
        <v>0</v>
      </c>
    </row>
    <row r="1168" spans="1:10" x14ac:dyDescent="0.25">
      <c r="A1168" t="s">
        <v>1177</v>
      </c>
      <c r="B1168" t="s">
        <v>11</v>
      </c>
      <c r="C1168">
        <v>122.15600000000001</v>
      </c>
      <c r="D1168">
        <f>0</f>
        <v>0</v>
      </c>
      <c r="E1168">
        <f>644287903/10^6</f>
        <v>644.28790300000003</v>
      </c>
      <c r="F1168">
        <f>0</f>
        <v>0</v>
      </c>
      <c r="G1168">
        <f>231899643/10^6</f>
        <v>231.899643</v>
      </c>
      <c r="H1168">
        <f>0</f>
        <v>0</v>
      </c>
      <c r="I1168">
        <f>-38551945/10^6</f>
        <v>-38.551945000000003</v>
      </c>
      <c r="J1168">
        <f>0</f>
        <v>0</v>
      </c>
    </row>
    <row r="1169" spans="1:10" x14ac:dyDescent="0.25">
      <c r="A1169" t="s">
        <v>1178</v>
      </c>
      <c r="B1169" t="s">
        <v>11</v>
      </c>
      <c r="C1169">
        <v>122.179945313</v>
      </c>
      <c r="D1169">
        <f>0</f>
        <v>0</v>
      </c>
      <c r="E1169">
        <f>64420575/10^5</f>
        <v>644.20574999999997</v>
      </c>
      <c r="F1169">
        <f>0</f>
        <v>0</v>
      </c>
      <c r="G1169">
        <f>231925644/10^6</f>
        <v>231.92564400000001</v>
      </c>
      <c r="H1169">
        <f>0</f>
        <v>0</v>
      </c>
      <c r="I1169">
        <f>-38446678/10^6</f>
        <v>-38.446677999999999</v>
      </c>
      <c r="J1169">
        <f>0</f>
        <v>0</v>
      </c>
    </row>
    <row r="1170" spans="1:10" x14ac:dyDescent="0.25">
      <c r="A1170" t="s">
        <v>1179</v>
      </c>
      <c r="B1170" t="s">
        <v>11</v>
      </c>
      <c r="C1170">
        <v>122.158585938</v>
      </c>
      <c r="D1170">
        <f>0</f>
        <v>0</v>
      </c>
      <c r="E1170">
        <f>644434631/10^6</f>
        <v>644.43463099999997</v>
      </c>
      <c r="F1170">
        <f>0</f>
        <v>0</v>
      </c>
      <c r="G1170">
        <f>231941422/10^6</f>
        <v>231.94142199999999</v>
      </c>
      <c r="H1170">
        <f>0</f>
        <v>0</v>
      </c>
      <c r="I1170">
        <f>-38378422/10^6</f>
        <v>-38.378422</v>
      </c>
      <c r="J1170">
        <f>0</f>
        <v>0</v>
      </c>
    </row>
    <row r="1171" spans="1:10" x14ac:dyDescent="0.25">
      <c r="A1171" t="s">
        <v>1180</v>
      </c>
      <c r="B1171" t="s">
        <v>11</v>
      </c>
      <c r="C1171">
        <v>0</v>
      </c>
      <c r="D1171">
        <f>2</f>
        <v>2</v>
      </c>
      <c r="F1171">
        <f>2</f>
        <v>2</v>
      </c>
      <c r="H1171">
        <f>2</f>
        <v>2</v>
      </c>
      <c r="J1171">
        <f>2</f>
        <v>2</v>
      </c>
    </row>
    <row r="1172" spans="1:10" x14ac:dyDescent="0.25">
      <c r="A1172" t="s">
        <v>1181</v>
      </c>
      <c r="B1172" t="s">
        <v>11</v>
      </c>
      <c r="C1172">
        <v>122.00621093800001</v>
      </c>
      <c r="D1172">
        <f>0</f>
        <v>0</v>
      </c>
      <c r="E1172">
        <f>64522168/10^5</f>
        <v>645.22167999999999</v>
      </c>
      <c r="F1172">
        <f>0</f>
        <v>0</v>
      </c>
      <c r="G1172">
        <f>231950928/10^6</f>
        <v>231.950928</v>
      </c>
      <c r="H1172">
        <f>0</f>
        <v>0</v>
      </c>
      <c r="I1172">
        <f>-38390591/10^6</f>
        <v>-38.390591000000001</v>
      </c>
      <c r="J1172">
        <f>0</f>
        <v>0</v>
      </c>
    </row>
    <row r="1173" spans="1:10" x14ac:dyDescent="0.25">
      <c r="A1173" t="s">
        <v>1182</v>
      </c>
      <c r="B1173" t="s">
        <v>11</v>
      </c>
      <c r="C1173">
        <v>121.89913281300001</v>
      </c>
      <c r="D1173">
        <f>0</f>
        <v>0</v>
      </c>
      <c r="E1173">
        <f>645848572/10^6</f>
        <v>645.84857199999999</v>
      </c>
      <c r="F1173">
        <f>0</f>
        <v>0</v>
      </c>
      <c r="G1173">
        <f>231932098/10^6</f>
        <v>231.932098</v>
      </c>
      <c r="H1173">
        <f>0</f>
        <v>0</v>
      </c>
      <c r="I1173">
        <f>-38505825/10^6</f>
        <v>-38.505825000000002</v>
      </c>
      <c r="J1173">
        <f>0</f>
        <v>0</v>
      </c>
    </row>
    <row r="1174" spans="1:10" x14ac:dyDescent="0.25">
      <c r="A1174" t="s">
        <v>1183</v>
      </c>
      <c r="B1174" t="s">
        <v>11</v>
      </c>
      <c r="C1174">
        <v>121.751898438</v>
      </c>
      <c r="D1174">
        <f>0</f>
        <v>0</v>
      </c>
      <c r="E1174">
        <f>646628418/10^6</f>
        <v>646.62841800000001</v>
      </c>
      <c r="F1174">
        <f>0</f>
        <v>0</v>
      </c>
      <c r="G1174">
        <f>231915375/10^6</f>
        <v>231.91537500000001</v>
      </c>
      <c r="H1174">
        <f>0</f>
        <v>0</v>
      </c>
      <c r="I1174">
        <f>-38595932/10^6</f>
        <v>-38.595931999999998</v>
      </c>
      <c r="J1174">
        <f>0</f>
        <v>0</v>
      </c>
    </row>
    <row r="1175" spans="1:10" x14ac:dyDescent="0.25">
      <c r="A1175" t="s">
        <v>1184</v>
      </c>
      <c r="B1175" t="s">
        <v>11</v>
      </c>
      <c r="C1175">
        <v>121.57098437499999</v>
      </c>
      <c r="D1175">
        <f>0</f>
        <v>0</v>
      </c>
      <c r="E1175">
        <f>647559875/10^6</f>
        <v>647.55987500000003</v>
      </c>
      <c r="F1175">
        <f>0</f>
        <v>0</v>
      </c>
      <c r="G1175">
        <f>231887482/10^6</f>
        <v>231.88748200000001</v>
      </c>
      <c r="H1175">
        <f>0</f>
        <v>0</v>
      </c>
      <c r="I1175">
        <f>-38450111/10^6</f>
        <v>-38.450111</v>
      </c>
      <c r="J1175">
        <f>0</f>
        <v>0</v>
      </c>
    </row>
    <row r="1176" spans="1:10" x14ac:dyDescent="0.25">
      <c r="A1176" t="s">
        <v>1185</v>
      </c>
      <c r="B1176" t="s">
        <v>11</v>
      </c>
      <c r="C1176">
        <v>121.35630468800001</v>
      </c>
      <c r="D1176">
        <f>0</f>
        <v>0</v>
      </c>
      <c r="E1176">
        <f>648667786/10^6</f>
        <v>648.66778599999998</v>
      </c>
      <c r="F1176">
        <f>0</f>
        <v>0</v>
      </c>
      <c r="G1176">
        <f>231851395/10^6</f>
        <v>231.851395</v>
      </c>
      <c r="H1176">
        <f>0</f>
        <v>0</v>
      </c>
      <c r="I1176">
        <f>-38420639/10^6</f>
        <v>-38.420639000000001</v>
      </c>
      <c r="J1176">
        <f>0</f>
        <v>0</v>
      </c>
    </row>
    <row r="1177" spans="1:10" x14ac:dyDescent="0.25">
      <c r="A1177" t="s">
        <v>1186</v>
      </c>
      <c r="B1177" t="s">
        <v>11</v>
      </c>
      <c r="C1177">
        <v>121.101890625</v>
      </c>
      <c r="D1177">
        <f>0</f>
        <v>0</v>
      </c>
      <c r="E1177">
        <f>650070923/10^6</f>
        <v>650.07092299999999</v>
      </c>
      <c r="F1177">
        <f>0</f>
        <v>0</v>
      </c>
      <c r="G1177">
        <f>231816315/10^6</f>
        <v>231.816315</v>
      </c>
      <c r="H1177">
        <f>0</f>
        <v>0</v>
      </c>
      <c r="I1177">
        <f>-38708862/10^6</f>
        <v>-38.708862000000003</v>
      </c>
      <c r="J1177">
        <f>0</f>
        <v>0</v>
      </c>
    </row>
    <row r="1178" spans="1:10" x14ac:dyDescent="0.25">
      <c r="A1178" t="s">
        <v>1187</v>
      </c>
      <c r="B1178" t="s">
        <v>11</v>
      </c>
      <c r="C1178">
        <v>0</v>
      </c>
      <c r="D1178">
        <f>2</f>
        <v>2</v>
      </c>
      <c r="F1178">
        <f>2</f>
        <v>2</v>
      </c>
      <c r="H1178">
        <f>2</f>
        <v>2</v>
      </c>
      <c r="J1178">
        <f>2</f>
        <v>2</v>
      </c>
    </row>
    <row r="1179" spans="1:10" x14ac:dyDescent="0.25">
      <c r="A1179" t="s">
        <v>1188</v>
      </c>
      <c r="B1179" t="s">
        <v>11</v>
      </c>
      <c r="C1179">
        <v>120.59408593800001</v>
      </c>
      <c r="D1179">
        <f>0</f>
        <v>0</v>
      </c>
      <c r="E1179">
        <f>652767578/10^6</f>
        <v>652.76757799999996</v>
      </c>
      <c r="F1179">
        <f>0</f>
        <v>0</v>
      </c>
      <c r="G1179">
        <f>231735092/10^6</f>
        <v>231.73509200000001</v>
      </c>
      <c r="H1179">
        <f>0</f>
        <v>0</v>
      </c>
      <c r="I1179">
        <f>-38860046/10^6</f>
        <v>-38.860045999999997</v>
      </c>
      <c r="J1179">
        <f>0</f>
        <v>0</v>
      </c>
    </row>
    <row r="1180" spans="1:10" x14ac:dyDescent="0.25">
      <c r="A1180" t="s">
        <v>1189</v>
      </c>
      <c r="B1180" t="s">
        <v>11</v>
      </c>
      <c r="C1180">
        <v>120.31951562499999</v>
      </c>
      <c r="D1180">
        <f>0</f>
        <v>0</v>
      </c>
      <c r="E1180">
        <f>654323853/10^6</f>
        <v>654.32385299999999</v>
      </c>
      <c r="F1180">
        <f>0</f>
        <v>0</v>
      </c>
      <c r="G1180">
        <f>231689438/10^6</f>
        <v>231.689438</v>
      </c>
      <c r="H1180">
        <f>0</f>
        <v>0</v>
      </c>
      <c r="I1180">
        <f>-39171665/10^6</f>
        <v>-39.171664999999997</v>
      </c>
      <c r="J1180">
        <f>0</f>
        <v>0</v>
      </c>
    </row>
    <row r="1181" spans="1:10" x14ac:dyDescent="0.25">
      <c r="A1181" t="s">
        <v>1190</v>
      </c>
      <c r="B1181" t="s">
        <v>11</v>
      </c>
      <c r="C1181">
        <v>120.048625</v>
      </c>
      <c r="D1181">
        <f>0</f>
        <v>0</v>
      </c>
      <c r="E1181">
        <f>655831787/10^6</f>
        <v>655.83178699999996</v>
      </c>
      <c r="F1181">
        <f>0</f>
        <v>0</v>
      </c>
      <c r="G1181">
        <f>231641922/10^6</f>
        <v>231.64192199999999</v>
      </c>
      <c r="H1181">
        <f>0</f>
        <v>0</v>
      </c>
      <c r="I1181">
        <f>-39373447/10^6</f>
        <v>-39.373446999999999</v>
      </c>
      <c r="J1181">
        <f>0</f>
        <v>0</v>
      </c>
    </row>
    <row r="1182" spans="1:10" x14ac:dyDescent="0.25">
      <c r="A1182" t="s">
        <v>1191</v>
      </c>
      <c r="B1182" t="s">
        <v>11</v>
      </c>
      <c r="C1182">
        <v>119.738625</v>
      </c>
      <c r="D1182">
        <f>0</f>
        <v>0</v>
      </c>
      <c r="E1182">
        <f>657410522/10^6</f>
        <v>657.41052200000001</v>
      </c>
      <c r="F1182">
        <f>0</f>
        <v>0</v>
      </c>
      <c r="G1182">
        <f>231593124/10^6</f>
        <v>231.59312399999999</v>
      </c>
      <c r="H1182">
        <f>0</f>
        <v>0</v>
      </c>
      <c r="I1182">
        <f>-39439449/10^6</f>
        <v>-39.439449000000003</v>
      </c>
      <c r="J1182">
        <f>0</f>
        <v>0</v>
      </c>
    </row>
    <row r="1183" spans="1:10" x14ac:dyDescent="0.25">
      <c r="A1183" t="s">
        <v>1192</v>
      </c>
      <c r="B1183" t="s">
        <v>11</v>
      </c>
      <c r="C1183">
        <v>119.4764375</v>
      </c>
      <c r="D1183">
        <f>0</f>
        <v>0</v>
      </c>
      <c r="E1183">
        <f>658931091/10^6</f>
        <v>658.93109100000004</v>
      </c>
      <c r="F1183">
        <f>0</f>
        <v>0</v>
      </c>
      <c r="G1183">
        <f>231550613/10^6</f>
        <v>231.550613</v>
      </c>
      <c r="H1183">
        <f>0</f>
        <v>0</v>
      </c>
      <c r="I1183">
        <f>-39781586/10^6</f>
        <v>-39.781585999999997</v>
      </c>
      <c r="J1183">
        <f>0</f>
        <v>0</v>
      </c>
    </row>
    <row r="1184" spans="1:10" x14ac:dyDescent="0.25">
      <c r="A1184" t="s">
        <v>1193</v>
      </c>
      <c r="B1184" t="s">
        <v>11</v>
      </c>
      <c r="C1184">
        <v>119.31476562500001</v>
      </c>
      <c r="D1184">
        <f>0</f>
        <v>0</v>
      </c>
      <c r="E1184">
        <f>65970636/10^5</f>
        <v>659.70636000000002</v>
      </c>
      <c r="F1184">
        <f>0</f>
        <v>0</v>
      </c>
      <c r="G1184">
        <f>231507645/10^6</f>
        <v>231.507645</v>
      </c>
      <c r="H1184">
        <f>0</f>
        <v>0</v>
      </c>
      <c r="I1184">
        <f>-39733879/10^6</f>
        <v>-39.733879000000002</v>
      </c>
      <c r="J1184">
        <f>0</f>
        <v>0</v>
      </c>
    </row>
    <row r="1185" spans="1:10" x14ac:dyDescent="0.25">
      <c r="A1185" t="s">
        <v>1194</v>
      </c>
      <c r="B1185" t="s">
        <v>11</v>
      </c>
      <c r="C1185">
        <v>119.132859375</v>
      </c>
      <c r="D1185">
        <f>0</f>
        <v>0</v>
      </c>
      <c r="E1185">
        <f>660525208/10^6</f>
        <v>660.52520800000002</v>
      </c>
      <c r="F1185">
        <f>0</f>
        <v>0</v>
      </c>
      <c r="G1185">
        <f>231475861/10^6</f>
        <v>231.47586100000001</v>
      </c>
      <c r="H1185">
        <f>0</f>
        <v>0</v>
      </c>
      <c r="I1185">
        <f>-39670921/10^6</f>
        <v>-39.670921</v>
      </c>
      <c r="J1185">
        <f>0</f>
        <v>0</v>
      </c>
    </row>
    <row r="1186" spans="1:10" x14ac:dyDescent="0.25">
      <c r="A1186" t="s">
        <v>1195</v>
      </c>
      <c r="B1186" t="s">
        <v>11</v>
      </c>
      <c r="C1186">
        <v>118.950890625</v>
      </c>
      <c r="D1186">
        <f>0</f>
        <v>0</v>
      </c>
      <c r="E1186">
        <f>661638916/10^6</f>
        <v>661.63891599999999</v>
      </c>
      <c r="F1186">
        <f>0</f>
        <v>0</v>
      </c>
      <c r="G1186">
        <f>231457291/10^6</f>
        <v>231.457291</v>
      </c>
      <c r="H1186">
        <f>0</f>
        <v>0</v>
      </c>
      <c r="I1186">
        <f>-39979115/10^6</f>
        <v>-39.979115</v>
      </c>
      <c r="J1186">
        <f>0</f>
        <v>0</v>
      </c>
    </row>
    <row r="1187" spans="1:10" x14ac:dyDescent="0.25">
      <c r="A1187" t="s">
        <v>1196</v>
      </c>
      <c r="B1187" t="s">
        <v>11</v>
      </c>
      <c r="C1187">
        <v>118.795984375</v>
      </c>
      <c r="D1187">
        <f>0</f>
        <v>0</v>
      </c>
      <c r="E1187">
        <f>662584412/10^6</f>
        <v>662.58441200000004</v>
      </c>
      <c r="F1187">
        <f>0</f>
        <v>0</v>
      </c>
      <c r="G1187">
        <f>23143428/10^5</f>
        <v>231.43428</v>
      </c>
      <c r="H1187">
        <f>0</f>
        <v>0</v>
      </c>
      <c r="I1187">
        <f>-4016547/10^5</f>
        <v>-40.165469999999999</v>
      </c>
      <c r="J1187">
        <f>0</f>
        <v>0</v>
      </c>
    </row>
    <row r="1188" spans="1:10" x14ac:dyDescent="0.25">
      <c r="A1188" t="s">
        <v>1197</v>
      </c>
      <c r="B1188" t="s">
        <v>11</v>
      </c>
      <c r="C1188">
        <v>118.655226563</v>
      </c>
      <c r="D1188">
        <f>0</f>
        <v>0</v>
      </c>
      <c r="E1188">
        <f>663330383/10^6</f>
        <v>663.33038299999998</v>
      </c>
      <c r="F1188">
        <f>0</f>
        <v>0</v>
      </c>
      <c r="G1188">
        <f>231406082/10^6</f>
        <v>231.406082</v>
      </c>
      <c r="H1188">
        <f>0</f>
        <v>0</v>
      </c>
      <c r="I1188">
        <f>-40223087/10^6</f>
        <v>-40.223087</v>
      </c>
      <c r="J1188">
        <f>0</f>
        <v>0</v>
      </c>
    </row>
    <row r="1189" spans="1:10" x14ac:dyDescent="0.25">
      <c r="A1189" t="s">
        <v>1198</v>
      </c>
      <c r="B1189" t="s">
        <v>11</v>
      </c>
      <c r="C1189">
        <v>0</v>
      </c>
      <c r="D1189">
        <f>2</f>
        <v>2</v>
      </c>
      <c r="F1189">
        <f>2</f>
        <v>2</v>
      </c>
      <c r="H1189">
        <f>2</f>
        <v>2</v>
      </c>
      <c r="J1189">
        <f>2</f>
        <v>2</v>
      </c>
    </row>
    <row r="1190" spans="1:10" x14ac:dyDescent="0.25">
      <c r="A1190" t="s">
        <v>1199</v>
      </c>
      <c r="B1190" t="s">
        <v>11</v>
      </c>
      <c r="C1190">
        <v>118.4574375</v>
      </c>
      <c r="D1190">
        <f>0</f>
        <v>0</v>
      </c>
      <c r="E1190">
        <f>664539856/10^6</f>
        <v>664.53985599999999</v>
      </c>
      <c r="F1190">
        <f>0</f>
        <v>0</v>
      </c>
      <c r="G1190">
        <f>231408676/10^6</f>
        <v>231.40867600000001</v>
      </c>
      <c r="H1190">
        <f>0</f>
        <v>0</v>
      </c>
      <c r="I1190">
        <f>-40351624/10^6</f>
        <v>-40.351624000000001</v>
      </c>
      <c r="J1190">
        <f>0</f>
        <v>0</v>
      </c>
    </row>
    <row r="1191" spans="1:10" x14ac:dyDescent="0.25">
      <c r="A1191" t="s">
        <v>1200</v>
      </c>
      <c r="B1191" t="s">
        <v>11</v>
      </c>
      <c r="C1191">
        <v>118.370648438</v>
      </c>
      <c r="D1191">
        <f>0</f>
        <v>0</v>
      </c>
      <c r="E1191">
        <f>665032104/10^6</f>
        <v>665.032104</v>
      </c>
      <c r="F1191">
        <f>0</f>
        <v>0</v>
      </c>
      <c r="G1191">
        <f>231400925/10^6</f>
        <v>231.400925</v>
      </c>
      <c r="H1191">
        <f>0</f>
        <v>0</v>
      </c>
      <c r="I1191">
        <f>-40382977/10^6</f>
        <v>-40.382976999999997</v>
      </c>
      <c r="J1191">
        <f>0</f>
        <v>0</v>
      </c>
    </row>
    <row r="1192" spans="1:10" x14ac:dyDescent="0.25">
      <c r="A1192" t="s">
        <v>1201</v>
      </c>
      <c r="B1192" t="s">
        <v>11</v>
      </c>
      <c r="C1192">
        <v>118.28857031300001</v>
      </c>
      <c r="D1192">
        <f>0</f>
        <v>0</v>
      </c>
      <c r="E1192">
        <f>665527283/10^6</f>
        <v>665.52728300000001</v>
      </c>
      <c r="F1192">
        <f>0</f>
        <v>0</v>
      </c>
      <c r="G1192">
        <f>231400406/10^6</f>
        <v>231.400406</v>
      </c>
      <c r="H1192">
        <f>0</f>
        <v>0</v>
      </c>
      <c r="I1192">
        <f>-4042268/10^5</f>
        <v>-40.42268</v>
      </c>
      <c r="J1192">
        <f>0</f>
        <v>0</v>
      </c>
    </row>
    <row r="1193" spans="1:10" x14ac:dyDescent="0.25">
      <c r="A1193" t="s">
        <v>1202</v>
      </c>
      <c r="B1193" t="s">
        <v>11</v>
      </c>
      <c r="C1193">
        <v>118.205648438</v>
      </c>
      <c r="D1193">
        <f>0</f>
        <v>0</v>
      </c>
      <c r="E1193">
        <f>66608905/10^5</f>
        <v>666.08905000000004</v>
      </c>
      <c r="F1193">
        <f>0</f>
        <v>0</v>
      </c>
      <c r="G1193">
        <f>231415543/10^6</f>
        <v>231.41554300000001</v>
      </c>
      <c r="H1193">
        <f>0</f>
        <v>0</v>
      </c>
      <c r="I1193">
        <f>-40488628/10^6</f>
        <v>-40.488627999999999</v>
      </c>
      <c r="J1193">
        <f>0</f>
        <v>0</v>
      </c>
    </row>
    <row r="1194" spans="1:10" x14ac:dyDescent="0.25">
      <c r="A1194" t="s">
        <v>1203</v>
      </c>
      <c r="B1194" t="s">
        <v>11</v>
      </c>
      <c r="C1194">
        <v>118.096023438</v>
      </c>
      <c r="D1194">
        <f>0</f>
        <v>0</v>
      </c>
      <c r="E1194">
        <f>666761963/10^6</f>
        <v>666.76196300000004</v>
      </c>
      <c r="F1194">
        <f>0</f>
        <v>0</v>
      </c>
      <c r="G1194">
        <f>231416199/10^6</f>
        <v>231.41619900000001</v>
      </c>
      <c r="H1194">
        <f>0</f>
        <v>0</v>
      </c>
      <c r="I1194">
        <f>-40598392/10^6</f>
        <v>-40.598391999999997</v>
      </c>
      <c r="J1194">
        <f>0</f>
        <v>0</v>
      </c>
    </row>
    <row r="1195" spans="1:10" x14ac:dyDescent="0.25">
      <c r="A1195" t="s">
        <v>1204</v>
      </c>
      <c r="B1195" t="s">
        <v>11</v>
      </c>
      <c r="C1195">
        <v>117.968390625</v>
      </c>
      <c r="D1195">
        <f>0</f>
        <v>0</v>
      </c>
      <c r="E1195">
        <f>667503357/10^6</f>
        <v>667.50335700000005</v>
      </c>
      <c r="F1195">
        <f>0</f>
        <v>0</v>
      </c>
      <c r="G1195">
        <f>231417786/10^6</f>
        <v>231.41778600000001</v>
      </c>
      <c r="H1195">
        <f>0</f>
        <v>0</v>
      </c>
      <c r="I1195">
        <f>-40656067/10^6</f>
        <v>-40.656067</v>
      </c>
      <c r="J1195">
        <f>0</f>
        <v>0</v>
      </c>
    </row>
    <row r="1196" spans="1:10" x14ac:dyDescent="0.25">
      <c r="A1196" t="s">
        <v>1205</v>
      </c>
      <c r="B1196" t="s">
        <v>11</v>
      </c>
      <c r="C1196">
        <v>117.841859375</v>
      </c>
      <c r="D1196">
        <f>0</f>
        <v>0</v>
      </c>
      <c r="E1196">
        <f>668237549/10^6</f>
        <v>668.23754899999994</v>
      </c>
      <c r="F1196">
        <f>0</f>
        <v>0</v>
      </c>
      <c r="G1196">
        <f>231409058/10^6</f>
        <v>231.40905799999999</v>
      </c>
      <c r="H1196">
        <f>0</f>
        <v>0</v>
      </c>
      <c r="I1196">
        <f>-40740498/10^6</f>
        <v>-40.740498000000002</v>
      </c>
      <c r="J1196">
        <f>0</f>
        <v>0</v>
      </c>
    </row>
    <row r="1197" spans="1:10" x14ac:dyDescent="0.25">
      <c r="A1197" t="s">
        <v>1206</v>
      </c>
      <c r="B1197" t="s">
        <v>11</v>
      </c>
      <c r="C1197">
        <v>117.70891406300001</v>
      </c>
      <c r="D1197">
        <f>0</f>
        <v>0</v>
      </c>
      <c r="E1197">
        <f>669040771/10^6</f>
        <v>669.04077099999995</v>
      </c>
      <c r="F1197">
        <f>0</f>
        <v>0</v>
      </c>
      <c r="G1197">
        <f>231390366/10^6</f>
        <v>231.390366</v>
      </c>
      <c r="H1197">
        <f>0</f>
        <v>0</v>
      </c>
      <c r="I1197">
        <f>-40878754/10^6</f>
        <v>-40.878754000000001</v>
      </c>
      <c r="J1197">
        <f>0</f>
        <v>0</v>
      </c>
    </row>
    <row r="1198" spans="1:10" x14ac:dyDescent="0.25">
      <c r="A1198" t="s">
        <v>1207</v>
      </c>
      <c r="B1198" t="s">
        <v>11</v>
      </c>
      <c r="C1198">
        <v>117.551328125</v>
      </c>
      <c r="D1198">
        <f>0</f>
        <v>0</v>
      </c>
      <c r="E1198">
        <f>66998584/10^5</f>
        <v>669.98584000000005</v>
      </c>
      <c r="F1198">
        <f>0</f>
        <v>0</v>
      </c>
      <c r="G1198">
        <f>231385422/10^6</f>
        <v>231.38542200000001</v>
      </c>
      <c r="H1198">
        <f>0</f>
        <v>0</v>
      </c>
      <c r="I1198">
        <f>-40943584/10^6</f>
        <v>-40.943584000000001</v>
      </c>
      <c r="J1198">
        <f>0</f>
        <v>0</v>
      </c>
    </row>
    <row r="1199" spans="1:10" x14ac:dyDescent="0.25">
      <c r="A1199" t="s">
        <v>1208</v>
      </c>
      <c r="B1199" t="s">
        <v>11</v>
      </c>
      <c r="C1199">
        <v>0</v>
      </c>
      <c r="D1199">
        <f>2</f>
        <v>2</v>
      </c>
      <c r="F1199">
        <f>2</f>
        <v>2</v>
      </c>
      <c r="H1199">
        <f>2</f>
        <v>2</v>
      </c>
      <c r="J1199">
        <f>2</f>
        <v>2</v>
      </c>
    </row>
    <row r="1200" spans="1:10" x14ac:dyDescent="0.25">
      <c r="A1200" t="s">
        <v>1209</v>
      </c>
      <c r="B1200" t="s">
        <v>11</v>
      </c>
      <c r="C1200">
        <v>117.175765625</v>
      </c>
      <c r="D1200">
        <f>0</f>
        <v>0</v>
      </c>
      <c r="E1200">
        <f>67218512/10^5</f>
        <v>672.18511999999998</v>
      </c>
      <c r="F1200">
        <f>0</f>
        <v>0</v>
      </c>
      <c r="G1200">
        <f>231341034/10^6</f>
        <v>231.34103400000001</v>
      </c>
      <c r="H1200">
        <f>0</f>
        <v>0</v>
      </c>
      <c r="I1200">
        <f>-41279064/10^6</f>
        <v>-41.279063999999998</v>
      </c>
      <c r="J1200">
        <f>0</f>
        <v>0</v>
      </c>
    </row>
    <row r="1201" spans="1:10" x14ac:dyDescent="0.25">
      <c r="A1201" t="s">
        <v>1210</v>
      </c>
      <c r="B1201" t="s">
        <v>11</v>
      </c>
      <c r="C1201">
        <v>116.96837499999999</v>
      </c>
      <c r="D1201">
        <f>0</f>
        <v>0</v>
      </c>
      <c r="E1201">
        <f>673289856/10^6</f>
        <v>673.28985599999999</v>
      </c>
      <c r="F1201">
        <f>0</f>
        <v>0</v>
      </c>
      <c r="G1201">
        <f>231312057/10^6</f>
        <v>231.31205700000001</v>
      </c>
      <c r="H1201">
        <f>0</f>
        <v>0</v>
      </c>
      <c r="I1201">
        <f>-4126263/10^5</f>
        <v>-41.262630000000001</v>
      </c>
      <c r="J1201">
        <f>0</f>
        <v>0</v>
      </c>
    </row>
    <row r="1202" spans="1:10" x14ac:dyDescent="0.25">
      <c r="A1202" t="s">
        <v>1211</v>
      </c>
      <c r="B1202" t="s">
        <v>11</v>
      </c>
      <c r="C1202">
        <v>116.759078125</v>
      </c>
      <c r="D1202">
        <f>0</f>
        <v>0</v>
      </c>
      <c r="E1202">
        <f>674475952/10^6</f>
        <v>674.47595200000001</v>
      </c>
      <c r="F1202">
        <f>0</f>
        <v>0</v>
      </c>
      <c r="G1202">
        <f>231284012/10^6</f>
        <v>231.28401199999999</v>
      </c>
      <c r="H1202">
        <f>0</f>
        <v>0</v>
      </c>
      <c r="I1202">
        <f>-4135944/10^5</f>
        <v>-41.359439999999999</v>
      </c>
      <c r="J1202">
        <f>0</f>
        <v>0</v>
      </c>
    </row>
    <row r="1203" spans="1:10" x14ac:dyDescent="0.25">
      <c r="A1203" t="s">
        <v>1212</v>
      </c>
      <c r="B1203" t="s">
        <v>11</v>
      </c>
      <c r="C1203">
        <v>116.53180468800001</v>
      </c>
      <c r="D1203">
        <f>0</f>
        <v>0</v>
      </c>
      <c r="E1203">
        <f>675830444/10^6</f>
        <v>675.83044400000006</v>
      </c>
      <c r="F1203">
        <f>0</f>
        <v>0</v>
      </c>
      <c r="G1203">
        <f>231252411/10^6</f>
        <v>231.252411</v>
      </c>
      <c r="H1203">
        <f>0</f>
        <v>0</v>
      </c>
      <c r="I1203">
        <f>-41644245/10^6</f>
        <v>-41.644244999999998</v>
      </c>
      <c r="J1203">
        <f>0</f>
        <v>0</v>
      </c>
    </row>
    <row r="1204" spans="1:10" x14ac:dyDescent="0.25">
      <c r="A1204" t="s">
        <v>1213</v>
      </c>
      <c r="B1204" t="s">
        <v>11</v>
      </c>
      <c r="C1204">
        <v>116.28928125</v>
      </c>
      <c r="D1204">
        <f>0</f>
        <v>0</v>
      </c>
      <c r="E1204">
        <f>677207336/10^6</f>
        <v>677.20733600000005</v>
      </c>
      <c r="F1204">
        <f>0</f>
        <v>0</v>
      </c>
      <c r="G1204">
        <f>231211136/10^6</f>
        <v>231.21113600000001</v>
      </c>
      <c r="H1204">
        <f>0</f>
        <v>0</v>
      </c>
      <c r="I1204">
        <f>-41796043/10^6</f>
        <v>-41.796042999999997</v>
      </c>
      <c r="J1204">
        <f>0</f>
        <v>0</v>
      </c>
    </row>
    <row r="1205" spans="1:10" x14ac:dyDescent="0.25">
      <c r="A1205" t="s">
        <v>1214</v>
      </c>
      <c r="B1205" t="s">
        <v>11</v>
      </c>
      <c r="C1205">
        <v>0</v>
      </c>
      <c r="D1205">
        <f>2</f>
        <v>2</v>
      </c>
      <c r="F1205">
        <f>2</f>
        <v>2</v>
      </c>
      <c r="H1205">
        <f>2</f>
        <v>2</v>
      </c>
      <c r="J1205">
        <f>2</f>
        <v>2</v>
      </c>
    </row>
    <row r="1206" spans="1:10" x14ac:dyDescent="0.25">
      <c r="A1206" t="s">
        <v>1215</v>
      </c>
      <c r="B1206" t="s">
        <v>11</v>
      </c>
      <c r="C1206">
        <v>115.85028124999999</v>
      </c>
      <c r="D1206">
        <f>0</f>
        <v>0</v>
      </c>
      <c r="E1206">
        <f>679753296/10^6</f>
        <v>679.75329599999998</v>
      </c>
      <c r="F1206">
        <f>0</f>
        <v>0</v>
      </c>
      <c r="G1206">
        <f>231102036/10^6</f>
        <v>231.102036</v>
      </c>
      <c r="H1206">
        <f>0</f>
        <v>0</v>
      </c>
      <c r="I1206">
        <f>-42335674/10^6</f>
        <v>-42.335673999999997</v>
      </c>
      <c r="J1206">
        <f>0</f>
        <v>0</v>
      </c>
    </row>
    <row r="1207" spans="1:10" x14ac:dyDescent="0.25">
      <c r="A1207" t="s">
        <v>1216</v>
      </c>
      <c r="B1207" t="s">
        <v>11</v>
      </c>
      <c r="C1207">
        <v>115.670945313</v>
      </c>
      <c r="D1207">
        <f>0</f>
        <v>0</v>
      </c>
      <c r="E1207">
        <f>680585327/10^6</f>
        <v>680.58532700000001</v>
      </c>
      <c r="F1207">
        <f>0</f>
        <v>0</v>
      </c>
      <c r="G1207">
        <f>231027176/10^6</f>
        <v>231.027176</v>
      </c>
      <c r="H1207">
        <f>0</f>
        <v>0</v>
      </c>
      <c r="I1207">
        <f>-4223193/10^5</f>
        <v>-42.231929999999998</v>
      </c>
      <c r="J1207">
        <f>0</f>
        <v>0</v>
      </c>
    </row>
    <row r="1208" spans="1:10" x14ac:dyDescent="0.25">
      <c r="A1208" t="s">
        <v>1217</v>
      </c>
      <c r="B1208" t="s">
        <v>11</v>
      </c>
      <c r="C1208">
        <v>115.53007031300001</v>
      </c>
      <c r="D1208">
        <f>0</f>
        <v>0</v>
      </c>
      <c r="E1208">
        <f>681401001/10^6</f>
        <v>681.40100099999995</v>
      </c>
      <c r="F1208">
        <f>0</f>
        <v>0</v>
      </c>
      <c r="G1208">
        <f>230993469/10^6</f>
        <v>230.993469</v>
      </c>
      <c r="H1208">
        <f>0</f>
        <v>0</v>
      </c>
      <c r="I1208">
        <f>-42304005/10^6</f>
        <v>-42.304004999999997</v>
      </c>
      <c r="J1208">
        <f>0</f>
        <v>0</v>
      </c>
    </row>
    <row r="1209" spans="1:10" x14ac:dyDescent="0.25">
      <c r="A1209" t="s">
        <v>1218</v>
      </c>
      <c r="B1209" t="s">
        <v>11</v>
      </c>
      <c r="C1209">
        <v>115.42796875000001</v>
      </c>
      <c r="D1209">
        <f>0</f>
        <v>0</v>
      </c>
      <c r="E1209">
        <f>681966675/10^6</f>
        <v>681.96667500000001</v>
      </c>
      <c r="F1209">
        <f>0</f>
        <v>0</v>
      </c>
      <c r="G1209">
        <f>230975891/10^6</f>
        <v>230.97589099999999</v>
      </c>
      <c r="H1209">
        <f>0</f>
        <v>0</v>
      </c>
      <c r="I1209">
        <f>-42403328/10^6</f>
        <v>-42.403328000000002</v>
      </c>
      <c r="J1209">
        <f>0</f>
        <v>0</v>
      </c>
    </row>
    <row r="1210" spans="1:10" x14ac:dyDescent="0.25">
      <c r="A1210" t="s">
        <v>1219</v>
      </c>
      <c r="B1210" t="s">
        <v>11</v>
      </c>
      <c r="C1210">
        <v>115.360242188</v>
      </c>
      <c r="D1210">
        <f>0</f>
        <v>0</v>
      </c>
      <c r="E1210">
        <f>682438293/10^6</f>
        <v>682.43829300000004</v>
      </c>
      <c r="F1210">
        <f>0</f>
        <v>0</v>
      </c>
      <c r="G1210">
        <f>230968079/10^6</f>
        <v>230.96807899999999</v>
      </c>
      <c r="H1210">
        <f>0</f>
        <v>0</v>
      </c>
      <c r="I1210">
        <f>-42617905/10^6</f>
        <v>-42.617905</v>
      </c>
      <c r="J1210">
        <f>0</f>
        <v>0</v>
      </c>
    </row>
    <row r="1211" spans="1:10" x14ac:dyDescent="0.25">
      <c r="A1211" t="s">
        <v>1220</v>
      </c>
      <c r="B1211" t="s">
        <v>11</v>
      </c>
      <c r="C1211">
        <v>115.349554688</v>
      </c>
      <c r="D1211">
        <f>0</f>
        <v>0</v>
      </c>
      <c r="E1211">
        <f>682429016/10^6</f>
        <v>682.42901600000005</v>
      </c>
      <c r="F1211">
        <f>0</f>
        <v>0</v>
      </c>
      <c r="G1211">
        <f>230930389/10^6</f>
        <v>230.93038899999999</v>
      </c>
      <c r="H1211">
        <f>0</f>
        <v>0</v>
      </c>
      <c r="I1211">
        <f>-42726864/10^6</f>
        <v>-42.726863999999999</v>
      </c>
      <c r="J1211">
        <f>0</f>
        <v>0</v>
      </c>
    </row>
    <row r="1212" spans="1:10" x14ac:dyDescent="0.25">
      <c r="A1212" t="s">
        <v>1221</v>
      </c>
      <c r="B1212" t="s">
        <v>11</v>
      </c>
      <c r="C1212">
        <v>115.31993749999999</v>
      </c>
      <c r="D1212">
        <f>0</f>
        <v>0</v>
      </c>
      <c r="E1212">
        <f>682505798/10^6</f>
        <v>682.50579800000003</v>
      </c>
      <c r="F1212">
        <f>0</f>
        <v>0</v>
      </c>
      <c r="G1212">
        <f>230900253/10^6</f>
        <v>230.90025299999999</v>
      </c>
      <c r="H1212">
        <f>0</f>
        <v>0</v>
      </c>
      <c r="I1212">
        <f>-4260265/10^5</f>
        <v>-42.602649999999997</v>
      </c>
      <c r="J1212">
        <f>0</f>
        <v>0</v>
      </c>
    </row>
    <row r="1213" spans="1:10" x14ac:dyDescent="0.25">
      <c r="A1213" t="s">
        <v>1222</v>
      </c>
      <c r="B1213" t="s">
        <v>11</v>
      </c>
      <c r="C1213">
        <v>115.20881249999999</v>
      </c>
      <c r="D1213">
        <f>0</f>
        <v>0</v>
      </c>
      <c r="E1213">
        <f>683209656/10^6</f>
        <v>683.209656</v>
      </c>
      <c r="F1213">
        <f>0</f>
        <v>0</v>
      </c>
      <c r="G1213">
        <f>230883453/10^6</f>
        <v>230.883453</v>
      </c>
      <c r="H1213">
        <f>0</f>
        <v>0</v>
      </c>
      <c r="I1213">
        <f>-42787292/10^6</f>
        <v>-42.787292000000001</v>
      </c>
      <c r="J1213">
        <f>0</f>
        <v>0</v>
      </c>
    </row>
    <row r="1214" spans="1:10" x14ac:dyDescent="0.25">
      <c r="A1214" t="s">
        <v>1223</v>
      </c>
      <c r="B1214" t="s">
        <v>11</v>
      </c>
      <c r="C1214">
        <v>115.18332031300001</v>
      </c>
      <c r="D1214">
        <f>0</f>
        <v>0</v>
      </c>
      <c r="E1214">
        <f>683450073/10^6</f>
        <v>683.45007299999997</v>
      </c>
      <c r="F1214">
        <f>0</f>
        <v>0</v>
      </c>
      <c r="G1214">
        <f>230901474/10^6</f>
        <v>230.90147400000001</v>
      </c>
      <c r="H1214">
        <f>0</f>
        <v>0</v>
      </c>
      <c r="I1214">
        <f>-42956825/10^6</f>
        <v>-42.956825000000002</v>
      </c>
      <c r="J1214">
        <f>0</f>
        <v>0</v>
      </c>
    </row>
    <row r="1215" spans="1:10" x14ac:dyDescent="0.25">
      <c r="A1215" t="s">
        <v>1224</v>
      </c>
      <c r="B1215" t="s">
        <v>11</v>
      </c>
      <c r="C1215">
        <v>115.311757813</v>
      </c>
      <c r="D1215">
        <f>0</f>
        <v>0</v>
      </c>
      <c r="E1215">
        <f>682825745/10^6</f>
        <v>682.82574499999998</v>
      </c>
      <c r="F1215">
        <f>0</f>
        <v>0</v>
      </c>
      <c r="G1215">
        <f>230957001/10^6</f>
        <v>230.95700099999999</v>
      </c>
      <c r="H1215">
        <f>0</f>
        <v>0</v>
      </c>
      <c r="I1215">
        <f>-42823448/10^6</f>
        <v>-42.823447999999999</v>
      </c>
      <c r="J1215">
        <f>0</f>
        <v>0</v>
      </c>
    </row>
    <row r="1216" spans="1:10" x14ac:dyDescent="0.25">
      <c r="A1216" t="s">
        <v>1225</v>
      </c>
      <c r="B1216" t="s">
        <v>11</v>
      </c>
      <c r="C1216">
        <v>115.408125</v>
      </c>
      <c r="D1216">
        <f>0</f>
        <v>0</v>
      </c>
      <c r="E1216">
        <f>682277161/10^6</f>
        <v>682.27716099999998</v>
      </c>
      <c r="F1216">
        <f>0</f>
        <v>0</v>
      </c>
      <c r="G1216">
        <f>230992203/10^6</f>
        <v>230.99220299999999</v>
      </c>
      <c r="H1216">
        <f>0</f>
        <v>0</v>
      </c>
      <c r="I1216">
        <f>-42634399/10^6</f>
        <v>-42.634399000000002</v>
      </c>
      <c r="J1216">
        <f>0</f>
        <v>0</v>
      </c>
    </row>
    <row r="1217" spans="1:10" x14ac:dyDescent="0.25">
      <c r="A1217" t="s">
        <v>1226</v>
      </c>
      <c r="B1217" t="s">
        <v>11</v>
      </c>
      <c r="C1217">
        <v>115.429992188</v>
      </c>
      <c r="D1217">
        <f>0</f>
        <v>0</v>
      </c>
      <c r="E1217">
        <f>682208923/10^6</f>
        <v>682.20892300000003</v>
      </c>
      <c r="F1217">
        <f>0</f>
        <v>0</v>
      </c>
      <c r="G1217">
        <f>231042908/10^6</f>
        <v>231.04290800000001</v>
      </c>
      <c r="H1217">
        <f>0</f>
        <v>0</v>
      </c>
      <c r="I1217">
        <f>-42572414/10^6</f>
        <v>-42.572414000000002</v>
      </c>
      <c r="J1217">
        <f>0</f>
        <v>0</v>
      </c>
    </row>
    <row r="1218" spans="1:10" x14ac:dyDescent="0.25">
      <c r="A1218" t="s">
        <v>1227</v>
      </c>
      <c r="B1218" t="s">
        <v>11</v>
      </c>
      <c r="C1218">
        <v>115.45346093800001</v>
      </c>
      <c r="D1218">
        <f>0</f>
        <v>0</v>
      </c>
      <c r="E1218">
        <f>682154114/10^6</f>
        <v>682.15411400000005</v>
      </c>
      <c r="F1218">
        <f>0</f>
        <v>0</v>
      </c>
      <c r="G1218">
        <f>231041367/10^6</f>
        <v>231.04136700000001</v>
      </c>
      <c r="H1218">
        <f>0</f>
        <v>0</v>
      </c>
      <c r="I1218">
        <f>-42788452/10^6</f>
        <v>-42.788451999999999</v>
      </c>
      <c r="J1218">
        <f>0</f>
        <v>0</v>
      </c>
    </row>
    <row r="1219" spans="1:10" x14ac:dyDescent="0.25">
      <c r="A1219" t="s">
        <v>1228</v>
      </c>
      <c r="B1219" t="s">
        <v>11</v>
      </c>
      <c r="C1219">
        <v>115.512460938</v>
      </c>
      <c r="D1219">
        <f>0</f>
        <v>0</v>
      </c>
      <c r="E1219">
        <f>681650513/10^6</f>
        <v>681.65051300000005</v>
      </c>
      <c r="F1219">
        <f>0</f>
        <v>0</v>
      </c>
      <c r="G1219">
        <f>230993729/10^6</f>
        <v>230.993729</v>
      </c>
      <c r="H1219">
        <f>0</f>
        <v>0</v>
      </c>
      <c r="I1219">
        <f>-42743889/10^6</f>
        <v>-42.743889000000003</v>
      </c>
      <c r="J1219">
        <f>0</f>
        <v>0</v>
      </c>
    </row>
    <row r="1220" spans="1:10" x14ac:dyDescent="0.25">
      <c r="A1220" t="s">
        <v>1229</v>
      </c>
      <c r="B1220" t="s">
        <v>11</v>
      </c>
      <c r="C1220">
        <v>115.615742188</v>
      </c>
      <c r="D1220">
        <f>0</f>
        <v>0</v>
      </c>
      <c r="E1220">
        <f>681008423/10^6</f>
        <v>681.00842299999999</v>
      </c>
      <c r="F1220">
        <f>0</f>
        <v>0</v>
      </c>
      <c r="G1220">
        <f>231024048/10^6</f>
        <v>231.02404799999999</v>
      </c>
      <c r="H1220">
        <f>0</f>
        <v>0</v>
      </c>
      <c r="I1220">
        <f>-42516533/10^6</f>
        <v>-42.516533000000003</v>
      </c>
      <c r="J1220">
        <f>0</f>
        <v>0</v>
      </c>
    </row>
    <row r="1221" spans="1:10" x14ac:dyDescent="0.25">
      <c r="A1221" t="s">
        <v>1230</v>
      </c>
      <c r="B1221" t="s">
        <v>11</v>
      </c>
      <c r="C1221">
        <v>115.769054688</v>
      </c>
      <c r="D1221">
        <f>0</f>
        <v>0</v>
      </c>
      <c r="E1221">
        <f>680135132/10^6</f>
        <v>680.135132</v>
      </c>
      <c r="F1221">
        <f>0</f>
        <v>0</v>
      </c>
      <c r="G1221">
        <f>23103389/10^5</f>
        <v>231.03389000000001</v>
      </c>
      <c r="H1221">
        <f>0</f>
        <v>0</v>
      </c>
      <c r="I1221">
        <f>-42512009/10^6</f>
        <v>-42.512008999999999</v>
      </c>
      <c r="J1221">
        <f>0</f>
        <v>0</v>
      </c>
    </row>
    <row r="1222" spans="1:10" x14ac:dyDescent="0.25">
      <c r="A1222" t="s">
        <v>1231</v>
      </c>
      <c r="B1222" t="s">
        <v>11</v>
      </c>
      <c r="C1222">
        <v>115.96630468800001</v>
      </c>
      <c r="D1222">
        <f>0</f>
        <v>0</v>
      </c>
      <c r="E1222">
        <f>678876465/10^6</f>
        <v>678.87646500000005</v>
      </c>
      <c r="F1222">
        <f>0</f>
        <v>0</v>
      </c>
      <c r="G1222">
        <f>231038483/10^6</f>
        <v>231.03848300000001</v>
      </c>
      <c r="H1222">
        <f>0</f>
        <v>0</v>
      </c>
      <c r="I1222">
        <f>-4228492/10^5</f>
        <v>-42.28492</v>
      </c>
      <c r="J1222">
        <f>0</f>
        <v>0</v>
      </c>
    </row>
    <row r="1223" spans="1:10" x14ac:dyDescent="0.25">
      <c r="A1223" t="s">
        <v>1232</v>
      </c>
      <c r="B1223" t="s">
        <v>11</v>
      </c>
      <c r="C1223">
        <v>116.17884375</v>
      </c>
      <c r="D1223">
        <f>0</f>
        <v>0</v>
      </c>
      <c r="E1223">
        <f>677724304/10^6</f>
        <v>677.72430399999996</v>
      </c>
      <c r="F1223">
        <f>0</f>
        <v>0</v>
      </c>
      <c r="G1223">
        <f>231132828/10^6</f>
        <v>231.13282799999999</v>
      </c>
      <c r="H1223">
        <f>0</f>
        <v>0</v>
      </c>
      <c r="I1223">
        <f>-42000378/10^6</f>
        <v>-42.000377999999998</v>
      </c>
      <c r="J1223">
        <f>0</f>
        <v>0</v>
      </c>
    </row>
    <row r="1224" spans="1:10" x14ac:dyDescent="0.25">
      <c r="A1224" t="s">
        <v>1233</v>
      </c>
      <c r="B1224" t="s">
        <v>11</v>
      </c>
      <c r="C1224">
        <v>116.424695313</v>
      </c>
      <c r="D1224">
        <f>0</f>
        <v>0</v>
      </c>
      <c r="E1224">
        <f>676436279/10^6</f>
        <v>676.43627900000001</v>
      </c>
      <c r="F1224">
        <f>0</f>
        <v>0</v>
      </c>
      <c r="G1224">
        <f>231214981/10^6</f>
        <v>231.21498099999999</v>
      </c>
      <c r="H1224">
        <f>0</f>
        <v>0</v>
      </c>
      <c r="I1224">
        <f>-41939156/10^6</f>
        <v>-41.939155999999997</v>
      </c>
      <c r="J1224">
        <f>0</f>
        <v>0</v>
      </c>
    </row>
    <row r="1225" spans="1:10" x14ac:dyDescent="0.25">
      <c r="A1225" t="s">
        <v>1234</v>
      </c>
      <c r="B1225" t="s">
        <v>11</v>
      </c>
      <c r="C1225">
        <v>116.737296875</v>
      </c>
      <c r="D1225">
        <f>0</f>
        <v>0</v>
      </c>
      <c r="E1225">
        <f>674798096/10^6</f>
        <v>674.79809599999999</v>
      </c>
      <c r="F1225">
        <f>0</f>
        <v>0</v>
      </c>
      <c r="G1225">
        <f>23127536/10^5</f>
        <v>231.27536000000001</v>
      </c>
      <c r="H1225">
        <f>0</f>
        <v>0</v>
      </c>
      <c r="I1225">
        <f>-41949585/10^6</f>
        <v>-41.949584999999999</v>
      </c>
      <c r="J1225">
        <f>0</f>
        <v>0</v>
      </c>
    </row>
    <row r="1226" spans="1:10" x14ac:dyDescent="0.25">
      <c r="A1226" t="s">
        <v>1235</v>
      </c>
      <c r="B1226" t="s">
        <v>11</v>
      </c>
      <c r="C1226">
        <v>117.137953125</v>
      </c>
      <c r="D1226">
        <f>0</f>
        <v>0</v>
      </c>
      <c r="E1226">
        <f>672516602/10^6</f>
        <v>672.51660200000003</v>
      </c>
      <c r="F1226">
        <f>0</f>
        <v>0</v>
      </c>
      <c r="G1226">
        <f>231343262/10^6</f>
        <v>231.34326200000001</v>
      </c>
      <c r="H1226">
        <f>0</f>
        <v>0</v>
      </c>
      <c r="I1226">
        <f>-41735416/10^6</f>
        <v>-41.735416000000001</v>
      </c>
      <c r="J1226">
        <f>0</f>
        <v>0</v>
      </c>
    </row>
    <row r="1227" spans="1:10" x14ac:dyDescent="0.25">
      <c r="A1227" t="s">
        <v>1236</v>
      </c>
      <c r="B1227" t="s">
        <v>11</v>
      </c>
      <c r="C1227">
        <v>117.631367188</v>
      </c>
      <c r="D1227">
        <f>0</f>
        <v>0</v>
      </c>
      <c r="E1227">
        <f>669585205/10^6</f>
        <v>669.58520499999997</v>
      </c>
      <c r="F1227">
        <f>0</f>
        <v>0</v>
      </c>
      <c r="G1227">
        <f>231411926/10^6</f>
        <v>231.41192599999999</v>
      </c>
      <c r="H1227">
        <f>0</f>
        <v>0</v>
      </c>
      <c r="I1227">
        <f>-41306648/10^6</f>
        <v>-41.306648000000003</v>
      </c>
      <c r="J1227">
        <f>0</f>
        <v>0</v>
      </c>
    </row>
    <row r="1228" spans="1:10" x14ac:dyDescent="0.25">
      <c r="A1228" t="s">
        <v>1237</v>
      </c>
      <c r="B1228" t="s">
        <v>11</v>
      </c>
      <c r="C1228">
        <v>118.16488281300001</v>
      </c>
      <c r="D1228">
        <f>0</f>
        <v>0</v>
      </c>
      <c r="E1228">
        <f>666671875/10^6</f>
        <v>666.671875</v>
      </c>
      <c r="F1228">
        <f>0</f>
        <v>0</v>
      </c>
      <c r="G1228">
        <f>231475845/10^6</f>
        <v>231.47584499999999</v>
      </c>
      <c r="H1228">
        <f>0</f>
        <v>0</v>
      </c>
      <c r="I1228">
        <f>-4118964/10^5</f>
        <v>-41.189639999999997</v>
      </c>
      <c r="J1228">
        <f>0</f>
        <v>0</v>
      </c>
    </row>
    <row r="1229" spans="1:10" x14ac:dyDescent="0.25">
      <c r="A1229" t="s">
        <v>1238</v>
      </c>
      <c r="B1229" t="s">
        <v>11</v>
      </c>
      <c r="C1229">
        <v>0</v>
      </c>
      <c r="D1229">
        <f>2</f>
        <v>2</v>
      </c>
      <c r="F1229">
        <f>2</f>
        <v>2</v>
      </c>
      <c r="H1229">
        <f>2</f>
        <v>2</v>
      </c>
      <c r="J1229">
        <f>2</f>
        <v>2</v>
      </c>
    </row>
    <row r="1230" spans="1:10" x14ac:dyDescent="0.25">
      <c r="A1230" t="s">
        <v>1239</v>
      </c>
      <c r="B1230" t="s">
        <v>11</v>
      </c>
      <c r="C1230">
        <v>119.285398438</v>
      </c>
      <c r="D1230">
        <f>0</f>
        <v>0</v>
      </c>
      <c r="E1230">
        <f>6602323/10^4</f>
        <v>660.23230000000001</v>
      </c>
      <c r="F1230">
        <f>0</f>
        <v>0</v>
      </c>
      <c r="G1230">
        <f>231594849/10^6</f>
        <v>231.59484900000001</v>
      </c>
      <c r="H1230">
        <f>0</f>
        <v>0</v>
      </c>
      <c r="I1230">
        <f>-40349083/10^6</f>
        <v>-40.349083</v>
      </c>
      <c r="J1230">
        <f>0</f>
        <v>0</v>
      </c>
    </row>
    <row r="1231" spans="1:10" x14ac:dyDescent="0.25">
      <c r="A1231" t="s">
        <v>1240</v>
      </c>
      <c r="B1231" t="s">
        <v>11</v>
      </c>
      <c r="C1231">
        <v>119.84877343800001</v>
      </c>
      <c r="D1231">
        <f>0</f>
        <v>0</v>
      </c>
      <c r="E1231">
        <f>657058594/10^6</f>
        <v>657.05859399999997</v>
      </c>
      <c r="F1231">
        <f>0</f>
        <v>0</v>
      </c>
      <c r="G1231">
        <f>231667587/10^6</f>
        <v>231.667587</v>
      </c>
      <c r="H1231">
        <f>0</f>
        <v>0</v>
      </c>
      <c r="I1231">
        <f>-39966461/10^6</f>
        <v>-39.966461000000002</v>
      </c>
      <c r="J1231">
        <f>0</f>
        <v>0</v>
      </c>
    </row>
    <row r="1232" spans="1:10" x14ac:dyDescent="0.25">
      <c r="A1232" t="s">
        <v>1241</v>
      </c>
      <c r="B1232" t="s">
        <v>11</v>
      </c>
      <c r="C1232">
        <v>120.370429688</v>
      </c>
      <c r="D1232">
        <f>0</f>
        <v>0</v>
      </c>
      <c r="E1232">
        <f>653954346/10^6</f>
        <v>653.95434599999999</v>
      </c>
      <c r="F1232">
        <f>0</f>
        <v>0</v>
      </c>
      <c r="G1232">
        <f>231707809/10^6</f>
        <v>231.707809</v>
      </c>
      <c r="H1232">
        <f>0</f>
        <v>0</v>
      </c>
      <c r="I1232">
        <f>-39563099/10^6</f>
        <v>-39.563099000000001</v>
      </c>
      <c r="J1232">
        <f>0</f>
        <v>0</v>
      </c>
    </row>
    <row r="1233" spans="1:10" x14ac:dyDescent="0.25">
      <c r="A1233" t="s">
        <v>1242</v>
      </c>
      <c r="B1233" t="s">
        <v>11</v>
      </c>
      <c r="C1233">
        <v>120.779453125</v>
      </c>
      <c r="D1233">
        <f>0</f>
        <v>0</v>
      </c>
      <c r="E1233">
        <f>65164502/10^5</f>
        <v>651.64502000000005</v>
      </c>
      <c r="F1233">
        <f>0</f>
        <v>0</v>
      </c>
      <c r="G1233">
        <f>231733521/10^6</f>
        <v>231.733521</v>
      </c>
      <c r="H1233">
        <f>0</f>
        <v>0</v>
      </c>
      <c r="I1233">
        <f>-39284775/10^6</f>
        <v>-39.284775000000003</v>
      </c>
      <c r="J1233">
        <f>0</f>
        <v>0</v>
      </c>
    </row>
    <row r="1234" spans="1:10" x14ac:dyDescent="0.25">
      <c r="A1234" t="s">
        <v>1243</v>
      </c>
      <c r="B1234" t="s">
        <v>11</v>
      </c>
      <c r="C1234">
        <v>0</v>
      </c>
      <c r="D1234">
        <f>2</f>
        <v>2</v>
      </c>
      <c r="F1234">
        <f>2</f>
        <v>2</v>
      </c>
      <c r="H1234">
        <f>2</f>
        <v>2</v>
      </c>
      <c r="J1234">
        <f>2</f>
        <v>2</v>
      </c>
    </row>
    <row r="1235" spans="1:10" x14ac:dyDescent="0.25">
      <c r="A1235" t="s">
        <v>1244</v>
      </c>
      <c r="B1235" t="s">
        <v>11</v>
      </c>
      <c r="C1235">
        <v>121.13224218800001</v>
      </c>
      <c r="D1235">
        <f>0</f>
        <v>0</v>
      </c>
      <c r="E1235">
        <f>649838562/10^6</f>
        <v>649.83856200000002</v>
      </c>
      <c r="F1235">
        <f>0</f>
        <v>0</v>
      </c>
      <c r="G1235">
        <f>231804214/10^6</f>
        <v>231.804214</v>
      </c>
      <c r="H1235">
        <f>0</f>
        <v>0</v>
      </c>
      <c r="I1235">
        <f>-39042152/10^6</f>
        <v>-39.042152000000002</v>
      </c>
      <c r="J1235">
        <f>0</f>
        <v>0</v>
      </c>
    </row>
    <row r="1236" spans="1:10" x14ac:dyDescent="0.25">
      <c r="A1236" t="s">
        <v>1245</v>
      </c>
      <c r="B1236" t="s">
        <v>11</v>
      </c>
      <c r="C1236">
        <v>121.179265625</v>
      </c>
      <c r="D1236">
        <f>0</f>
        <v>0</v>
      </c>
      <c r="E1236">
        <f>649746826/10^6</f>
        <v>649.74682600000006</v>
      </c>
      <c r="F1236">
        <f>0</f>
        <v>0</v>
      </c>
      <c r="G1236">
        <f>2318452/10^4</f>
        <v>231.84520000000001</v>
      </c>
      <c r="H1236">
        <f>0</f>
        <v>0</v>
      </c>
      <c r="I1236">
        <f>-39103745/10^6</f>
        <v>-39.103745000000004</v>
      </c>
      <c r="J1236">
        <f>0</f>
        <v>0</v>
      </c>
    </row>
    <row r="1237" spans="1:10" x14ac:dyDescent="0.25">
      <c r="A1237" t="s">
        <v>1246</v>
      </c>
      <c r="B1237" t="s">
        <v>11</v>
      </c>
      <c r="C1237">
        <v>121.199023438</v>
      </c>
      <c r="D1237">
        <f>0</f>
        <v>0</v>
      </c>
      <c r="E1237">
        <f>649737549/10^6</f>
        <v>649.73754899999994</v>
      </c>
      <c r="F1237">
        <f>0</f>
        <v>0</v>
      </c>
      <c r="G1237">
        <f>231867996/10^6</f>
        <v>231.86799600000001</v>
      </c>
      <c r="H1237">
        <f>0</f>
        <v>0</v>
      </c>
      <c r="I1237">
        <f>-39191437/10^6</f>
        <v>-39.191437000000001</v>
      </c>
      <c r="J1237">
        <f>0</f>
        <v>0</v>
      </c>
    </row>
    <row r="1238" spans="1:10" x14ac:dyDescent="0.25">
      <c r="A1238" t="s">
        <v>1247</v>
      </c>
      <c r="B1238" t="s">
        <v>11</v>
      </c>
      <c r="C1238">
        <v>121.19594531300001</v>
      </c>
      <c r="D1238">
        <f>0</f>
        <v>0</v>
      </c>
      <c r="E1238">
        <f>649635864/10^6</f>
        <v>649.63586399999997</v>
      </c>
      <c r="F1238">
        <f>0</f>
        <v>0</v>
      </c>
      <c r="G1238">
        <f>231885773/10^6</f>
        <v>231.885773</v>
      </c>
      <c r="H1238">
        <f>0</f>
        <v>0</v>
      </c>
      <c r="I1238">
        <f>-3891581/10^5</f>
        <v>-38.91581</v>
      </c>
      <c r="J1238">
        <f>0</f>
        <v>0</v>
      </c>
    </row>
    <row r="1239" spans="1:10" x14ac:dyDescent="0.25">
      <c r="A1239" t="s">
        <v>1248</v>
      </c>
      <c r="B1239" t="s">
        <v>11</v>
      </c>
      <c r="C1239">
        <v>121.212453125</v>
      </c>
      <c r="D1239">
        <f>0</f>
        <v>0</v>
      </c>
      <c r="E1239">
        <f>64952655/10^5</f>
        <v>649.52655000000004</v>
      </c>
      <c r="F1239">
        <f>0</f>
        <v>0</v>
      </c>
      <c r="G1239">
        <f>23190416/10^5</f>
        <v>231.90415999999999</v>
      </c>
      <c r="H1239">
        <f>0</f>
        <v>0</v>
      </c>
      <c r="I1239">
        <f>-38600327/10^6</f>
        <v>-38.600327</v>
      </c>
      <c r="J1239">
        <f>0</f>
        <v>0</v>
      </c>
    </row>
    <row r="1240" spans="1:10" x14ac:dyDescent="0.25">
      <c r="A1240" t="s">
        <v>1249</v>
      </c>
      <c r="B1240" t="s">
        <v>11</v>
      </c>
      <c r="C1240">
        <v>121.214726563</v>
      </c>
      <c r="D1240">
        <f>0</f>
        <v>0</v>
      </c>
      <c r="E1240">
        <f>649632629/10^6</f>
        <v>649.63262899999995</v>
      </c>
      <c r="F1240">
        <f>0</f>
        <v>0</v>
      </c>
      <c r="G1240">
        <f>231903839/10^6</f>
        <v>231.903839</v>
      </c>
      <c r="H1240">
        <f>0</f>
        <v>0</v>
      </c>
      <c r="I1240">
        <f>-38731808/10^6</f>
        <v>-38.731808000000001</v>
      </c>
      <c r="J1240">
        <f>0</f>
        <v>0</v>
      </c>
    </row>
    <row r="1241" spans="1:10" x14ac:dyDescent="0.25">
      <c r="A1241" t="s">
        <v>1250</v>
      </c>
      <c r="B1241" t="s">
        <v>11</v>
      </c>
      <c r="C1241">
        <v>121.17665624999999</v>
      </c>
      <c r="D1241">
        <f>0</f>
        <v>0</v>
      </c>
      <c r="E1241">
        <f>65000354/10^5</f>
        <v>650.00354000000004</v>
      </c>
      <c r="F1241">
        <f>0</f>
        <v>0</v>
      </c>
      <c r="G1241">
        <f>231906754/10^6</f>
        <v>231.90675400000001</v>
      </c>
      <c r="H1241">
        <f>0</f>
        <v>0</v>
      </c>
      <c r="I1241">
        <f>-39077549/10^6</f>
        <v>-39.077548999999998</v>
      </c>
      <c r="J1241">
        <f>0</f>
        <v>0</v>
      </c>
    </row>
    <row r="1242" spans="1:10" x14ac:dyDescent="0.25">
      <c r="A1242" t="s">
        <v>1251</v>
      </c>
      <c r="B1242" t="s">
        <v>11</v>
      </c>
      <c r="C1242">
        <v>121.13139062499999</v>
      </c>
      <c r="D1242">
        <f>0</f>
        <v>0</v>
      </c>
      <c r="E1242">
        <f>650230957/10^6</f>
        <v>650.23095699999999</v>
      </c>
      <c r="F1242">
        <f>0</f>
        <v>0</v>
      </c>
      <c r="G1242">
        <f>231904007/10^6</f>
        <v>231.90400700000001</v>
      </c>
      <c r="H1242">
        <f>0</f>
        <v>0</v>
      </c>
      <c r="I1242">
        <f>-39019154/10^6</f>
        <v>-39.019154</v>
      </c>
      <c r="J1242">
        <f>0</f>
        <v>0</v>
      </c>
    </row>
    <row r="1243" spans="1:10" x14ac:dyDescent="0.25">
      <c r="A1243" t="s">
        <v>1252</v>
      </c>
      <c r="B1243" t="s">
        <v>11</v>
      </c>
      <c r="C1243">
        <v>121.042125</v>
      </c>
      <c r="D1243">
        <f>0</f>
        <v>0</v>
      </c>
      <c r="E1243">
        <f>650629822/10^6</f>
        <v>650.62982199999999</v>
      </c>
      <c r="F1243">
        <f>0</f>
        <v>0</v>
      </c>
      <c r="G1243">
        <f>231881882/10^6</f>
        <v>231.88188199999999</v>
      </c>
      <c r="H1243">
        <f>0</f>
        <v>0</v>
      </c>
      <c r="I1243">
        <f>-38918121/10^6</f>
        <v>-38.918120999999999</v>
      </c>
      <c r="J1243">
        <f>0</f>
        <v>0</v>
      </c>
    </row>
    <row r="1244" spans="1:10" x14ac:dyDescent="0.25">
      <c r="A1244" t="s">
        <v>1253</v>
      </c>
      <c r="B1244" t="s">
        <v>11</v>
      </c>
      <c r="C1244">
        <v>120.87708593800001</v>
      </c>
      <c r="D1244">
        <f>0</f>
        <v>0</v>
      </c>
      <c r="E1244">
        <f>651587524/10^6</f>
        <v>651.58752400000003</v>
      </c>
      <c r="F1244">
        <f>0</f>
        <v>0</v>
      </c>
      <c r="G1244">
        <f>231856644/10^6</f>
        <v>231.85664399999999</v>
      </c>
      <c r="H1244">
        <f>0</f>
        <v>0</v>
      </c>
      <c r="I1244">
        <f>-39082226/10^6</f>
        <v>-39.082225999999999</v>
      </c>
      <c r="J1244">
        <f>0</f>
        <v>0</v>
      </c>
    </row>
    <row r="1245" spans="1:10" x14ac:dyDescent="0.25">
      <c r="A1245" t="s">
        <v>1254</v>
      </c>
      <c r="B1245" t="s">
        <v>11</v>
      </c>
      <c r="C1245">
        <v>120.663882813</v>
      </c>
      <c r="D1245">
        <f>0</f>
        <v>0</v>
      </c>
      <c r="E1245">
        <f>652702393/10^6</f>
        <v>652.70239300000003</v>
      </c>
      <c r="F1245">
        <f>0</f>
        <v>0</v>
      </c>
      <c r="G1245">
        <f>231834869/10^6</f>
        <v>231.834869</v>
      </c>
      <c r="H1245">
        <f>0</f>
        <v>0</v>
      </c>
      <c r="I1245">
        <f>-39158688/10^6</f>
        <v>-39.158687999999998</v>
      </c>
      <c r="J1245">
        <f>0</f>
        <v>0</v>
      </c>
    </row>
    <row r="1246" spans="1:10" x14ac:dyDescent="0.25">
      <c r="A1246" t="s">
        <v>1255</v>
      </c>
      <c r="B1246" t="s">
        <v>11</v>
      </c>
      <c r="C1246">
        <v>0</v>
      </c>
      <c r="D1246">
        <f>2</f>
        <v>2</v>
      </c>
      <c r="F1246">
        <f>2</f>
        <v>2</v>
      </c>
      <c r="H1246">
        <f>2</f>
        <v>2</v>
      </c>
      <c r="J1246">
        <f>2</f>
        <v>2</v>
      </c>
    </row>
    <row r="1247" spans="1:10" x14ac:dyDescent="0.25">
      <c r="A1247" t="s">
        <v>1256</v>
      </c>
      <c r="B1247" t="s">
        <v>11</v>
      </c>
      <c r="C1247">
        <v>120.24140625</v>
      </c>
      <c r="D1247">
        <f>0</f>
        <v>0</v>
      </c>
      <c r="E1247">
        <f>65495697/10^5</f>
        <v>654.95696999999996</v>
      </c>
      <c r="F1247">
        <f>0</f>
        <v>0</v>
      </c>
      <c r="G1247">
        <f>231762619/10^6</f>
        <v>231.762619</v>
      </c>
      <c r="H1247">
        <f>0</f>
        <v>0</v>
      </c>
      <c r="I1247">
        <f>-39334175/10^6</f>
        <v>-39.334175000000002</v>
      </c>
      <c r="J1247">
        <f>0</f>
        <v>0</v>
      </c>
    </row>
    <row r="1248" spans="1:10" x14ac:dyDescent="0.25">
      <c r="A1248" t="s">
        <v>1257</v>
      </c>
      <c r="B1248" t="s">
        <v>11</v>
      </c>
      <c r="C1248">
        <v>120.04359375</v>
      </c>
      <c r="D1248">
        <f>0</f>
        <v>0</v>
      </c>
      <c r="E1248">
        <f>655924561/10^6</f>
        <v>655.92456100000004</v>
      </c>
      <c r="F1248">
        <f>0</f>
        <v>0</v>
      </c>
      <c r="G1248">
        <f>23172171/10^5</f>
        <v>231.72171</v>
      </c>
      <c r="H1248">
        <f>0</f>
        <v>0</v>
      </c>
      <c r="I1248">
        <f>-39324383/10^6</f>
        <v>-39.324382999999997</v>
      </c>
      <c r="J1248">
        <f>0</f>
        <v>0</v>
      </c>
    </row>
    <row r="1249" spans="1:10" x14ac:dyDescent="0.25">
      <c r="A1249" t="s">
        <v>1258</v>
      </c>
      <c r="B1249" t="s">
        <v>11</v>
      </c>
      <c r="C1249">
        <v>119.793390625</v>
      </c>
      <c r="D1249">
        <f>0</f>
        <v>0</v>
      </c>
      <c r="E1249">
        <f>657260986/10^6</f>
        <v>657.260986</v>
      </c>
      <c r="F1249">
        <f>0</f>
        <v>0</v>
      </c>
      <c r="G1249">
        <f>23167984/10^5</f>
        <v>231.67984000000001</v>
      </c>
      <c r="H1249">
        <f>0</f>
        <v>0</v>
      </c>
      <c r="I1249">
        <f>-39515938/10^6</f>
        <v>-39.515937999999998</v>
      </c>
      <c r="J1249">
        <f>0</f>
        <v>0</v>
      </c>
    </row>
    <row r="1250" spans="1:10" x14ac:dyDescent="0.25">
      <c r="A1250" t="s">
        <v>1259</v>
      </c>
      <c r="B1250" t="s">
        <v>11</v>
      </c>
      <c r="C1250">
        <v>119.57971093800001</v>
      </c>
      <c r="D1250">
        <f>0</f>
        <v>0</v>
      </c>
      <c r="E1250">
        <f>658635803/10^6</f>
        <v>658.63580300000001</v>
      </c>
      <c r="F1250">
        <f>0</f>
        <v>0</v>
      </c>
      <c r="G1250">
        <f>231646576/10^6</f>
        <v>231.64657600000001</v>
      </c>
      <c r="H1250">
        <f>0</f>
        <v>0</v>
      </c>
      <c r="I1250">
        <f>-40010494/10^6</f>
        <v>-40.010494000000001</v>
      </c>
      <c r="J1250">
        <f>0</f>
        <v>0</v>
      </c>
    </row>
    <row r="1251" spans="1:10" x14ac:dyDescent="0.25">
      <c r="A1251" t="s">
        <v>1260</v>
      </c>
      <c r="B1251" t="s">
        <v>11</v>
      </c>
      <c r="C1251">
        <v>119.46543749999999</v>
      </c>
      <c r="D1251">
        <f>0</f>
        <v>0</v>
      </c>
      <c r="E1251">
        <f>659131592/10^6</f>
        <v>659.13159199999996</v>
      </c>
      <c r="F1251">
        <f>0</f>
        <v>0</v>
      </c>
      <c r="G1251">
        <f>231611923/10^6</f>
        <v>231.61192299999999</v>
      </c>
      <c r="H1251">
        <f>0</f>
        <v>0</v>
      </c>
      <c r="I1251">
        <f>-39907906/10^6</f>
        <v>-39.907905999999997</v>
      </c>
      <c r="J1251">
        <f>0</f>
        <v>0</v>
      </c>
    </row>
    <row r="1252" spans="1:10" x14ac:dyDescent="0.25">
      <c r="A1252" t="s">
        <v>1261</v>
      </c>
      <c r="B1252" t="s">
        <v>11</v>
      </c>
      <c r="C1252">
        <v>119.35092968800001</v>
      </c>
      <c r="D1252">
        <f>0</f>
        <v>0</v>
      </c>
      <c r="E1252">
        <f>659643188/10^6</f>
        <v>659.64318800000001</v>
      </c>
      <c r="F1252">
        <f>0</f>
        <v>0</v>
      </c>
      <c r="G1252">
        <f>231587784/10^6</f>
        <v>231.587784</v>
      </c>
      <c r="H1252">
        <f>0</f>
        <v>0</v>
      </c>
      <c r="I1252">
        <f>-39748783/10^6</f>
        <v>-39.748783000000003</v>
      </c>
      <c r="J1252">
        <f>0</f>
        <v>0</v>
      </c>
    </row>
    <row r="1253" spans="1:10" x14ac:dyDescent="0.25">
      <c r="A1253" t="s">
        <v>1262</v>
      </c>
      <c r="B1253" t="s">
        <v>11</v>
      </c>
      <c r="C1253">
        <v>119.21052343800001</v>
      </c>
      <c r="D1253">
        <f>0</f>
        <v>0</v>
      </c>
      <c r="E1253">
        <f>660434082/10^6</f>
        <v>660.43408199999999</v>
      </c>
      <c r="F1253">
        <f>0</f>
        <v>0</v>
      </c>
      <c r="G1253">
        <f>231569305/10^6</f>
        <v>231.56930500000001</v>
      </c>
      <c r="H1253">
        <f>0</f>
        <v>0</v>
      </c>
      <c r="I1253">
        <f>-39857929/10^6</f>
        <v>-39.857928999999999</v>
      </c>
      <c r="J1253">
        <f>0</f>
        <v>0</v>
      </c>
    </row>
    <row r="1254" spans="1:10" x14ac:dyDescent="0.25">
      <c r="A1254" t="s">
        <v>1263</v>
      </c>
      <c r="B1254" t="s">
        <v>11</v>
      </c>
      <c r="C1254">
        <v>119.056421875</v>
      </c>
      <c r="D1254">
        <f>0</f>
        <v>0</v>
      </c>
      <c r="E1254">
        <f>661281555/10^6</f>
        <v>661.28155500000003</v>
      </c>
      <c r="F1254">
        <f>0</f>
        <v>0</v>
      </c>
      <c r="G1254">
        <f>231545471/10^6</f>
        <v>231.54547099999999</v>
      </c>
      <c r="H1254">
        <f>0</f>
        <v>0</v>
      </c>
      <c r="I1254">
        <f>-3993787/10^5</f>
        <v>-39.937869999999997</v>
      </c>
      <c r="J1254">
        <f>0</f>
        <v>0</v>
      </c>
    </row>
    <row r="1255" spans="1:10" x14ac:dyDescent="0.25">
      <c r="A1255" t="s">
        <v>1264</v>
      </c>
      <c r="B1255" t="s">
        <v>11</v>
      </c>
      <c r="C1255">
        <v>118.924757813</v>
      </c>
      <c r="D1255">
        <f>0</f>
        <v>0</v>
      </c>
      <c r="E1255">
        <f>662030823/10^6</f>
        <v>662.03082300000005</v>
      </c>
      <c r="F1255">
        <f>0</f>
        <v>0</v>
      </c>
      <c r="G1255">
        <f>231535995/10^6</f>
        <v>231.53599500000001</v>
      </c>
      <c r="H1255">
        <f>0</f>
        <v>0</v>
      </c>
      <c r="I1255">
        <f>-39921593/10^6</f>
        <v>-39.921593000000001</v>
      </c>
      <c r="J1255">
        <f>0</f>
        <v>0</v>
      </c>
    </row>
    <row r="1256" spans="1:10" x14ac:dyDescent="0.25">
      <c r="A1256" t="s">
        <v>1265</v>
      </c>
      <c r="B1256" t="s">
        <v>11</v>
      </c>
      <c r="C1256">
        <v>118.802578125</v>
      </c>
      <c r="D1256">
        <f>0</f>
        <v>0</v>
      </c>
      <c r="E1256">
        <f>662691589/10^6</f>
        <v>662.69158900000002</v>
      </c>
      <c r="F1256">
        <f>0</f>
        <v>0</v>
      </c>
      <c r="G1256">
        <f>231524368/10^6</f>
        <v>231.52436800000001</v>
      </c>
      <c r="H1256">
        <f>0</f>
        <v>0</v>
      </c>
      <c r="I1256">
        <f>-39953217/10^6</f>
        <v>-39.953217000000002</v>
      </c>
      <c r="J1256">
        <f>0</f>
        <v>0</v>
      </c>
    </row>
    <row r="1257" spans="1:10" x14ac:dyDescent="0.25">
      <c r="A1257" t="s">
        <v>1266</v>
      </c>
      <c r="B1257" t="s">
        <v>11</v>
      </c>
      <c r="C1257">
        <v>118.65213281300001</v>
      </c>
      <c r="D1257">
        <f>0</f>
        <v>0</v>
      </c>
      <c r="E1257">
        <f>663641113/10^6</f>
        <v>663.64111300000002</v>
      </c>
      <c r="F1257">
        <f>0</f>
        <v>0</v>
      </c>
      <c r="G1257">
        <f>231490723/10^6</f>
        <v>231.490723</v>
      </c>
      <c r="H1257">
        <f>0</f>
        <v>0</v>
      </c>
      <c r="I1257">
        <f>-40368073/10^6</f>
        <v>-40.368073000000003</v>
      </c>
      <c r="J1257">
        <f>0</f>
        <v>0</v>
      </c>
    </row>
    <row r="1258" spans="1:10" x14ac:dyDescent="0.25">
      <c r="A1258" t="s">
        <v>1267</v>
      </c>
      <c r="B1258" t="s">
        <v>11</v>
      </c>
      <c r="C1258">
        <v>118.50984375</v>
      </c>
      <c r="D1258">
        <f>0</f>
        <v>0</v>
      </c>
      <c r="E1258">
        <f>664453674/10^6</f>
        <v>664.45367399999998</v>
      </c>
      <c r="F1258">
        <f>0</f>
        <v>0</v>
      </c>
      <c r="G1258">
        <f>231469849/10^6</f>
        <v>231.46984900000001</v>
      </c>
      <c r="H1258">
        <f>0</f>
        <v>0</v>
      </c>
      <c r="I1258">
        <f>-4052647/10^5</f>
        <v>-40.526470000000003</v>
      </c>
      <c r="J1258">
        <f>0</f>
        <v>0</v>
      </c>
    </row>
    <row r="1259" spans="1:10" x14ac:dyDescent="0.25">
      <c r="A1259" t="s">
        <v>1268</v>
      </c>
      <c r="B1259" t="s">
        <v>11</v>
      </c>
      <c r="C1259">
        <v>118.41692968800001</v>
      </c>
      <c r="D1259">
        <f>0</f>
        <v>0</v>
      </c>
      <c r="E1259">
        <f>664892212/10^6</f>
        <v>664.89221199999997</v>
      </c>
      <c r="F1259">
        <f>0</f>
        <v>0</v>
      </c>
      <c r="G1259">
        <f>231475052/10^6</f>
        <v>231.47505200000001</v>
      </c>
      <c r="H1259">
        <f>0</f>
        <v>0</v>
      </c>
      <c r="I1259">
        <f>-40414665/10^6</f>
        <v>-40.414664999999999</v>
      </c>
      <c r="J1259">
        <f>0</f>
        <v>0</v>
      </c>
    </row>
    <row r="1260" spans="1:10" x14ac:dyDescent="0.25">
      <c r="A1260" t="s">
        <v>1269</v>
      </c>
      <c r="B1260" t="s">
        <v>11</v>
      </c>
      <c r="C1260">
        <v>118.361789063</v>
      </c>
      <c r="D1260">
        <f>0</f>
        <v>0</v>
      </c>
      <c r="E1260">
        <f>665272156/10^6</f>
        <v>665.272156</v>
      </c>
      <c r="F1260">
        <f>0</f>
        <v>0</v>
      </c>
      <c r="G1260">
        <f>231459702/10^6</f>
        <v>231.45970199999999</v>
      </c>
      <c r="H1260">
        <f>0</f>
        <v>0</v>
      </c>
      <c r="I1260">
        <f>-40587944/10^6</f>
        <v>-40.587944</v>
      </c>
      <c r="J1260">
        <f>0</f>
        <v>0</v>
      </c>
    </row>
    <row r="1261" spans="1:10" x14ac:dyDescent="0.25">
      <c r="A1261" t="s">
        <v>1270</v>
      </c>
      <c r="B1261" t="s">
        <v>11</v>
      </c>
      <c r="C1261">
        <v>118.323773438</v>
      </c>
      <c r="D1261">
        <f>0</f>
        <v>0</v>
      </c>
      <c r="E1261">
        <f>665529846/10^6</f>
        <v>665.52984600000002</v>
      </c>
      <c r="F1261">
        <f>0</f>
        <v>0</v>
      </c>
      <c r="G1261">
        <f>231453308/10^6</f>
        <v>231.45330799999999</v>
      </c>
      <c r="H1261">
        <f>0</f>
        <v>0</v>
      </c>
      <c r="I1261">
        <f>-4069487/10^5</f>
        <v>-40.694870000000002</v>
      </c>
      <c r="J1261">
        <f>0</f>
        <v>0</v>
      </c>
    </row>
    <row r="1262" spans="1:10" x14ac:dyDescent="0.25">
      <c r="A1262" t="s">
        <v>1271</v>
      </c>
      <c r="B1262" t="s">
        <v>11</v>
      </c>
      <c r="C1262">
        <v>118.3075</v>
      </c>
      <c r="D1262">
        <f>0</f>
        <v>0</v>
      </c>
      <c r="E1262">
        <f>665630859/10^6</f>
        <v>665.63085899999999</v>
      </c>
      <c r="F1262">
        <f>0</f>
        <v>0</v>
      </c>
      <c r="G1262">
        <f>231476059/10^6</f>
        <v>231.47605899999999</v>
      </c>
      <c r="H1262">
        <f>0</f>
        <v>0</v>
      </c>
      <c r="I1262">
        <f>-40569248/10^6</f>
        <v>-40.569248000000002</v>
      </c>
      <c r="J1262">
        <f>0</f>
        <v>0</v>
      </c>
    </row>
    <row r="1263" spans="1:10" x14ac:dyDescent="0.25">
      <c r="A1263" t="s">
        <v>1272</v>
      </c>
      <c r="B1263" t="s">
        <v>11</v>
      </c>
      <c r="C1263">
        <v>118.30483593800001</v>
      </c>
      <c r="D1263">
        <f>0</f>
        <v>0</v>
      </c>
      <c r="E1263">
        <f>665753784/10^6</f>
        <v>665.753784</v>
      </c>
      <c r="F1263">
        <f>0</f>
        <v>0</v>
      </c>
      <c r="G1263">
        <f>231487747/10^6</f>
        <v>231.48774700000001</v>
      </c>
      <c r="H1263">
        <f>0</f>
        <v>0</v>
      </c>
      <c r="I1263">
        <f>-40583447/10^6</f>
        <v>-40.583447</v>
      </c>
      <c r="J1263">
        <f>0</f>
        <v>0</v>
      </c>
    </row>
    <row r="1264" spans="1:10" x14ac:dyDescent="0.25">
      <c r="A1264" t="s">
        <v>1273</v>
      </c>
      <c r="B1264" t="s">
        <v>11</v>
      </c>
      <c r="C1264">
        <v>118.284007813</v>
      </c>
      <c r="D1264">
        <f>0</f>
        <v>0</v>
      </c>
      <c r="E1264">
        <f>665812561/10^6</f>
        <v>665.81256099999996</v>
      </c>
      <c r="F1264">
        <f>0</f>
        <v>0</v>
      </c>
      <c r="G1264">
        <f>23148027/10^5</f>
        <v>231.48026999999999</v>
      </c>
      <c r="H1264">
        <f>0</f>
        <v>0</v>
      </c>
      <c r="I1264">
        <f>-40645145/10^6</f>
        <v>-40.645144999999999</v>
      </c>
      <c r="J1264">
        <f>0</f>
        <v>0</v>
      </c>
    </row>
    <row r="1265" spans="1:10" x14ac:dyDescent="0.25">
      <c r="A1265" t="s">
        <v>1274</v>
      </c>
      <c r="B1265" t="s">
        <v>11</v>
      </c>
      <c r="C1265">
        <v>118.23346093800001</v>
      </c>
      <c r="D1265">
        <f>0</f>
        <v>0</v>
      </c>
      <c r="E1265">
        <f>666076416/10^6</f>
        <v>666.07641599999999</v>
      </c>
      <c r="F1265">
        <f>0</f>
        <v>0</v>
      </c>
      <c r="G1265">
        <f>231484268/10^6</f>
        <v>231.48426799999999</v>
      </c>
      <c r="H1265">
        <f>0</f>
        <v>0</v>
      </c>
      <c r="I1265">
        <f>-40646038/10^6</f>
        <v>-40.646037999999997</v>
      </c>
      <c r="J1265">
        <f>0</f>
        <v>0</v>
      </c>
    </row>
    <row r="1266" spans="1:10" x14ac:dyDescent="0.25">
      <c r="A1266" t="s">
        <v>1275</v>
      </c>
      <c r="B1266" t="s">
        <v>11</v>
      </c>
      <c r="C1266">
        <v>118.18340625</v>
      </c>
      <c r="D1266">
        <f>0</f>
        <v>0</v>
      </c>
      <c r="E1266">
        <f>666468872/10^6</f>
        <v>666.46887200000003</v>
      </c>
      <c r="F1266">
        <f>0</f>
        <v>0</v>
      </c>
      <c r="G1266">
        <f>231501404/10^6</f>
        <v>231.50140400000001</v>
      </c>
      <c r="H1266">
        <f>0</f>
        <v>0</v>
      </c>
      <c r="I1266">
        <f>-4066497/10^5</f>
        <v>-40.664969999999997</v>
      </c>
      <c r="J1266">
        <f>0</f>
        <v>0</v>
      </c>
    </row>
    <row r="1267" spans="1:10" x14ac:dyDescent="0.25">
      <c r="A1267" t="s">
        <v>1276</v>
      </c>
      <c r="B1267" t="s">
        <v>11</v>
      </c>
      <c r="C1267">
        <v>118.157117188</v>
      </c>
      <c r="D1267">
        <f>0</f>
        <v>0</v>
      </c>
      <c r="E1267">
        <f>666571106/10^6</f>
        <v>666.57110599999999</v>
      </c>
      <c r="F1267">
        <f>0</f>
        <v>0</v>
      </c>
      <c r="G1267">
        <f>231498734/10^6</f>
        <v>231.49873400000001</v>
      </c>
      <c r="H1267">
        <f>0</f>
        <v>0</v>
      </c>
      <c r="I1267">
        <f>-40540966/10^6</f>
        <v>-40.540965999999997</v>
      </c>
      <c r="J1267">
        <f>0</f>
        <v>0</v>
      </c>
    </row>
    <row r="1268" spans="1:10" x14ac:dyDescent="0.25">
      <c r="A1268" t="s">
        <v>1277</v>
      </c>
      <c r="B1268" t="s">
        <v>11</v>
      </c>
      <c r="C1268">
        <v>118.119507813</v>
      </c>
      <c r="D1268">
        <f>0</f>
        <v>0</v>
      </c>
      <c r="E1268">
        <f>666801147/10^6</f>
        <v>666.80114700000001</v>
      </c>
      <c r="F1268">
        <f>0</f>
        <v>0</v>
      </c>
      <c r="G1268">
        <f>231494064/10^6</f>
        <v>231.49406400000001</v>
      </c>
      <c r="H1268">
        <f>0</f>
        <v>0</v>
      </c>
      <c r="I1268">
        <f>-40597767/10^6</f>
        <v>-40.597766999999997</v>
      </c>
      <c r="J1268">
        <f>0</f>
        <v>0</v>
      </c>
    </row>
    <row r="1269" spans="1:10" x14ac:dyDescent="0.25">
      <c r="A1269" t="s">
        <v>1278</v>
      </c>
      <c r="B1269" t="s">
        <v>11</v>
      </c>
      <c r="C1269">
        <v>118.050640625</v>
      </c>
      <c r="D1269">
        <f>0</f>
        <v>0</v>
      </c>
      <c r="E1269">
        <f>667230591/10^6</f>
        <v>667.230591</v>
      </c>
      <c r="F1269">
        <f>0</f>
        <v>0</v>
      </c>
      <c r="G1269">
        <f>231495148/10^6</f>
        <v>231.495148</v>
      </c>
      <c r="H1269">
        <f>0</f>
        <v>0</v>
      </c>
      <c r="I1269">
        <f>-40828808/10^6</f>
        <v>-40.828808000000002</v>
      </c>
      <c r="J1269">
        <f>0</f>
        <v>0</v>
      </c>
    </row>
    <row r="1270" spans="1:10" x14ac:dyDescent="0.25">
      <c r="A1270" t="s">
        <v>1279</v>
      </c>
      <c r="B1270" t="s">
        <v>11</v>
      </c>
      <c r="C1270">
        <v>117.97750000000001</v>
      </c>
      <c r="D1270">
        <f>0</f>
        <v>0</v>
      </c>
      <c r="E1270">
        <f>667651001/10^6</f>
        <v>667.65100099999995</v>
      </c>
      <c r="F1270">
        <f>0</f>
        <v>0</v>
      </c>
      <c r="G1270">
        <f>23150322/10^5</f>
        <v>231.50322</v>
      </c>
      <c r="H1270">
        <f>0</f>
        <v>0</v>
      </c>
      <c r="I1270">
        <f>-40718719/10^6</f>
        <v>-40.718719</v>
      </c>
      <c r="J1270">
        <f>0</f>
        <v>0</v>
      </c>
    </row>
    <row r="1271" spans="1:10" x14ac:dyDescent="0.25">
      <c r="A1271" t="s">
        <v>1280</v>
      </c>
      <c r="B1271" t="s">
        <v>11</v>
      </c>
      <c r="C1271">
        <v>117.903515625</v>
      </c>
      <c r="D1271">
        <f>0</f>
        <v>0</v>
      </c>
      <c r="E1271">
        <f>668085938/10^6</f>
        <v>668.08593800000006</v>
      </c>
      <c r="F1271">
        <f>0</f>
        <v>0</v>
      </c>
      <c r="G1271">
        <f>231499832/10^6</f>
        <v>231.499832</v>
      </c>
      <c r="H1271">
        <f>0</f>
        <v>0</v>
      </c>
      <c r="I1271">
        <f>-40549381/10^6</f>
        <v>-40.549380999999997</v>
      </c>
      <c r="J1271">
        <f>0</f>
        <v>0</v>
      </c>
    </row>
    <row r="1272" spans="1:10" x14ac:dyDescent="0.25">
      <c r="A1272" t="s">
        <v>1281</v>
      </c>
      <c r="B1272" t="s">
        <v>11</v>
      </c>
      <c r="C1272">
        <v>117.793632813</v>
      </c>
      <c r="D1272">
        <f>0</f>
        <v>0</v>
      </c>
      <c r="E1272">
        <f>668702942/10^6</f>
        <v>668.70294200000001</v>
      </c>
      <c r="F1272">
        <f>0</f>
        <v>0</v>
      </c>
      <c r="G1272">
        <f>231471954/10^6</f>
        <v>231.47195400000001</v>
      </c>
      <c r="H1272">
        <f>0</f>
        <v>0</v>
      </c>
      <c r="I1272">
        <f>-40742126/10^6</f>
        <v>-40.742125999999999</v>
      </c>
      <c r="J1272">
        <f>0</f>
        <v>0</v>
      </c>
    </row>
    <row r="1273" spans="1:10" x14ac:dyDescent="0.25">
      <c r="A1273" t="s">
        <v>1282</v>
      </c>
      <c r="B1273" t="s">
        <v>11</v>
      </c>
      <c r="C1273">
        <v>117.653289063</v>
      </c>
      <c r="D1273">
        <f>0</f>
        <v>0</v>
      </c>
      <c r="E1273">
        <f>669604004/10^6</f>
        <v>669.60400400000003</v>
      </c>
      <c r="F1273">
        <f>0</f>
        <v>0</v>
      </c>
      <c r="G1273">
        <f>231464508/10^6</f>
        <v>231.464508</v>
      </c>
      <c r="H1273">
        <f>0</f>
        <v>0</v>
      </c>
      <c r="I1273">
        <f>-41007984/10^6</f>
        <v>-41.007984</v>
      </c>
      <c r="J1273">
        <f>0</f>
        <v>0</v>
      </c>
    </row>
    <row r="1274" spans="1:10" x14ac:dyDescent="0.25">
      <c r="A1274" t="s">
        <v>1283</v>
      </c>
      <c r="B1274" t="s">
        <v>11</v>
      </c>
      <c r="C1274">
        <v>117.516375</v>
      </c>
      <c r="D1274">
        <f>0</f>
        <v>0</v>
      </c>
      <c r="E1274">
        <f>670412476/10^6</f>
        <v>670.41247599999997</v>
      </c>
      <c r="F1274">
        <f>0</f>
        <v>0</v>
      </c>
      <c r="G1274">
        <f>231465759/10^6</f>
        <v>231.46575899999999</v>
      </c>
      <c r="H1274">
        <f>0</f>
        <v>0</v>
      </c>
      <c r="I1274">
        <f>-4106266/10^5</f>
        <v>-41.062660000000001</v>
      </c>
      <c r="J1274">
        <f>0</f>
        <v>0</v>
      </c>
    </row>
    <row r="1275" spans="1:10" x14ac:dyDescent="0.25">
      <c r="A1275" t="s">
        <v>1284</v>
      </c>
      <c r="B1275" t="s">
        <v>11</v>
      </c>
      <c r="C1275">
        <v>117.368875</v>
      </c>
      <c r="D1275">
        <f>0</f>
        <v>0</v>
      </c>
      <c r="E1275">
        <f>67122522/10^5</f>
        <v>671.22522000000004</v>
      </c>
      <c r="F1275">
        <f>0</f>
        <v>0</v>
      </c>
      <c r="G1275">
        <f>231444061/10^6</f>
        <v>231.444061</v>
      </c>
      <c r="H1275">
        <f>0</f>
        <v>0</v>
      </c>
      <c r="I1275">
        <f>-41191135/10^6</f>
        <v>-41.191135000000003</v>
      </c>
      <c r="J1275">
        <f>0</f>
        <v>0</v>
      </c>
    </row>
    <row r="1276" spans="1:10" x14ac:dyDescent="0.25">
      <c r="A1276" t="s">
        <v>1285</v>
      </c>
      <c r="B1276" t="s">
        <v>11</v>
      </c>
      <c r="C1276">
        <v>117.22450000000001</v>
      </c>
      <c r="D1276">
        <f>0</f>
        <v>0</v>
      </c>
      <c r="E1276">
        <f>672101257/10^6</f>
        <v>672.10125700000003</v>
      </c>
      <c r="F1276">
        <f>0</f>
        <v>0</v>
      </c>
      <c r="G1276">
        <f>231422638/10^6</f>
        <v>231.42263800000001</v>
      </c>
      <c r="H1276">
        <f>0</f>
        <v>0</v>
      </c>
      <c r="I1276">
        <f>-41324879/10^6</f>
        <v>-41.324879000000003</v>
      </c>
      <c r="J1276">
        <f>0</f>
        <v>0</v>
      </c>
    </row>
    <row r="1277" spans="1:10" x14ac:dyDescent="0.25">
      <c r="A1277" t="s">
        <v>1286</v>
      </c>
      <c r="B1277" t="s">
        <v>11</v>
      </c>
      <c r="C1277">
        <v>117.10735156300001</v>
      </c>
      <c r="D1277">
        <f>0</f>
        <v>0</v>
      </c>
      <c r="E1277">
        <f>6727901/10^4</f>
        <v>672.79010000000005</v>
      </c>
      <c r="F1277">
        <f>0</f>
        <v>0</v>
      </c>
      <c r="G1277">
        <f>231405411/10^6</f>
        <v>231.40541099999999</v>
      </c>
      <c r="H1277">
        <f>0</f>
        <v>0</v>
      </c>
      <c r="I1277">
        <f>-41354225/10^6</f>
        <v>-41.354225</v>
      </c>
      <c r="J1277">
        <f>0</f>
        <v>0</v>
      </c>
    </row>
    <row r="1278" spans="1:10" x14ac:dyDescent="0.25">
      <c r="A1278" t="s">
        <v>1287</v>
      </c>
      <c r="B1278" t="s">
        <v>11</v>
      </c>
      <c r="C1278">
        <v>117.003</v>
      </c>
      <c r="D1278">
        <f>0</f>
        <v>0</v>
      </c>
      <c r="E1278">
        <f>673366333/10^6</f>
        <v>673.36633300000005</v>
      </c>
      <c r="F1278">
        <f>0</f>
        <v>0</v>
      </c>
      <c r="G1278">
        <f>231392059/10^6</f>
        <v>231.39205899999999</v>
      </c>
      <c r="H1278">
        <f>0</f>
        <v>0</v>
      </c>
      <c r="I1278">
        <f>-41403648/10^6</f>
        <v>-41.403647999999997</v>
      </c>
      <c r="J1278">
        <f>0</f>
        <v>0</v>
      </c>
    </row>
    <row r="1279" spans="1:10" x14ac:dyDescent="0.25">
      <c r="A1279" t="s">
        <v>1288</v>
      </c>
      <c r="B1279" t="s">
        <v>11</v>
      </c>
      <c r="C1279">
        <v>116.9090625</v>
      </c>
      <c r="D1279">
        <f>0</f>
        <v>0</v>
      </c>
      <c r="E1279">
        <f>673887451/10^6</f>
        <v>673.88745100000006</v>
      </c>
      <c r="F1279">
        <f>0</f>
        <v>0</v>
      </c>
      <c r="G1279">
        <f>23138179/10^5</f>
        <v>231.38179</v>
      </c>
      <c r="H1279">
        <f>0</f>
        <v>0</v>
      </c>
      <c r="I1279">
        <f>-41386143/10^6</f>
        <v>-41.386142999999997</v>
      </c>
      <c r="J1279">
        <f>0</f>
        <v>0</v>
      </c>
    </row>
    <row r="1280" spans="1:10" x14ac:dyDescent="0.25">
      <c r="A1280" t="s">
        <v>1289</v>
      </c>
      <c r="B1280" t="s">
        <v>11</v>
      </c>
      <c r="C1280">
        <v>116.805148438</v>
      </c>
      <c r="D1280">
        <f>0</f>
        <v>0</v>
      </c>
      <c r="E1280">
        <f>674463562/10^6</f>
        <v>674.46356200000002</v>
      </c>
      <c r="F1280">
        <f>0</f>
        <v>0</v>
      </c>
      <c r="G1280">
        <f>231362274/10^6</f>
        <v>231.36227400000001</v>
      </c>
      <c r="H1280">
        <f>0</f>
        <v>0</v>
      </c>
      <c r="I1280">
        <f>-41439945/10^6</f>
        <v>-41.439945000000002</v>
      </c>
      <c r="J1280">
        <f>0</f>
        <v>0</v>
      </c>
    </row>
    <row r="1281" spans="1:10" x14ac:dyDescent="0.25">
      <c r="A1281" t="s">
        <v>1290</v>
      </c>
      <c r="B1281" t="s">
        <v>11</v>
      </c>
      <c r="C1281">
        <v>116.68378906300001</v>
      </c>
      <c r="D1281">
        <f>0</f>
        <v>0</v>
      </c>
      <c r="E1281">
        <f>675174316/10^6</f>
        <v>675.17431599999998</v>
      </c>
      <c r="F1281">
        <f>0</f>
        <v>0</v>
      </c>
      <c r="G1281">
        <f>231340683/10^6</f>
        <v>231.34068300000001</v>
      </c>
      <c r="H1281">
        <f>0</f>
        <v>0</v>
      </c>
      <c r="I1281">
        <f>-41668102/10^6</f>
        <v>-41.668101999999998</v>
      </c>
      <c r="J1281">
        <f>0</f>
        <v>0</v>
      </c>
    </row>
    <row r="1282" spans="1:10" x14ac:dyDescent="0.25">
      <c r="A1282" t="s">
        <v>1291</v>
      </c>
      <c r="B1282" t="s">
        <v>11</v>
      </c>
      <c r="C1282">
        <v>116.57107031300001</v>
      </c>
      <c r="D1282">
        <f>0</f>
        <v>0</v>
      </c>
      <c r="E1282">
        <f>675895325/10^6</f>
        <v>675.89532499999996</v>
      </c>
      <c r="F1282">
        <f>0</f>
        <v>0</v>
      </c>
      <c r="G1282">
        <f>231322403/10^6</f>
        <v>231.32240300000001</v>
      </c>
      <c r="H1282">
        <f>0</f>
        <v>0</v>
      </c>
      <c r="I1282">
        <f>-41886463/10^6</f>
        <v>-41.886462999999999</v>
      </c>
      <c r="J1282">
        <f>0</f>
        <v>0</v>
      </c>
    </row>
    <row r="1283" spans="1:10" x14ac:dyDescent="0.25">
      <c r="A1283" t="s">
        <v>1292</v>
      </c>
      <c r="B1283" t="s">
        <v>11</v>
      </c>
      <c r="C1283">
        <v>116.489992188</v>
      </c>
      <c r="D1283">
        <f>0</f>
        <v>0</v>
      </c>
      <c r="E1283">
        <f>676401123/10^6</f>
        <v>676.40112299999998</v>
      </c>
      <c r="F1283">
        <f>0</f>
        <v>0</v>
      </c>
      <c r="G1283">
        <f>231310089/10^6</f>
        <v>231.310089</v>
      </c>
      <c r="H1283">
        <f>0</f>
        <v>0</v>
      </c>
      <c r="I1283">
        <f>-41949112/10^6</f>
        <v>-41.949112</v>
      </c>
      <c r="J1283">
        <f>0</f>
        <v>0</v>
      </c>
    </row>
    <row r="1284" spans="1:10" x14ac:dyDescent="0.25">
      <c r="A1284" t="s">
        <v>1293</v>
      </c>
      <c r="B1284" t="s">
        <v>11</v>
      </c>
      <c r="C1284">
        <v>116.457398438</v>
      </c>
      <c r="D1284">
        <f>0</f>
        <v>0</v>
      </c>
      <c r="E1284">
        <f>676562683/10^6</f>
        <v>676.56268299999999</v>
      </c>
      <c r="F1284">
        <f>0</f>
        <v>0</v>
      </c>
      <c r="G1284">
        <f>231303909/10^6</f>
        <v>231.303909</v>
      </c>
      <c r="H1284">
        <f>0</f>
        <v>0</v>
      </c>
      <c r="I1284">
        <f>-4190163/10^5</f>
        <v>-41.901629999999997</v>
      </c>
      <c r="J1284">
        <f>0</f>
        <v>0</v>
      </c>
    </row>
    <row r="1285" spans="1:10" x14ac:dyDescent="0.25">
      <c r="A1285" t="s">
        <v>1294</v>
      </c>
      <c r="B1285" t="s">
        <v>11</v>
      </c>
      <c r="C1285">
        <v>116.446335938</v>
      </c>
      <c r="D1285">
        <f>0</f>
        <v>0</v>
      </c>
      <c r="E1285">
        <f>676652588/10^6</f>
        <v>676.65258800000004</v>
      </c>
      <c r="F1285">
        <f>0</f>
        <v>0</v>
      </c>
      <c r="G1285">
        <f>231297348/10^6</f>
        <v>231.297348</v>
      </c>
      <c r="H1285">
        <f>0</f>
        <v>0</v>
      </c>
      <c r="I1285">
        <f>-41983639/10^6</f>
        <v>-41.983638999999997</v>
      </c>
      <c r="J1285">
        <f>0</f>
        <v>0</v>
      </c>
    </row>
    <row r="1286" spans="1:10" x14ac:dyDescent="0.25">
      <c r="A1286" t="s">
        <v>1295</v>
      </c>
      <c r="B1286" t="s">
        <v>11</v>
      </c>
      <c r="C1286">
        <v>0</v>
      </c>
      <c r="D1286">
        <f>2</f>
        <v>2</v>
      </c>
      <c r="F1286">
        <f>2</f>
        <v>2</v>
      </c>
      <c r="H1286">
        <f>2</f>
        <v>2</v>
      </c>
      <c r="J1286">
        <f>2</f>
        <v>2</v>
      </c>
    </row>
    <row r="1287" spans="1:10" x14ac:dyDescent="0.25">
      <c r="A1287" t="s">
        <v>1296</v>
      </c>
      <c r="B1287" t="s">
        <v>11</v>
      </c>
      <c r="C1287">
        <v>116.394390625</v>
      </c>
      <c r="D1287">
        <f>0</f>
        <v>0</v>
      </c>
      <c r="E1287">
        <f>676809814/10^6</f>
        <v>676.80981399999996</v>
      </c>
      <c r="F1287">
        <f>0</f>
        <v>0</v>
      </c>
      <c r="G1287">
        <f>231290451/10^6</f>
        <v>231.29045099999999</v>
      </c>
      <c r="H1287">
        <f>0</f>
        <v>0</v>
      </c>
      <c r="I1287">
        <f>-41728527/10^6</f>
        <v>-41.728527</v>
      </c>
      <c r="J1287">
        <f>0</f>
        <v>0</v>
      </c>
    </row>
    <row r="1288" spans="1:10" x14ac:dyDescent="0.25">
      <c r="A1288" t="s">
        <v>1297</v>
      </c>
      <c r="B1288" t="s">
        <v>11</v>
      </c>
      <c r="C1288">
        <v>0</v>
      </c>
      <c r="D1288">
        <f>2</f>
        <v>2</v>
      </c>
      <c r="F1288">
        <f>2</f>
        <v>2</v>
      </c>
      <c r="H1288">
        <f>2</f>
        <v>2</v>
      </c>
      <c r="J1288">
        <f>2</f>
        <v>2</v>
      </c>
    </row>
    <row r="1289" spans="1:10" x14ac:dyDescent="0.25">
      <c r="A1289" t="s">
        <v>1298</v>
      </c>
      <c r="B1289" t="s">
        <v>11</v>
      </c>
      <c r="C1289">
        <v>116.372039063</v>
      </c>
      <c r="D1289">
        <f>0</f>
        <v>0</v>
      </c>
      <c r="E1289">
        <f>677136963/10^6</f>
        <v>677.13696300000004</v>
      </c>
      <c r="F1289">
        <f>0</f>
        <v>0</v>
      </c>
      <c r="G1289">
        <f>231295197/10^6</f>
        <v>231.295197</v>
      </c>
      <c r="H1289">
        <f>0</f>
        <v>0</v>
      </c>
      <c r="I1289">
        <f>-42124241/10^6</f>
        <v>-42.124240999999998</v>
      </c>
      <c r="J1289">
        <f>0</f>
        <v>0</v>
      </c>
    </row>
    <row r="1290" spans="1:10" x14ac:dyDescent="0.25">
      <c r="A1290" t="s">
        <v>1299</v>
      </c>
      <c r="B1290" t="s">
        <v>11</v>
      </c>
      <c r="C1290">
        <v>116.39975</v>
      </c>
      <c r="D1290">
        <f>0</f>
        <v>0</v>
      </c>
      <c r="E1290">
        <f>676978088/10^6</f>
        <v>676.97808799999996</v>
      </c>
      <c r="F1290">
        <f>0</f>
        <v>0</v>
      </c>
      <c r="G1290">
        <f>231299271/10^6</f>
        <v>231.299271</v>
      </c>
      <c r="H1290">
        <f>0</f>
        <v>0</v>
      </c>
      <c r="I1290">
        <f>-42085808/10^6</f>
        <v>-42.085808</v>
      </c>
      <c r="J1290">
        <f>0</f>
        <v>0</v>
      </c>
    </row>
    <row r="1291" spans="1:10" x14ac:dyDescent="0.25">
      <c r="A1291" t="s">
        <v>1300</v>
      </c>
      <c r="B1291" t="s">
        <v>11</v>
      </c>
      <c r="C1291">
        <v>116.43227343800001</v>
      </c>
      <c r="D1291">
        <f>0</f>
        <v>0</v>
      </c>
      <c r="E1291">
        <f>676717285/10^6</f>
        <v>676.71728499999995</v>
      </c>
      <c r="F1291">
        <f>0</f>
        <v>0</v>
      </c>
      <c r="G1291">
        <f>231296631/10^6</f>
        <v>231.29663099999999</v>
      </c>
      <c r="H1291">
        <f>0</f>
        <v>0</v>
      </c>
      <c r="I1291">
        <f>-4192812/10^5</f>
        <v>-41.92812</v>
      </c>
      <c r="J1291">
        <f>0</f>
        <v>0</v>
      </c>
    </row>
    <row r="1292" spans="1:10" x14ac:dyDescent="0.25">
      <c r="A1292" t="s">
        <v>1301</v>
      </c>
      <c r="B1292" t="s">
        <v>11</v>
      </c>
      <c r="C1292">
        <v>116.442632813</v>
      </c>
      <c r="D1292">
        <f>0</f>
        <v>0</v>
      </c>
      <c r="E1292">
        <f>676673889/10^6</f>
        <v>676.67388900000003</v>
      </c>
      <c r="F1292">
        <f>0</f>
        <v>0</v>
      </c>
      <c r="G1292">
        <f>231300491/10^6</f>
        <v>231.30049099999999</v>
      </c>
      <c r="H1292">
        <f>0</f>
        <v>0</v>
      </c>
      <c r="I1292">
        <f>-4199144/10^5</f>
        <v>-41.991439999999997</v>
      </c>
      <c r="J1292">
        <f>0</f>
        <v>0</v>
      </c>
    </row>
    <row r="1293" spans="1:10" x14ac:dyDescent="0.25">
      <c r="A1293" t="s">
        <v>1302</v>
      </c>
      <c r="B1293" t="s">
        <v>11</v>
      </c>
      <c r="C1293">
        <v>116.44096875</v>
      </c>
      <c r="D1293">
        <f>0</f>
        <v>0</v>
      </c>
      <c r="E1293">
        <f>676627014/10^6</f>
        <v>676.62701400000003</v>
      </c>
      <c r="F1293">
        <f>0</f>
        <v>0</v>
      </c>
      <c r="G1293">
        <f>231300598/10^6</f>
        <v>231.30059800000001</v>
      </c>
      <c r="H1293">
        <f>0</f>
        <v>0</v>
      </c>
      <c r="I1293">
        <f>-42000713/10^6</f>
        <v>-42.000712999999998</v>
      </c>
      <c r="J1293">
        <f>0</f>
        <v>0</v>
      </c>
    </row>
    <row r="1294" spans="1:10" x14ac:dyDescent="0.25">
      <c r="A1294" t="s">
        <v>1303</v>
      </c>
      <c r="B1294" t="s">
        <v>11</v>
      </c>
      <c r="C1294">
        <v>116.43021874999999</v>
      </c>
      <c r="D1294">
        <f>0</f>
        <v>0</v>
      </c>
      <c r="E1294">
        <f>676692688/10^6</f>
        <v>676.69268799999998</v>
      </c>
      <c r="F1294">
        <f>0</f>
        <v>0</v>
      </c>
      <c r="G1294">
        <f>23130304/10^5</f>
        <v>231.30304000000001</v>
      </c>
      <c r="H1294">
        <f>0</f>
        <v>0</v>
      </c>
      <c r="I1294">
        <f>-41941471/10^6</f>
        <v>-41.941471</v>
      </c>
      <c r="J1294">
        <f>0</f>
        <v>0</v>
      </c>
    </row>
    <row r="1295" spans="1:10" x14ac:dyDescent="0.25">
      <c r="A1295" t="s">
        <v>1304</v>
      </c>
      <c r="B1295" t="s">
        <v>11</v>
      </c>
      <c r="C1295">
        <v>116.53017187499999</v>
      </c>
      <c r="D1295">
        <f>0</f>
        <v>0</v>
      </c>
      <c r="E1295">
        <f>67628717/10^5</f>
        <v>676.28716999999995</v>
      </c>
      <c r="F1295">
        <f>0</f>
        <v>0</v>
      </c>
      <c r="G1295">
        <f>231330688/10^6</f>
        <v>231.33068800000001</v>
      </c>
      <c r="H1295">
        <f>0</f>
        <v>0</v>
      </c>
      <c r="I1295">
        <f>-42108665/10^6</f>
        <v>-42.108665000000002</v>
      </c>
      <c r="J1295">
        <f>0</f>
        <v>0</v>
      </c>
    </row>
    <row r="1296" spans="1:10" x14ac:dyDescent="0.25">
      <c r="A1296" t="s">
        <v>1305</v>
      </c>
      <c r="B1296" t="s">
        <v>11</v>
      </c>
      <c r="C1296">
        <v>116.74099218800001</v>
      </c>
      <c r="D1296">
        <f>0</f>
        <v>0</v>
      </c>
      <c r="E1296">
        <f>67502002/10^5</f>
        <v>675.02002000000005</v>
      </c>
      <c r="F1296">
        <f>0</f>
        <v>0</v>
      </c>
      <c r="G1296">
        <f>231345383/10^6</f>
        <v>231.345383</v>
      </c>
      <c r="H1296">
        <f>0</f>
        <v>0</v>
      </c>
      <c r="I1296">
        <f>-41991577/10^6</f>
        <v>-41.991576999999999</v>
      </c>
      <c r="J1296">
        <f>0</f>
        <v>0</v>
      </c>
    </row>
    <row r="1297" spans="1:10" x14ac:dyDescent="0.25">
      <c r="A1297" t="s">
        <v>1306</v>
      </c>
      <c r="B1297" t="s">
        <v>11</v>
      </c>
      <c r="C1297">
        <v>116.842085938</v>
      </c>
      <c r="D1297">
        <f>0</f>
        <v>0</v>
      </c>
      <c r="E1297">
        <f>674309082/10^6</f>
        <v>674.30908199999999</v>
      </c>
      <c r="F1297">
        <f>0</f>
        <v>0</v>
      </c>
      <c r="G1297">
        <f>231349808/10^6</f>
        <v>231.349808</v>
      </c>
      <c r="H1297">
        <f>0</f>
        <v>0</v>
      </c>
      <c r="I1297">
        <f>-41720104/10^6</f>
        <v>-41.720103999999999</v>
      </c>
      <c r="J1297">
        <f>0</f>
        <v>0</v>
      </c>
    </row>
    <row r="1298" spans="1:10" x14ac:dyDescent="0.25">
      <c r="A1298" t="s">
        <v>1307</v>
      </c>
      <c r="B1298" t="s">
        <v>11</v>
      </c>
      <c r="C1298">
        <v>116.905601563</v>
      </c>
      <c r="D1298">
        <f>0</f>
        <v>0</v>
      </c>
      <c r="E1298">
        <f>674001587/10^6</f>
        <v>674.00158699999997</v>
      </c>
      <c r="F1298">
        <f>0</f>
        <v>0</v>
      </c>
      <c r="G1298">
        <f>231378662/10^6</f>
        <v>231.37866199999999</v>
      </c>
      <c r="H1298">
        <f>0</f>
        <v>0</v>
      </c>
      <c r="I1298">
        <f>-41684586/10^6</f>
        <v>-41.684586000000003</v>
      </c>
      <c r="J1298">
        <f>0</f>
        <v>0</v>
      </c>
    </row>
    <row r="1299" spans="1:10" x14ac:dyDescent="0.25">
      <c r="A1299" t="s">
        <v>1308</v>
      </c>
      <c r="B1299" t="s">
        <v>11</v>
      </c>
      <c r="C1299">
        <v>117.05432031300001</v>
      </c>
      <c r="D1299">
        <f>0</f>
        <v>0</v>
      </c>
      <c r="E1299">
        <f>673137878/10^6</f>
        <v>673.137878</v>
      </c>
      <c r="F1299">
        <f>0</f>
        <v>0</v>
      </c>
      <c r="G1299">
        <f>231401703/10^6</f>
        <v>231.401703</v>
      </c>
      <c r="H1299">
        <f>0</f>
        <v>0</v>
      </c>
      <c r="I1299">
        <f>-4156731/10^5</f>
        <v>-41.567309999999999</v>
      </c>
      <c r="J1299">
        <f>0</f>
        <v>0</v>
      </c>
    </row>
    <row r="1300" spans="1:10" x14ac:dyDescent="0.25">
      <c r="A1300" t="s">
        <v>1309</v>
      </c>
      <c r="B1300" t="s">
        <v>11</v>
      </c>
      <c r="C1300">
        <v>117.19494531300001</v>
      </c>
      <c r="D1300">
        <f>0</f>
        <v>0</v>
      </c>
      <c r="E1300">
        <f>672305969/10^6</f>
        <v>672.305969</v>
      </c>
      <c r="F1300">
        <f>0</f>
        <v>0</v>
      </c>
      <c r="G1300">
        <f>231414337/10^6</f>
        <v>231.41433699999999</v>
      </c>
      <c r="H1300">
        <f>0</f>
        <v>0</v>
      </c>
      <c r="I1300">
        <f>-4152092/10^5</f>
        <v>-41.520919999999997</v>
      </c>
      <c r="J1300">
        <f>0</f>
        <v>0</v>
      </c>
    </row>
    <row r="1301" spans="1:10" x14ac:dyDescent="0.25">
      <c r="A1301" t="s">
        <v>1310</v>
      </c>
      <c r="B1301" t="s">
        <v>11</v>
      </c>
      <c r="C1301">
        <v>117.289914063</v>
      </c>
      <c r="D1301">
        <f>0</f>
        <v>0</v>
      </c>
      <c r="E1301">
        <f>671772583/10^6</f>
        <v>671.77258300000005</v>
      </c>
      <c r="F1301">
        <f>0</f>
        <v>0</v>
      </c>
      <c r="G1301">
        <f>23143306/10^5</f>
        <v>231.43306000000001</v>
      </c>
      <c r="H1301">
        <f>0</f>
        <v>0</v>
      </c>
      <c r="I1301">
        <f>-41498234/10^6</f>
        <v>-41.498233999999997</v>
      </c>
      <c r="J1301">
        <f>0</f>
        <v>0</v>
      </c>
    </row>
    <row r="1302" spans="1:10" x14ac:dyDescent="0.25">
      <c r="A1302" t="s">
        <v>1311</v>
      </c>
      <c r="B1302" t="s">
        <v>11</v>
      </c>
      <c r="C1302">
        <v>117.381320313</v>
      </c>
      <c r="D1302">
        <f>0</f>
        <v>0</v>
      </c>
      <c r="E1302">
        <f>671219543/10^6</f>
        <v>671.21954300000004</v>
      </c>
      <c r="F1302">
        <f>0</f>
        <v>0</v>
      </c>
      <c r="G1302">
        <f>231454117/10^6</f>
        <v>231.454117</v>
      </c>
      <c r="H1302">
        <f>0</f>
        <v>0</v>
      </c>
      <c r="I1302">
        <f>-41313198/10^6</f>
        <v>-41.313198</v>
      </c>
      <c r="J1302">
        <f>0</f>
        <v>0</v>
      </c>
    </row>
    <row r="1303" spans="1:10" x14ac:dyDescent="0.25">
      <c r="A1303" t="s">
        <v>1312</v>
      </c>
      <c r="B1303" t="s">
        <v>11</v>
      </c>
      <c r="C1303">
        <v>117.508554688</v>
      </c>
      <c r="D1303">
        <f>0</f>
        <v>0</v>
      </c>
      <c r="E1303">
        <f>670487976/10^6</f>
        <v>670.487976</v>
      </c>
      <c r="F1303">
        <f>0</f>
        <v>0</v>
      </c>
      <c r="G1303">
        <f>231476852/10^6</f>
        <v>231.47685200000001</v>
      </c>
      <c r="H1303">
        <f>0</f>
        <v>0</v>
      </c>
      <c r="I1303">
        <f>-41169041/10^6</f>
        <v>-41.169041</v>
      </c>
      <c r="J1303">
        <f>0</f>
        <v>0</v>
      </c>
    </row>
    <row r="1304" spans="1:10" x14ac:dyDescent="0.25">
      <c r="A1304" t="s">
        <v>1313</v>
      </c>
      <c r="B1304" t="s">
        <v>11</v>
      </c>
      <c r="C1304">
        <v>117.662195313</v>
      </c>
      <c r="D1304">
        <f>0</f>
        <v>0</v>
      </c>
      <c r="E1304">
        <f>669632141/10^6</f>
        <v>669.63214100000005</v>
      </c>
      <c r="F1304">
        <f>0</f>
        <v>0</v>
      </c>
      <c r="G1304">
        <f>231497314/10^6</f>
        <v>231.49731399999999</v>
      </c>
      <c r="H1304">
        <f>0</f>
        <v>0</v>
      </c>
      <c r="I1304">
        <f>-4110825/10^5</f>
        <v>-41.108249999999998</v>
      </c>
      <c r="J1304">
        <f>0</f>
        <v>0</v>
      </c>
    </row>
    <row r="1305" spans="1:10" x14ac:dyDescent="0.25">
      <c r="A1305" t="s">
        <v>1314</v>
      </c>
      <c r="B1305" t="s">
        <v>11</v>
      </c>
      <c r="C1305">
        <v>117.807046875</v>
      </c>
      <c r="D1305">
        <f>0</f>
        <v>0</v>
      </c>
      <c r="E1305">
        <f>668796753/10^6</f>
        <v>668.79675299999997</v>
      </c>
      <c r="F1305">
        <f>0</f>
        <v>0</v>
      </c>
      <c r="G1305">
        <f>23151413/10^5</f>
        <v>231.51412999999999</v>
      </c>
      <c r="H1305">
        <f>0</f>
        <v>0</v>
      </c>
      <c r="I1305">
        <f>-41020706/10^6</f>
        <v>-41.020705999999997</v>
      </c>
      <c r="J1305">
        <f>0</f>
        <v>0</v>
      </c>
    </row>
    <row r="1306" spans="1:10" x14ac:dyDescent="0.25">
      <c r="A1306" t="s">
        <v>1315</v>
      </c>
      <c r="B1306" t="s">
        <v>11</v>
      </c>
      <c r="C1306">
        <v>117.957921875</v>
      </c>
      <c r="D1306">
        <f>0</f>
        <v>0</v>
      </c>
      <c r="E1306">
        <f>66793103/10^5</f>
        <v>667.93102999999996</v>
      </c>
      <c r="F1306">
        <f>0</f>
        <v>0</v>
      </c>
      <c r="G1306">
        <f>231540146/10^6</f>
        <v>231.54014599999999</v>
      </c>
      <c r="H1306">
        <f>0</f>
        <v>0</v>
      </c>
      <c r="I1306">
        <f>-4096386/10^5</f>
        <v>-40.963859999999997</v>
      </c>
      <c r="J1306">
        <f>0</f>
        <v>0</v>
      </c>
    </row>
    <row r="1307" spans="1:10" x14ac:dyDescent="0.25">
      <c r="A1307" t="s">
        <v>1316</v>
      </c>
      <c r="B1307" t="s">
        <v>11</v>
      </c>
      <c r="C1307">
        <v>118.154523438</v>
      </c>
      <c r="D1307">
        <f>0</f>
        <v>0</v>
      </c>
      <c r="E1307">
        <f>666827759/10^6</f>
        <v>666.82775900000001</v>
      </c>
      <c r="F1307">
        <f>0</f>
        <v>0</v>
      </c>
      <c r="G1307">
        <f>231571121/10^6</f>
        <v>231.57112100000001</v>
      </c>
      <c r="H1307">
        <f>0</f>
        <v>0</v>
      </c>
      <c r="I1307">
        <f>-4091851/10^5</f>
        <v>-40.918509999999998</v>
      </c>
      <c r="J1307">
        <f>0</f>
        <v>0</v>
      </c>
    </row>
    <row r="1308" spans="1:10" x14ac:dyDescent="0.25">
      <c r="A1308" t="s">
        <v>1317</v>
      </c>
      <c r="B1308" t="s">
        <v>11</v>
      </c>
      <c r="C1308">
        <v>118.39317187499999</v>
      </c>
      <c r="D1308">
        <f>0</f>
        <v>0</v>
      </c>
      <c r="E1308">
        <f>665613464/10^6</f>
        <v>665.61346400000002</v>
      </c>
      <c r="F1308">
        <f>0</f>
        <v>0</v>
      </c>
      <c r="G1308">
        <f>231604004/10^6</f>
        <v>231.604004</v>
      </c>
      <c r="H1308">
        <f>0</f>
        <v>0</v>
      </c>
      <c r="I1308">
        <f>-409548/10^4</f>
        <v>-40.954799999999999</v>
      </c>
      <c r="J1308">
        <f>0</f>
        <v>0</v>
      </c>
    </row>
    <row r="1309" spans="1:10" x14ac:dyDescent="0.25">
      <c r="A1309" t="s">
        <v>1318</v>
      </c>
      <c r="B1309" t="s">
        <v>11</v>
      </c>
      <c r="C1309">
        <v>118.67874999999999</v>
      </c>
      <c r="D1309">
        <f>0</f>
        <v>0</v>
      </c>
      <c r="E1309">
        <f>664051636/10^6</f>
        <v>664.05163600000003</v>
      </c>
      <c r="F1309">
        <f>0</f>
        <v>0</v>
      </c>
      <c r="G1309">
        <f>231643173/10^6</f>
        <v>231.64317299999999</v>
      </c>
      <c r="H1309">
        <f>0</f>
        <v>0</v>
      </c>
      <c r="I1309">
        <f>-40828697/10^6</f>
        <v>-40.828696999999998</v>
      </c>
      <c r="J1309">
        <f>0</f>
        <v>0</v>
      </c>
    </row>
    <row r="1310" spans="1:10" x14ac:dyDescent="0.25">
      <c r="A1310" t="s">
        <v>1319</v>
      </c>
      <c r="B1310" t="s">
        <v>11</v>
      </c>
      <c r="C1310">
        <v>0</v>
      </c>
      <c r="D1310">
        <f>2</f>
        <v>2</v>
      </c>
      <c r="F1310">
        <f>2</f>
        <v>2</v>
      </c>
      <c r="H1310">
        <f>2</f>
        <v>2</v>
      </c>
      <c r="J1310">
        <f>2</f>
        <v>2</v>
      </c>
    </row>
    <row r="1311" spans="1:10" x14ac:dyDescent="0.25">
      <c r="A1311" t="s">
        <v>1320</v>
      </c>
      <c r="B1311" t="s">
        <v>11</v>
      </c>
      <c r="C1311">
        <v>119.277867188</v>
      </c>
      <c r="D1311">
        <f>0</f>
        <v>0</v>
      </c>
      <c r="E1311">
        <f>660569885/10^6</f>
        <v>660.569885</v>
      </c>
      <c r="F1311">
        <f>0</f>
        <v>0</v>
      </c>
      <c r="G1311">
        <f>231717148/10^6</f>
        <v>231.71714800000001</v>
      </c>
      <c r="H1311">
        <f>0</f>
        <v>0</v>
      </c>
      <c r="I1311">
        <f>-40258072/10^6</f>
        <v>-40.258071999999999</v>
      </c>
      <c r="J1311">
        <f>0</f>
        <v>0</v>
      </c>
    </row>
    <row r="1312" spans="1:10" x14ac:dyDescent="0.25">
      <c r="A1312" t="s">
        <v>1321</v>
      </c>
      <c r="B1312" t="s">
        <v>11</v>
      </c>
      <c r="C1312">
        <v>119.59011718800001</v>
      </c>
      <c r="D1312">
        <f>0</f>
        <v>0</v>
      </c>
      <c r="E1312">
        <f>658853882/10^6</f>
        <v>658.853882</v>
      </c>
      <c r="F1312">
        <f>0</f>
        <v>0</v>
      </c>
      <c r="G1312">
        <f>231777115/10^6</f>
        <v>231.77711500000001</v>
      </c>
      <c r="H1312">
        <f>0</f>
        <v>0</v>
      </c>
      <c r="I1312">
        <f>-40119152/10^6</f>
        <v>-40.119152</v>
      </c>
      <c r="J1312">
        <f>0</f>
        <v>0</v>
      </c>
    </row>
    <row r="1313" spans="1:10" x14ac:dyDescent="0.25">
      <c r="A1313" t="s">
        <v>1322</v>
      </c>
      <c r="B1313" t="s">
        <v>11</v>
      </c>
      <c r="C1313">
        <v>119.903609375</v>
      </c>
      <c r="D1313">
        <f>0</f>
        <v>0</v>
      </c>
      <c r="E1313">
        <f>657197571/10^6</f>
        <v>657.19757100000004</v>
      </c>
      <c r="F1313">
        <f>0</f>
        <v>0</v>
      </c>
      <c r="G1313">
        <f>231819839/10^6</f>
        <v>231.819839</v>
      </c>
      <c r="H1313">
        <f>0</f>
        <v>0</v>
      </c>
      <c r="I1313">
        <f>-39997478/10^6</f>
        <v>-39.997478000000001</v>
      </c>
      <c r="J1313">
        <f>0</f>
        <v>0</v>
      </c>
    </row>
    <row r="1314" spans="1:10" x14ac:dyDescent="0.25">
      <c r="A1314" t="s">
        <v>1323</v>
      </c>
      <c r="B1314" t="s">
        <v>11</v>
      </c>
      <c r="C1314">
        <v>120.19230468800001</v>
      </c>
      <c r="D1314">
        <f>0</f>
        <v>0</v>
      </c>
      <c r="E1314">
        <f>65559845/10^5</f>
        <v>655.59844999999996</v>
      </c>
      <c r="F1314">
        <f>0</f>
        <v>0</v>
      </c>
      <c r="G1314">
        <f>231848755/10^6</f>
        <v>231.84875500000001</v>
      </c>
      <c r="H1314">
        <f>0</f>
        <v>0</v>
      </c>
      <c r="I1314">
        <f>-39854671/10^6</f>
        <v>-39.854671000000003</v>
      </c>
      <c r="J1314">
        <f>0</f>
        <v>0</v>
      </c>
    </row>
    <row r="1315" spans="1:10" x14ac:dyDescent="0.25">
      <c r="A1315" t="s">
        <v>1324</v>
      </c>
      <c r="B1315" t="s">
        <v>11</v>
      </c>
      <c r="C1315">
        <v>120.457234375</v>
      </c>
      <c r="D1315">
        <f>0</f>
        <v>0</v>
      </c>
      <c r="E1315">
        <f>654084229/10^6</f>
        <v>654.08422900000005</v>
      </c>
      <c r="F1315">
        <f>0</f>
        <v>0</v>
      </c>
      <c r="G1315">
        <f>231870102/10^6</f>
        <v>231.870102</v>
      </c>
      <c r="H1315">
        <f>0</f>
        <v>0</v>
      </c>
      <c r="I1315">
        <f>-39645634/10^6</f>
        <v>-39.645634000000001</v>
      </c>
      <c r="J1315">
        <f>0</f>
        <v>0</v>
      </c>
    </row>
    <row r="1316" spans="1:10" x14ac:dyDescent="0.25">
      <c r="A1316" t="s">
        <v>1325</v>
      </c>
      <c r="B1316" t="s">
        <v>11</v>
      </c>
      <c r="C1316">
        <v>120.701976563</v>
      </c>
      <c r="D1316">
        <f>0</f>
        <v>0</v>
      </c>
      <c r="E1316">
        <f>652737061/10^6</f>
        <v>652.73706100000004</v>
      </c>
      <c r="F1316">
        <f>0</f>
        <v>0</v>
      </c>
      <c r="G1316">
        <f>231903137/10^6</f>
        <v>231.90313699999999</v>
      </c>
      <c r="H1316">
        <f>0</f>
        <v>0</v>
      </c>
      <c r="I1316">
        <f>-39513767/10^6</f>
        <v>-39.513767000000001</v>
      </c>
      <c r="J1316">
        <f>0</f>
        <v>0</v>
      </c>
    </row>
    <row r="1317" spans="1:10" x14ac:dyDescent="0.25">
      <c r="A1317" t="s">
        <v>1326</v>
      </c>
      <c r="B1317" t="s">
        <v>11</v>
      </c>
      <c r="C1317">
        <v>120.920921875</v>
      </c>
      <c r="D1317">
        <f>0</f>
        <v>0</v>
      </c>
      <c r="E1317">
        <f>651492432/10^6</f>
        <v>651.49243200000001</v>
      </c>
      <c r="F1317">
        <f>0</f>
        <v>0</v>
      </c>
      <c r="G1317">
        <f>231922241/10^6</f>
        <v>231.92224100000001</v>
      </c>
      <c r="H1317">
        <f>0</f>
        <v>0</v>
      </c>
      <c r="I1317">
        <f>-39300903/10^6</f>
        <v>-39.300902999999998</v>
      </c>
      <c r="J1317">
        <f>0</f>
        <v>0</v>
      </c>
    </row>
    <row r="1318" spans="1:10" x14ac:dyDescent="0.25">
      <c r="A1318" t="s">
        <v>1327</v>
      </c>
      <c r="B1318" t="s">
        <v>11</v>
      </c>
      <c r="C1318">
        <v>121.09484375</v>
      </c>
      <c r="D1318">
        <f>0</f>
        <v>0</v>
      </c>
      <c r="E1318">
        <f>650565674/10^6</f>
        <v>650.56567399999994</v>
      </c>
      <c r="F1318">
        <f>0</f>
        <v>0</v>
      </c>
      <c r="G1318">
        <f>231942093/10^6</f>
        <v>231.942093</v>
      </c>
      <c r="H1318">
        <f>0</f>
        <v>0</v>
      </c>
      <c r="I1318">
        <f>-39103439/10^6</f>
        <v>-39.103439000000002</v>
      </c>
      <c r="J1318">
        <f>0</f>
        <v>0</v>
      </c>
    </row>
    <row r="1319" spans="1:10" x14ac:dyDescent="0.25">
      <c r="A1319" t="s">
        <v>1328</v>
      </c>
      <c r="B1319" t="s">
        <v>11</v>
      </c>
      <c r="C1319">
        <v>121.220507813</v>
      </c>
      <c r="D1319">
        <f>0</f>
        <v>0</v>
      </c>
      <c r="E1319">
        <f>649856323/10^6</f>
        <v>649.85632299999997</v>
      </c>
      <c r="F1319">
        <f>0</f>
        <v>0</v>
      </c>
      <c r="G1319">
        <f>231968109/10^6</f>
        <v>231.968109</v>
      </c>
      <c r="H1319">
        <f>0</f>
        <v>0</v>
      </c>
      <c r="I1319">
        <f>-3897728/10^5</f>
        <v>-38.97728</v>
      </c>
      <c r="J1319">
        <f>0</f>
        <v>0</v>
      </c>
    </row>
    <row r="1320" spans="1:10" x14ac:dyDescent="0.25">
      <c r="A1320" t="s">
        <v>1329</v>
      </c>
      <c r="B1320" t="s">
        <v>11</v>
      </c>
      <c r="C1320">
        <v>121.30971875</v>
      </c>
      <c r="D1320">
        <f>0</f>
        <v>0</v>
      </c>
      <c r="E1320">
        <f>649380127/10^6</f>
        <v>649.38012700000002</v>
      </c>
      <c r="F1320">
        <f>0</f>
        <v>0</v>
      </c>
      <c r="G1320">
        <f>231980499/10^6</f>
        <v>231.98049900000001</v>
      </c>
      <c r="H1320">
        <f>0</f>
        <v>0</v>
      </c>
      <c r="I1320">
        <f>-39016731/10^6</f>
        <v>-39.016731</v>
      </c>
      <c r="J1320">
        <f>0</f>
        <v>0</v>
      </c>
    </row>
    <row r="1321" spans="1:10" x14ac:dyDescent="0.25">
      <c r="A1321" t="s">
        <v>1330</v>
      </c>
      <c r="B1321" t="s">
        <v>11</v>
      </c>
      <c r="C1321">
        <v>121.380414063</v>
      </c>
      <c r="D1321">
        <f>0</f>
        <v>0</v>
      </c>
      <c r="E1321">
        <f>649079224/10^6</f>
        <v>649.07922399999995</v>
      </c>
      <c r="F1321">
        <f>0</f>
        <v>0</v>
      </c>
      <c r="G1321">
        <f>231991226/10^6</f>
        <v>231.99122600000001</v>
      </c>
      <c r="H1321">
        <f>0</f>
        <v>0</v>
      </c>
      <c r="I1321">
        <f>-39069336/10^6</f>
        <v>-39.069336</v>
      </c>
      <c r="J1321">
        <f>0</f>
        <v>0</v>
      </c>
    </row>
    <row r="1322" spans="1:10" x14ac:dyDescent="0.25">
      <c r="A1322" t="s">
        <v>1331</v>
      </c>
      <c r="B1322" t="s">
        <v>11</v>
      </c>
      <c r="C1322">
        <v>121.42983593800001</v>
      </c>
      <c r="D1322">
        <f>0</f>
        <v>0</v>
      </c>
      <c r="E1322">
        <f>648829468/10^6</f>
        <v>648.82946800000002</v>
      </c>
      <c r="F1322">
        <f>0</f>
        <v>0</v>
      </c>
      <c r="G1322">
        <f>231997955/10^6</f>
        <v>231.99795499999999</v>
      </c>
      <c r="H1322">
        <f>0</f>
        <v>0</v>
      </c>
      <c r="I1322">
        <f>-39039768/10^6</f>
        <v>-39.039768000000002</v>
      </c>
      <c r="J1322">
        <f>0</f>
        <v>0</v>
      </c>
    </row>
    <row r="1323" spans="1:10" x14ac:dyDescent="0.25">
      <c r="A1323" t="s">
        <v>1332</v>
      </c>
      <c r="B1323" t="s">
        <v>11</v>
      </c>
      <c r="C1323">
        <v>121.459273438</v>
      </c>
      <c r="D1323">
        <f>0</f>
        <v>0</v>
      </c>
      <c r="E1323">
        <f>648678345/10^6</f>
        <v>648.67834500000004</v>
      </c>
      <c r="F1323">
        <f>0</f>
        <v>0</v>
      </c>
      <c r="G1323">
        <f>232001968/10^6</f>
        <v>232.00196800000001</v>
      </c>
      <c r="H1323">
        <f>0</f>
        <v>0</v>
      </c>
      <c r="I1323">
        <f>-39064224/10^6</f>
        <v>-39.064224000000003</v>
      </c>
      <c r="J1323">
        <f>0</f>
        <v>0</v>
      </c>
    </row>
    <row r="1324" spans="1:10" x14ac:dyDescent="0.25">
      <c r="A1324" t="s">
        <v>1333</v>
      </c>
      <c r="B1324" t="s">
        <v>11</v>
      </c>
      <c r="C1324">
        <v>121.4805625</v>
      </c>
      <c r="D1324">
        <f>0</f>
        <v>0</v>
      </c>
      <c r="E1324">
        <f>648492432/10^6</f>
        <v>648.49243200000001</v>
      </c>
      <c r="F1324">
        <f>0</f>
        <v>0</v>
      </c>
      <c r="G1324">
        <f>232002747/10^6</f>
        <v>232.002747</v>
      </c>
      <c r="H1324">
        <f>0</f>
        <v>0</v>
      </c>
      <c r="I1324">
        <f>-38943962/10^6</f>
        <v>-38.943961999999999</v>
      </c>
      <c r="J1324">
        <f>0</f>
        <v>0</v>
      </c>
    </row>
    <row r="1325" spans="1:10" x14ac:dyDescent="0.25">
      <c r="A1325" t="s">
        <v>1334</v>
      </c>
      <c r="B1325" t="s">
        <v>11</v>
      </c>
      <c r="C1325">
        <v>121.47439843800001</v>
      </c>
      <c r="D1325">
        <f>0</f>
        <v>0</v>
      </c>
      <c r="E1325">
        <f>648503174/10^6</f>
        <v>648.50317399999994</v>
      </c>
      <c r="F1325">
        <f>0</f>
        <v>0</v>
      </c>
      <c r="G1325">
        <f>231999039/10^6</f>
        <v>231.99903900000001</v>
      </c>
      <c r="H1325">
        <f>0</f>
        <v>0</v>
      </c>
      <c r="I1325">
        <f>-38842407/10^6</f>
        <v>-38.842407000000001</v>
      </c>
      <c r="J1325">
        <f>0</f>
        <v>0</v>
      </c>
    </row>
    <row r="1326" spans="1:10" x14ac:dyDescent="0.25">
      <c r="A1326" t="s">
        <v>1335</v>
      </c>
      <c r="B1326" t="s">
        <v>11</v>
      </c>
      <c r="C1326">
        <v>121.424828125</v>
      </c>
      <c r="D1326">
        <f>0</f>
        <v>0</v>
      </c>
      <c r="E1326">
        <f>648865234/10^6</f>
        <v>648.86523399999999</v>
      </c>
      <c r="F1326">
        <f>0</f>
        <v>0</v>
      </c>
      <c r="G1326">
        <f>231996109/10^6</f>
        <v>231.99610899999999</v>
      </c>
      <c r="H1326">
        <f>0</f>
        <v>0</v>
      </c>
      <c r="I1326">
        <f>-38923809/10^6</f>
        <v>-38.923808999999999</v>
      </c>
      <c r="J1326">
        <f>0</f>
        <v>0</v>
      </c>
    </row>
    <row r="1327" spans="1:10" x14ac:dyDescent="0.25">
      <c r="A1327" t="s">
        <v>1336</v>
      </c>
      <c r="B1327" t="s">
        <v>11</v>
      </c>
      <c r="C1327">
        <v>121.325445313</v>
      </c>
      <c r="D1327">
        <f>0</f>
        <v>0</v>
      </c>
      <c r="E1327">
        <f>64933075/10^5</f>
        <v>649.33074999999997</v>
      </c>
      <c r="F1327">
        <f>0</f>
        <v>0</v>
      </c>
      <c r="G1327">
        <f>231979385/10^6</f>
        <v>231.97938500000001</v>
      </c>
      <c r="H1327">
        <f>0</f>
        <v>0</v>
      </c>
      <c r="I1327">
        <f>-38906097/10^6</f>
        <v>-38.906097000000003</v>
      </c>
      <c r="J1327">
        <f>0</f>
        <v>0</v>
      </c>
    </row>
    <row r="1328" spans="1:10" x14ac:dyDescent="0.25">
      <c r="A1328" t="s">
        <v>1337</v>
      </c>
      <c r="B1328" t="s">
        <v>11</v>
      </c>
      <c r="C1328">
        <v>121.170046875</v>
      </c>
      <c r="D1328">
        <f>0</f>
        <v>0</v>
      </c>
      <c r="E1328">
        <f>650110352/10^6</f>
        <v>650.11035200000003</v>
      </c>
      <c r="F1328">
        <f>0</f>
        <v>0</v>
      </c>
      <c r="G1328">
        <f>231948929/10^6</f>
        <v>231.94892899999999</v>
      </c>
      <c r="H1328">
        <f>0</f>
        <v>0</v>
      </c>
      <c r="I1328">
        <f>-38946339/10^6</f>
        <v>-38.946339000000002</v>
      </c>
      <c r="J1328">
        <f>0</f>
        <v>0</v>
      </c>
    </row>
    <row r="1329" spans="1:10" x14ac:dyDescent="0.25">
      <c r="A1329" t="s">
        <v>1338</v>
      </c>
      <c r="B1329" t="s">
        <v>11</v>
      </c>
      <c r="C1329">
        <v>120.99229687499999</v>
      </c>
      <c r="D1329">
        <f>0</f>
        <v>0</v>
      </c>
      <c r="E1329">
        <f>651109131/10^6</f>
        <v>651.10913100000005</v>
      </c>
      <c r="F1329">
        <f>0</f>
        <v>0</v>
      </c>
      <c r="G1329">
        <f>231930099/10^6</f>
        <v>231.93009900000001</v>
      </c>
      <c r="H1329">
        <f>0</f>
        <v>0</v>
      </c>
      <c r="I1329">
        <f>-39039539/10^6</f>
        <v>-39.039538999999998</v>
      </c>
      <c r="J1329">
        <f>0</f>
        <v>0</v>
      </c>
    </row>
    <row r="1330" spans="1:10" x14ac:dyDescent="0.25">
      <c r="A1330" t="s">
        <v>1339</v>
      </c>
      <c r="B1330" t="s">
        <v>11</v>
      </c>
      <c r="C1330">
        <v>120.821867188</v>
      </c>
      <c r="D1330">
        <f>0</f>
        <v>0</v>
      </c>
      <c r="E1330">
        <f>652003357/10^6</f>
        <v>652.00335700000005</v>
      </c>
      <c r="F1330">
        <f>0</f>
        <v>0</v>
      </c>
      <c r="G1330">
        <f>231904221/10^6</f>
        <v>231.90422100000001</v>
      </c>
      <c r="H1330">
        <f>0</f>
        <v>0</v>
      </c>
      <c r="I1330">
        <f>-38978184/10^6</f>
        <v>-38.978183999999999</v>
      </c>
      <c r="J1330">
        <f>0</f>
        <v>0</v>
      </c>
    </row>
    <row r="1331" spans="1:10" x14ac:dyDescent="0.25">
      <c r="A1331" t="s">
        <v>1340</v>
      </c>
      <c r="B1331" t="s">
        <v>11</v>
      </c>
      <c r="C1331">
        <v>120.63659375</v>
      </c>
      <c r="D1331">
        <f>0</f>
        <v>0</v>
      </c>
      <c r="E1331">
        <f>652992676/10^6</f>
        <v>652.99267599999996</v>
      </c>
      <c r="F1331">
        <f>0</f>
        <v>0</v>
      </c>
      <c r="G1331">
        <f>23186441/10^5</f>
        <v>231.86440999999999</v>
      </c>
      <c r="H1331">
        <f>0</f>
        <v>0</v>
      </c>
      <c r="I1331">
        <f>-39066738/10^6</f>
        <v>-39.066738000000001</v>
      </c>
      <c r="J1331">
        <f>0</f>
        <v>0</v>
      </c>
    </row>
    <row r="1332" spans="1:10" x14ac:dyDescent="0.25">
      <c r="A1332" t="s">
        <v>1341</v>
      </c>
      <c r="B1332" t="s">
        <v>11</v>
      </c>
      <c r="C1332">
        <v>120.432671875</v>
      </c>
      <c r="D1332">
        <f>0</f>
        <v>0</v>
      </c>
      <c r="E1332">
        <f>654138794/10^6</f>
        <v>654.13879399999996</v>
      </c>
      <c r="F1332">
        <f>0</f>
        <v>0</v>
      </c>
      <c r="G1332">
        <f>231836487/10^6</f>
        <v>231.83648700000001</v>
      </c>
      <c r="H1332">
        <f>0</f>
        <v>0</v>
      </c>
      <c r="I1332">
        <f>-39298527/10^6</f>
        <v>-39.298527</v>
      </c>
      <c r="J1332">
        <f>0</f>
        <v>0</v>
      </c>
    </row>
    <row r="1333" spans="1:10" x14ac:dyDescent="0.25">
      <c r="A1333" t="s">
        <v>1342</v>
      </c>
      <c r="B1333" t="s">
        <v>11</v>
      </c>
      <c r="C1333">
        <v>120.22250781300001</v>
      </c>
      <c r="D1333">
        <f>0</f>
        <v>0</v>
      </c>
      <c r="E1333">
        <f>65524762/10^5</f>
        <v>655.24761999999998</v>
      </c>
      <c r="F1333">
        <f>0</f>
        <v>0</v>
      </c>
      <c r="G1333">
        <f>231807205/10^6</f>
        <v>231.80720500000001</v>
      </c>
      <c r="H1333">
        <f>0</f>
        <v>0</v>
      </c>
      <c r="I1333">
        <f>-39424393/10^6</f>
        <v>-39.424393000000002</v>
      </c>
      <c r="J1333">
        <f>0</f>
        <v>0</v>
      </c>
    </row>
    <row r="1334" spans="1:10" x14ac:dyDescent="0.25">
      <c r="A1334" t="s">
        <v>1343</v>
      </c>
      <c r="B1334" t="s">
        <v>11</v>
      </c>
      <c r="C1334">
        <v>120.03315625</v>
      </c>
      <c r="D1334">
        <f>0</f>
        <v>0</v>
      </c>
      <c r="E1334">
        <f>656178955/10^6</f>
        <v>656.17895499999997</v>
      </c>
      <c r="F1334">
        <f>0</f>
        <v>0</v>
      </c>
      <c r="G1334">
        <f>231774841/10^6</f>
        <v>231.77484100000001</v>
      </c>
      <c r="H1334">
        <f>0</f>
        <v>0</v>
      </c>
      <c r="I1334">
        <f>-39352959/10^6</f>
        <v>-39.352958999999998</v>
      </c>
      <c r="J1334">
        <f>0</f>
        <v>0</v>
      </c>
    </row>
    <row r="1335" spans="1:10" x14ac:dyDescent="0.25">
      <c r="A1335" t="s">
        <v>1344</v>
      </c>
      <c r="B1335" t="s">
        <v>11</v>
      </c>
      <c r="C1335">
        <v>119.8695</v>
      </c>
      <c r="D1335">
        <f>0</f>
        <v>0</v>
      </c>
      <c r="E1335">
        <f>657097656/10^6</f>
        <v>657.09765600000003</v>
      </c>
      <c r="F1335">
        <f>0</f>
        <v>0</v>
      </c>
      <c r="G1335">
        <f>231745987/10^6</f>
        <v>231.74598700000001</v>
      </c>
      <c r="H1335">
        <f>0</f>
        <v>0</v>
      </c>
      <c r="I1335">
        <f>-39335884/10^6</f>
        <v>-39.335884</v>
      </c>
      <c r="J1335">
        <f>0</f>
        <v>0</v>
      </c>
    </row>
    <row r="1336" spans="1:10" x14ac:dyDescent="0.25">
      <c r="A1336" t="s">
        <v>1345</v>
      </c>
      <c r="B1336" t="s">
        <v>11</v>
      </c>
      <c r="C1336">
        <v>119.693648438</v>
      </c>
      <c r="D1336">
        <f>0</f>
        <v>0</v>
      </c>
      <c r="E1336">
        <f>658197327/10^6</f>
        <v>658.19732699999997</v>
      </c>
      <c r="F1336">
        <f>0</f>
        <v>0</v>
      </c>
      <c r="G1336">
        <f>231721024/10^6</f>
        <v>231.721024</v>
      </c>
      <c r="H1336">
        <f>0</f>
        <v>0</v>
      </c>
      <c r="I1336">
        <f>-396758/10^4</f>
        <v>-39.675800000000002</v>
      </c>
      <c r="J1336">
        <f>0</f>
        <v>0</v>
      </c>
    </row>
    <row r="1337" spans="1:10" x14ac:dyDescent="0.25">
      <c r="A1337" t="s">
        <v>1346</v>
      </c>
      <c r="B1337" t="s">
        <v>11</v>
      </c>
      <c r="C1337">
        <v>119.52375000000001</v>
      </c>
      <c r="D1337">
        <f>0</f>
        <v>0</v>
      </c>
      <c r="E1337">
        <f>659150024/10^6</f>
        <v>659.15002400000003</v>
      </c>
      <c r="F1337">
        <f>0</f>
        <v>0</v>
      </c>
      <c r="G1337">
        <f>231695847/10^6</f>
        <v>231.69584699999999</v>
      </c>
      <c r="H1337">
        <f>0</f>
        <v>0</v>
      </c>
      <c r="I1337">
        <f>-39892769/10^6</f>
        <v>-39.892769000000001</v>
      </c>
      <c r="J1337">
        <f>0</f>
        <v>0</v>
      </c>
    </row>
    <row r="1338" spans="1:10" x14ac:dyDescent="0.25">
      <c r="A1338" t="s">
        <v>1347</v>
      </c>
      <c r="B1338" t="s">
        <v>11</v>
      </c>
      <c r="C1338">
        <v>119.3755625</v>
      </c>
      <c r="D1338">
        <f>0</f>
        <v>0</v>
      </c>
      <c r="E1338">
        <f>659868835/10^6</f>
        <v>659.86883499999999</v>
      </c>
      <c r="F1338">
        <f>0</f>
        <v>0</v>
      </c>
      <c r="G1338">
        <f>231674072/10^6</f>
        <v>231.674072</v>
      </c>
      <c r="H1338">
        <f>0</f>
        <v>0</v>
      </c>
      <c r="I1338">
        <f>-39791553/10^6</f>
        <v>-39.791553</v>
      </c>
      <c r="J1338">
        <f>0</f>
        <v>0</v>
      </c>
    </row>
    <row r="1339" spans="1:10" x14ac:dyDescent="0.25">
      <c r="A1339" t="s">
        <v>1348</v>
      </c>
      <c r="B1339" t="s">
        <v>11</v>
      </c>
      <c r="C1339">
        <v>119.230109375</v>
      </c>
      <c r="D1339">
        <f>0</f>
        <v>0</v>
      </c>
      <c r="E1339">
        <f>660660217/10^6</f>
        <v>660.66021699999999</v>
      </c>
      <c r="F1339">
        <f>0</f>
        <v>0</v>
      </c>
      <c r="G1339">
        <f>231657349/10^6</f>
        <v>231.65734900000001</v>
      </c>
      <c r="H1339">
        <f>0</f>
        <v>0</v>
      </c>
      <c r="I1339">
        <f>-39932098/10^6</f>
        <v>-39.932098000000003</v>
      </c>
      <c r="J1339">
        <f>0</f>
        <v>0</v>
      </c>
    </row>
    <row r="1340" spans="1:10" x14ac:dyDescent="0.25">
      <c r="A1340" t="s">
        <v>1349</v>
      </c>
      <c r="B1340" t="s">
        <v>11</v>
      </c>
      <c r="C1340">
        <v>119.074375</v>
      </c>
      <c r="D1340">
        <f>0</f>
        <v>0</v>
      </c>
      <c r="E1340">
        <f>661578796/10^6</f>
        <v>661.57879600000001</v>
      </c>
      <c r="F1340">
        <f>0</f>
        <v>0</v>
      </c>
      <c r="G1340">
        <f>231638733/10^6</f>
        <v>231.638733</v>
      </c>
      <c r="H1340">
        <f>0</f>
        <v>0</v>
      </c>
      <c r="I1340">
        <f>-40228127/10^6</f>
        <v>-40.228127000000001</v>
      </c>
      <c r="J1340">
        <f>0</f>
        <v>0</v>
      </c>
    </row>
    <row r="1341" spans="1:10" x14ac:dyDescent="0.25">
      <c r="A1341" t="s">
        <v>1350</v>
      </c>
      <c r="B1341" t="s">
        <v>11</v>
      </c>
      <c r="C1341">
        <v>118.918289063</v>
      </c>
      <c r="D1341">
        <f>0</f>
        <v>0</v>
      </c>
      <c r="E1341">
        <f>662476624/10^6</f>
        <v>662.47662400000002</v>
      </c>
      <c r="F1341">
        <f>0</f>
        <v>0</v>
      </c>
      <c r="G1341">
        <f>231627472/10^6</f>
        <v>231.62747200000001</v>
      </c>
      <c r="H1341">
        <f>0</f>
        <v>0</v>
      </c>
      <c r="I1341">
        <f>-40261456/10^6</f>
        <v>-40.261456000000003</v>
      </c>
      <c r="J1341">
        <f>0</f>
        <v>0</v>
      </c>
    </row>
    <row r="1342" spans="1:10" x14ac:dyDescent="0.25">
      <c r="A1342" t="s">
        <v>1351</v>
      </c>
      <c r="B1342" t="s">
        <v>11</v>
      </c>
      <c r="C1342">
        <v>118.779296875</v>
      </c>
      <c r="D1342">
        <f>0</f>
        <v>0</v>
      </c>
      <c r="E1342">
        <f>663279785/10^6</f>
        <v>663.27978499999995</v>
      </c>
      <c r="F1342">
        <f>0</f>
        <v>0</v>
      </c>
      <c r="G1342">
        <f>231616089/10^6</f>
        <v>231.61608899999999</v>
      </c>
      <c r="H1342">
        <f>0</f>
        <v>0</v>
      </c>
      <c r="I1342">
        <f>-40234161/10^6</f>
        <v>-40.234161</v>
      </c>
      <c r="J1342">
        <f>0</f>
        <v>0</v>
      </c>
    </row>
    <row r="1343" spans="1:10" x14ac:dyDescent="0.25">
      <c r="A1343" t="s">
        <v>1352</v>
      </c>
      <c r="B1343" t="s">
        <v>11</v>
      </c>
      <c r="C1343">
        <v>118.648078125</v>
      </c>
      <c r="D1343">
        <f>0</f>
        <v>0</v>
      </c>
      <c r="E1343">
        <f>663989807/10^6</f>
        <v>663.98980700000004</v>
      </c>
      <c r="F1343">
        <f>0</f>
        <v>0</v>
      </c>
      <c r="G1343">
        <f>231588058/10^6</f>
        <v>231.58805799999999</v>
      </c>
      <c r="H1343">
        <f>0</f>
        <v>0</v>
      </c>
      <c r="I1343">
        <f>-40291653/10^6</f>
        <v>-40.291652999999997</v>
      </c>
      <c r="J1343">
        <f>0</f>
        <v>0</v>
      </c>
    </row>
    <row r="1344" spans="1:10" x14ac:dyDescent="0.25">
      <c r="A1344" t="s">
        <v>1353</v>
      </c>
      <c r="B1344" t="s">
        <v>11</v>
      </c>
      <c r="C1344">
        <v>118.516203125</v>
      </c>
      <c r="D1344">
        <f>0</f>
        <v>0</v>
      </c>
      <c r="E1344">
        <f>664715027/10^6</f>
        <v>664.71502699999996</v>
      </c>
      <c r="F1344">
        <f>0</f>
        <v>0</v>
      </c>
      <c r="G1344">
        <f>231569473/10^6</f>
        <v>231.56947299999999</v>
      </c>
      <c r="H1344">
        <f>0</f>
        <v>0</v>
      </c>
      <c r="I1344">
        <f>-4041539/10^5</f>
        <v>-40.415390000000002</v>
      </c>
      <c r="J1344">
        <f>0</f>
        <v>0</v>
      </c>
    </row>
    <row r="1345" spans="1:10" x14ac:dyDescent="0.25">
      <c r="A1345" t="s">
        <v>1354</v>
      </c>
      <c r="B1345" t="s">
        <v>11</v>
      </c>
      <c r="C1345">
        <v>118.378765625</v>
      </c>
      <c r="D1345">
        <f>0</f>
        <v>0</v>
      </c>
      <c r="E1345">
        <f>665575623/10^6</f>
        <v>665.57562299999995</v>
      </c>
      <c r="F1345">
        <f>0</f>
        <v>0</v>
      </c>
      <c r="G1345">
        <f>231568619/10^6</f>
        <v>231.56861900000001</v>
      </c>
      <c r="H1345">
        <f>0</f>
        <v>0</v>
      </c>
      <c r="I1345">
        <f>-40584805/10^6</f>
        <v>-40.584805000000003</v>
      </c>
      <c r="J1345">
        <f>0</f>
        <v>0</v>
      </c>
    </row>
    <row r="1346" spans="1:10" x14ac:dyDescent="0.25">
      <c r="A1346" t="s">
        <v>1355</v>
      </c>
      <c r="B1346" t="s">
        <v>11</v>
      </c>
      <c r="C1346">
        <v>0</v>
      </c>
      <c r="D1346">
        <f>2</f>
        <v>2</v>
      </c>
      <c r="F1346">
        <f>2</f>
        <v>2</v>
      </c>
      <c r="H1346">
        <f>2</f>
        <v>2</v>
      </c>
      <c r="J1346">
        <f>2</f>
        <v>2</v>
      </c>
    </row>
    <row r="1347" spans="1:10" x14ac:dyDescent="0.25">
      <c r="A1347" t="s">
        <v>1356</v>
      </c>
      <c r="B1347" t="s">
        <v>11</v>
      </c>
      <c r="C1347">
        <v>118.09480468800001</v>
      </c>
      <c r="D1347">
        <f>0</f>
        <v>0</v>
      </c>
      <c r="E1347">
        <f>667128113/10^6</f>
        <v>667.12811299999998</v>
      </c>
      <c r="F1347">
        <f>0</f>
        <v>0</v>
      </c>
      <c r="G1347">
        <f>231546234/10^6</f>
        <v>231.546234</v>
      </c>
      <c r="H1347">
        <f>0</f>
        <v>0</v>
      </c>
      <c r="I1347">
        <f>-40612137/10^6</f>
        <v>-40.612136999999997</v>
      </c>
      <c r="J1347">
        <f>0</f>
        <v>0</v>
      </c>
    </row>
    <row r="1348" spans="1:10" x14ac:dyDescent="0.25">
      <c r="A1348" t="s">
        <v>1357</v>
      </c>
      <c r="B1348" t="s">
        <v>11</v>
      </c>
      <c r="C1348">
        <v>117.947070313</v>
      </c>
      <c r="D1348">
        <f>0</f>
        <v>0</v>
      </c>
      <c r="E1348">
        <f>667971069/10^6</f>
        <v>667.97106900000006</v>
      </c>
      <c r="F1348">
        <f>0</f>
        <v>0</v>
      </c>
      <c r="G1348">
        <f>231530762/10^6</f>
        <v>231.53076200000001</v>
      </c>
      <c r="H1348">
        <f>0</f>
        <v>0</v>
      </c>
      <c r="I1348">
        <f>-40787762/10^6</f>
        <v>-40.787762000000001</v>
      </c>
      <c r="J1348">
        <f>0</f>
        <v>0</v>
      </c>
    </row>
    <row r="1349" spans="1:10" x14ac:dyDescent="0.25">
      <c r="A1349" t="s">
        <v>1358</v>
      </c>
      <c r="B1349" t="s">
        <v>11</v>
      </c>
      <c r="C1349">
        <v>117.796773438</v>
      </c>
      <c r="D1349">
        <f>0</f>
        <v>0</v>
      </c>
      <c r="E1349">
        <f>668788208/10^6</f>
        <v>668.78820800000005</v>
      </c>
      <c r="F1349">
        <f>0</f>
        <v>0</v>
      </c>
      <c r="G1349">
        <f>231516861/10^6</f>
        <v>231.51686100000001</v>
      </c>
      <c r="H1349">
        <f>0</f>
        <v>0</v>
      </c>
      <c r="I1349">
        <f>-40790051/10^6</f>
        <v>-40.790050999999998</v>
      </c>
      <c r="J1349">
        <f>0</f>
        <v>0</v>
      </c>
    </row>
    <row r="1350" spans="1:10" x14ac:dyDescent="0.25">
      <c r="A1350" t="s">
        <v>1359</v>
      </c>
      <c r="B1350" t="s">
        <v>11</v>
      </c>
      <c r="C1350">
        <v>0</v>
      </c>
      <c r="D1350">
        <f>2</f>
        <v>2</v>
      </c>
      <c r="F1350">
        <f>2</f>
        <v>2</v>
      </c>
      <c r="H1350">
        <f>2</f>
        <v>2</v>
      </c>
      <c r="J1350">
        <f>2</f>
        <v>2</v>
      </c>
    </row>
    <row r="1351" spans="1:10" x14ac:dyDescent="0.25">
      <c r="A1351" t="s">
        <v>1360</v>
      </c>
      <c r="B1351" t="s">
        <v>11</v>
      </c>
      <c r="C1351">
        <v>117.486828125</v>
      </c>
      <c r="D1351">
        <f>0</f>
        <v>0</v>
      </c>
      <c r="E1351">
        <f>670700134/10^6</f>
        <v>670.70013400000005</v>
      </c>
      <c r="F1351">
        <f>0</f>
        <v>0</v>
      </c>
      <c r="G1351">
        <f>231499207/10^6</f>
        <v>231.49920700000001</v>
      </c>
      <c r="H1351">
        <f>0</f>
        <v>0</v>
      </c>
      <c r="I1351">
        <f>-40936489/10^6</f>
        <v>-40.936489000000002</v>
      </c>
      <c r="J1351">
        <f>0</f>
        <v>0</v>
      </c>
    </row>
    <row r="1352" spans="1:10" x14ac:dyDescent="0.25">
      <c r="A1352" t="s">
        <v>1361</v>
      </c>
      <c r="B1352" t="s">
        <v>11</v>
      </c>
      <c r="C1352">
        <v>117.30071875</v>
      </c>
      <c r="D1352">
        <f>0</f>
        <v>0</v>
      </c>
      <c r="E1352">
        <f>671797668/10^6</f>
        <v>671.79766800000004</v>
      </c>
      <c r="F1352">
        <f>0</f>
        <v>0</v>
      </c>
      <c r="G1352">
        <f>231466431/10^6</f>
        <v>231.466431</v>
      </c>
      <c r="H1352">
        <f>0</f>
        <v>0</v>
      </c>
      <c r="I1352">
        <f>-41211369/10^6</f>
        <v>-41.211368999999998</v>
      </c>
      <c r="J1352">
        <f>0</f>
        <v>0</v>
      </c>
    </row>
    <row r="1353" spans="1:10" x14ac:dyDescent="0.25">
      <c r="A1353" t="s">
        <v>1362</v>
      </c>
      <c r="B1353" t="s">
        <v>11</v>
      </c>
      <c r="C1353">
        <v>117.092828125</v>
      </c>
      <c r="D1353">
        <f>0</f>
        <v>0</v>
      </c>
      <c r="E1353">
        <f>673014343/10^6</f>
        <v>673.01434300000005</v>
      </c>
      <c r="F1353">
        <f>0</f>
        <v>0</v>
      </c>
      <c r="G1353">
        <f>231441345/10^6</f>
        <v>231.44134500000001</v>
      </c>
      <c r="H1353">
        <f>0</f>
        <v>0</v>
      </c>
      <c r="I1353">
        <f>-41438534/10^6</f>
        <v>-41.438533999999997</v>
      </c>
      <c r="J1353">
        <f>0</f>
        <v>0</v>
      </c>
    </row>
    <row r="1354" spans="1:10" x14ac:dyDescent="0.25">
      <c r="A1354" t="s">
        <v>1363</v>
      </c>
      <c r="B1354" t="s">
        <v>11</v>
      </c>
      <c r="C1354">
        <v>116.88549999999999</v>
      </c>
      <c r="D1354">
        <f>0</f>
        <v>0</v>
      </c>
      <c r="E1354">
        <f>674120544/10^6</f>
        <v>674.120544</v>
      </c>
      <c r="F1354">
        <f>0</f>
        <v>0</v>
      </c>
      <c r="G1354">
        <f>231406525/10^6</f>
        <v>231.40652499999999</v>
      </c>
      <c r="H1354">
        <f>0</f>
        <v>0</v>
      </c>
      <c r="I1354">
        <f>-41419285/10^6</f>
        <v>-41.419285000000002</v>
      </c>
      <c r="J1354">
        <f>0</f>
        <v>0</v>
      </c>
    </row>
    <row r="1355" spans="1:10" x14ac:dyDescent="0.25">
      <c r="A1355" t="s">
        <v>1364</v>
      </c>
      <c r="B1355" t="s">
        <v>11</v>
      </c>
      <c r="C1355">
        <v>116.668109375</v>
      </c>
      <c r="D1355">
        <f>0</f>
        <v>0</v>
      </c>
      <c r="E1355">
        <f>675369324/10^6</f>
        <v>675.36932400000001</v>
      </c>
      <c r="F1355">
        <f>0</f>
        <v>0</v>
      </c>
      <c r="G1355">
        <f>231372528/10^6</f>
        <v>231.37252799999999</v>
      </c>
      <c r="H1355">
        <f>0</f>
        <v>0</v>
      </c>
      <c r="I1355">
        <f>-41580132/10^6</f>
        <v>-41.580131999999999</v>
      </c>
      <c r="J1355">
        <f>0</f>
        <v>0</v>
      </c>
    </row>
    <row r="1356" spans="1:10" x14ac:dyDescent="0.25">
      <c r="A1356" t="s">
        <v>1365</v>
      </c>
      <c r="B1356" t="s">
        <v>11</v>
      </c>
      <c r="C1356">
        <v>116.43710937500001</v>
      </c>
      <c r="D1356">
        <f>0</f>
        <v>0</v>
      </c>
      <c r="E1356">
        <f>676825562/10^6</f>
        <v>676.82556199999999</v>
      </c>
      <c r="F1356">
        <f>0</f>
        <v>0</v>
      </c>
      <c r="G1356">
        <f>231339172/10^6</f>
        <v>231.33917199999999</v>
      </c>
      <c r="H1356">
        <f>0</f>
        <v>0</v>
      </c>
      <c r="I1356">
        <f>-41899933/10^6</f>
        <v>-41.899932999999997</v>
      </c>
      <c r="J1356">
        <f>0</f>
        <v>0</v>
      </c>
    </row>
    <row r="1357" spans="1:10" x14ac:dyDescent="0.25">
      <c r="A1357" t="s">
        <v>1366</v>
      </c>
      <c r="B1357" t="s">
        <v>11</v>
      </c>
      <c r="C1357">
        <v>116.226023438</v>
      </c>
      <c r="D1357">
        <f>0</f>
        <v>0</v>
      </c>
      <c r="E1357">
        <f>678073364/10^6</f>
        <v>678.07336399999997</v>
      </c>
      <c r="F1357">
        <f>0</f>
        <v>0</v>
      </c>
      <c r="G1357">
        <f>231295242/10^6</f>
        <v>231.295242</v>
      </c>
      <c r="H1357">
        <f>0</f>
        <v>0</v>
      </c>
      <c r="I1357">
        <f>-42144764/10^6</f>
        <v>-42.144764000000002</v>
      </c>
      <c r="J1357">
        <f>0</f>
        <v>0</v>
      </c>
    </row>
    <row r="1358" spans="1:10" x14ac:dyDescent="0.25">
      <c r="A1358" t="s">
        <v>1367</v>
      </c>
      <c r="B1358" t="s">
        <v>11</v>
      </c>
      <c r="C1358">
        <v>116.100054688</v>
      </c>
      <c r="D1358">
        <f>0</f>
        <v>0</v>
      </c>
      <c r="E1358">
        <f>678778748/10^6</f>
        <v>678.77874799999995</v>
      </c>
      <c r="F1358">
        <f>0</f>
        <v>0</v>
      </c>
      <c r="G1358">
        <f>231280258/10^6</f>
        <v>231.280258</v>
      </c>
      <c r="H1358">
        <f>0</f>
        <v>0</v>
      </c>
      <c r="I1358">
        <f>-42179142/10^6</f>
        <v>-42.179141999999999</v>
      </c>
      <c r="J1358">
        <f>0</f>
        <v>0</v>
      </c>
    </row>
    <row r="1359" spans="1:10" x14ac:dyDescent="0.25">
      <c r="A1359" t="s">
        <v>1368</v>
      </c>
      <c r="B1359" t="s">
        <v>11</v>
      </c>
      <c r="C1359">
        <v>116.04709375</v>
      </c>
      <c r="D1359">
        <f>0</f>
        <v>0</v>
      </c>
      <c r="E1359">
        <f>678986328/10^6</f>
        <v>678.98632799999996</v>
      </c>
      <c r="F1359">
        <f>0</f>
        <v>0</v>
      </c>
      <c r="G1359">
        <f>23125029/10^5</f>
        <v>231.25029000000001</v>
      </c>
      <c r="H1359">
        <f>0</f>
        <v>0</v>
      </c>
      <c r="I1359">
        <f>-42119125/10^6</f>
        <v>-42.119124999999997</v>
      </c>
      <c r="J1359">
        <f>0</f>
        <v>0</v>
      </c>
    </row>
    <row r="1360" spans="1:10" x14ac:dyDescent="0.25">
      <c r="A1360" t="s">
        <v>1369</v>
      </c>
      <c r="B1360" t="s">
        <v>11</v>
      </c>
      <c r="C1360">
        <v>115.972234375</v>
      </c>
      <c r="D1360">
        <f>0</f>
        <v>0</v>
      </c>
      <c r="E1360">
        <f>679340271/10^6</f>
        <v>679.34027100000003</v>
      </c>
      <c r="F1360">
        <f>0</f>
        <v>0</v>
      </c>
      <c r="G1360">
        <f>23121521/10^5</f>
        <v>231.21521000000001</v>
      </c>
      <c r="H1360">
        <f>0</f>
        <v>0</v>
      </c>
      <c r="I1360">
        <f>-42152161/10^6</f>
        <v>-42.152161</v>
      </c>
      <c r="J1360">
        <f>0</f>
        <v>0</v>
      </c>
    </row>
    <row r="1361" spans="1:10" x14ac:dyDescent="0.25">
      <c r="A1361" t="s">
        <v>1370</v>
      </c>
      <c r="B1361" t="s">
        <v>11</v>
      </c>
      <c r="C1361">
        <v>115.858414063</v>
      </c>
      <c r="D1361">
        <f>0</f>
        <v>0</v>
      </c>
      <c r="E1361">
        <f>680128662/10^6</f>
        <v>680.12866199999996</v>
      </c>
      <c r="F1361">
        <f>0</f>
        <v>0</v>
      </c>
      <c r="G1361">
        <f>231217468/10^6</f>
        <v>231.217468</v>
      </c>
      <c r="H1361">
        <f>0</f>
        <v>0</v>
      </c>
      <c r="I1361">
        <f>-42386143/10^6</f>
        <v>-42.386142999999997</v>
      </c>
      <c r="J1361">
        <f>0</f>
        <v>0</v>
      </c>
    </row>
    <row r="1362" spans="1:10" x14ac:dyDescent="0.25">
      <c r="A1362" t="s">
        <v>1371</v>
      </c>
      <c r="B1362" t="s">
        <v>11</v>
      </c>
      <c r="C1362">
        <v>0</v>
      </c>
      <c r="D1362">
        <f>2</f>
        <v>2</v>
      </c>
      <c r="F1362">
        <f>2</f>
        <v>2</v>
      </c>
      <c r="H1362">
        <f>2</f>
        <v>2</v>
      </c>
      <c r="J1362">
        <f>2</f>
        <v>2</v>
      </c>
    </row>
    <row r="1363" spans="1:10" x14ac:dyDescent="0.25">
      <c r="A1363" t="s">
        <v>1372</v>
      </c>
      <c r="B1363" t="s">
        <v>11</v>
      </c>
      <c r="C1363">
        <v>115.820054688</v>
      </c>
      <c r="D1363">
        <f>0</f>
        <v>0</v>
      </c>
      <c r="E1363">
        <f>680128784/10^6</f>
        <v>680.128784</v>
      </c>
      <c r="F1363">
        <f>0</f>
        <v>0</v>
      </c>
      <c r="G1363">
        <f>231136047/10^6</f>
        <v>231.13604699999999</v>
      </c>
      <c r="H1363">
        <f>0</f>
        <v>0</v>
      </c>
      <c r="I1363">
        <f>-42361721/10^6</f>
        <v>-42.361721000000003</v>
      </c>
      <c r="J1363">
        <f>0</f>
        <v>0</v>
      </c>
    </row>
    <row r="1364" spans="1:10" x14ac:dyDescent="0.25">
      <c r="A1364" t="s">
        <v>1373</v>
      </c>
      <c r="B1364" t="s">
        <v>11</v>
      </c>
      <c r="C1364">
        <v>115.855289063</v>
      </c>
      <c r="D1364">
        <f>0</f>
        <v>0</v>
      </c>
      <c r="E1364">
        <f>680033081/10^6</f>
        <v>680.03308100000004</v>
      </c>
      <c r="F1364">
        <f>0</f>
        <v>0</v>
      </c>
      <c r="G1364">
        <f>231180511/10^6</f>
        <v>231.180511</v>
      </c>
      <c r="H1364">
        <f>0</f>
        <v>0</v>
      </c>
      <c r="I1364">
        <f>-42305988/10^6</f>
        <v>-42.305987999999999</v>
      </c>
      <c r="J1364">
        <f>0</f>
        <v>0</v>
      </c>
    </row>
    <row r="1365" spans="1:10" x14ac:dyDescent="0.25">
      <c r="A1365" t="s">
        <v>1374</v>
      </c>
      <c r="B1365" t="s">
        <v>11</v>
      </c>
      <c r="C1365">
        <v>115.853703125</v>
      </c>
      <c r="D1365">
        <f>0</f>
        <v>0</v>
      </c>
      <c r="E1365">
        <f>680074829/10^6</f>
        <v>680.07482900000002</v>
      </c>
      <c r="F1365">
        <f>0</f>
        <v>0</v>
      </c>
      <c r="G1365">
        <f>23119548/10^5</f>
        <v>231.19548</v>
      </c>
      <c r="H1365">
        <f>0</f>
        <v>0</v>
      </c>
      <c r="I1365">
        <f>-4234243/10^5</f>
        <v>-42.34243</v>
      </c>
      <c r="J1365">
        <f>0</f>
        <v>0</v>
      </c>
    </row>
    <row r="1366" spans="1:10" x14ac:dyDescent="0.25">
      <c r="A1366" t="s">
        <v>1375</v>
      </c>
      <c r="B1366" t="s">
        <v>11</v>
      </c>
      <c r="C1366">
        <v>115.819625</v>
      </c>
      <c r="D1366">
        <f>0</f>
        <v>0</v>
      </c>
      <c r="E1366">
        <f>68020459/10^5</f>
        <v>680.20459000000005</v>
      </c>
      <c r="F1366">
        <f>0</f>
        <v>0</v>
      </c>
      <c r="G1366">
        <f>231191376/10^6</f>
        <v>231.19137599999999</v>
      </c>
      <c r="H1366">
        <f>0</f>
        <v>0</v>
      </c>
      <c r="I1366">
        <f>-42260323/10^6</f>
        <v>-42.260323</v>
      </c>
      <c r="J1366">
        <f>0</f>
        <v>0</v>
      </c>
    </row>
    <row r="1367" spans="1:10" x14ac:dyDescent="0.25">
      <c r="A1367" t="s">
        <v>1376</v>
      </c>
      <c r="B1367" t="s">
        <v>11</v>
      </c>
      <c r="C1367">
        <v>115.79169531300001</v>
      </c>
      <c r="D1367">
        <f>0</f>
        <v>0</v>
      </c>
      <c r="E1367">
        <f>680334656/10^6</f>
        <v>680.334656</v>
      </c>
      <c r="F1367">
        <f>0</f>
        <v>0</v>
      </c>
      <c r="G1367">
        <f>231202362/10^6</f>
        <v>231.20236199999999</v>
      </c>
      <c r="H1367">
        <f>0</f>
        <v>0</v>
      </c>
      <c r="I1367">
        <f>-42168533/10^6</f>
        <v>-42.168532999999996</v>
      </c>
      <c r="J1367">
        <f>0</f>
        <v>0</v>
      </c>
    </row>
    <row r="1368" spans="1:10" x14ac:dyDescent="0.25">
      <c r="A1368" t="s">
        <v>1377</v>
      </c>
      <c r="B1368" t="s">
        <v>11</v>
      </c>
      <c r="C1368">
        <v>115.79227343800001</v>
      </c>
      <c r="D1368">
        <f>0</f>
        <v>0</v>
      </c>
      <c r="E1368">
        <f>680461487/10^6</f>
        <v>680.46148700000003</v>
      </c>
      <c r="F1368">
        <f>0</f>
        <v>0</v>
      </c>
      <c r="G1368">
        <f>23120813/10^5</f>
        <v>231.20813000000001</v>
      </c>
      <c r="H1368">
        <f>0</f>
        <v>0</v>
      </c>
      <c r="I1368">
        <f>-4237207/10^5</f>
        <v>-42.372070000000001</v>
      </c>
      <c r="J1368">
        <f>0</f>
        <v>0</v>
      </c>
    </row>
    <row r="1369" spans="1:10" x14ac:dyDescent="0.25">
      <c r="A1369" t="s">
        <v>1378</v>
      </c>
      <c r="B1369" t="s">
        <v>11</v>
      </c>
      <c r="C1369">
        <v>115.813265625</v>
      </c>
      <c r="D1369">
        <f>0</f>
        <v>0</v>
      </c>
      <c r="E1369">
        <f>680503357/10^6</f>
        <v>680.50335700000005</v>
      </c>
      <c r="F1369">
        <f>0</f>
        <v>0</v>
      </c>
      <c r="G1369">
        <f>231216339/10^6</f>
        <v>231.216339</v>
      </c>
      <c r="H1369">
        <f>0</f>
        <v>0</v>
      </c>
      <c r="I1369">
        <f>-426194/10^4</f>
        <v>-42.619399999999999</v>
      </c>
      <c r="J1369">
        <f>0</f>
        <v>0</v>
      </c>
    </row>
    <row r="1370" spans="1:10" x14ac:dyDescent="0.25">
      <c r="A1370" t="s">
        <v>1379</v>
      </c>
      <c r="B1370" t="s">
        <v>11</v>
      </c>
      <c r="C1370">
        <v>115.87505468800001</v>
      </c>
      <c r="D1370">
        <f>0</f>
        <v>0</v>
      </c>
      <c r="E1370">
        <f>679999939/10^6</f>
        <v>679.99993900000004</v>
      </c>
      <c r="F1370">
        <f>0</f>
        <v>0</v>
      </c>
      <c r="G1370">
        <f>231198364/10^6</f>
        <v>231.198364</v>
      </c>
      <c r="H1370">
        <f>0</f>
        <v>0</v>
      </c>
      <c r="I1370">
        <f>-42466976/10^6</f>
        <v>-42.466976000000003</v>
      </c>
      <c r="J1370">
        <f>0</f>
        <v>0</v>
      </c>
    </row>
    <row r="1371" spans="1:10" x14ac:dyDescent="0.25">
      <c r="A1371" t="s">
        <v>1380</v>
      </c>
      <c r="B1371" t="s">
        <v>11</v>
      </c>
      <c r="C1371">
        <v>115.96519531300001</v>
      </c>
      <c r="D1371">
        <f>0</f>
        <v>0</v>
      </c>
      <c r="E1371">
        <f>679416504/10^6</f>
        <v>679.41650400000003</v>
      </c>
      <c r="F1371">
        <f>0</f>
        <v>0</v>
      </c>
      <c r="G1371">
        <f>231215118/10^6</f>
        <v>231.21511799999999</v>
      </c>
      <c r="H1371">
        <f>0</f>
        <v>0</v>
      </c>
      <c r="I1371">
        <f>-42285145/10^6</f>
        <v>-42.285145</v>
      </c>
      <c r="J1371">
        <f>0</f>
        <v>0</v>
      </c>
    </row>
    <row r="1372" spans="1:10" x14ac:dyDescent="0.25">
      <c r="A1372" t="s">
        <v>1381</v>
      </c>
      <c r="B1372" t="s">
        <v>11</v>
      </c>
      <c r="C1372">
        <v>116.03033593800001</v>
      </c>
      <c r="D1372">
        <f>0</f>
        <v>0</v>
      </c>
      <c r="E1372">
        <f>679130249/10^6</f>
        <v>679.13024900000005</v>
      </c>
      <c r="F1372">
        <f>0</f>
        <v>0</v>
      </c>
      <c r="G1372">
        <f>231262405/10^6</f>
        <v>231.262405</v>
      </c>
      <c r="H1372">
        <f>0</f>
        <v>0</v>
      </c>
      <c r="I1372">
        <f>-42278561/10^6</f>
        <v>-42.278561000000003</v>
      </c>
      <c r="J1372">
        <f>0</f>
        <v>0</v>
      </c>
    </row>
    <row r="1373" spans="1:10" x14ac:dyDescent="0.25">
      <c r="A1373" t="s">
        <v>1382</v>
      </c>
      <c r="B1373" t="s">
        <v>11</v>
      </c>
      <c r="C1373">
        <v>116.080921875</v>
      </c>
      <c r="D1373">
        <f>0</f>
        <v>0</v>
      </c>
      <c r="E1373">
        <f>67885675/10^5</f>
        <v>678.85675000000003</v>
      </c>
      <c r="F1373">
        <f>0</f>
        <v>0</v>
      </c>
      <c r="G1373">
        <f>231275803/10^6</f>
        <v>231.275803</v>
      </c>
      <c r="H1373">
        <f>0</f>
        <v>0</v>
      </c>
      <c r="I1373">
        <f>-42281376/10^6</f>
        <v>-42.281376000000002</v>
      </c>
      <c r="J1373">
        <f>0</f>
        <v>0</v>
      </c>
    </row>
    <row r="1374" spans="1:10" x14ac:dyDescent="0.25">
      <c r="A1374" t="s">
        <v>1383</v>
      </c>
      <c r="B1374" t="s">
        <v>11</v>
      </c>
      <c r="C1374">
        <v>116.176773438</v>
      </c>
      <c r="D1374">
        <f>0</f>
        <v>0</v>
      </c>
      <c r="E1374">
        <f>678420044/10^6</f>
        <v>678.42004399999996</v>
      </c>
      <c r="F1374">
        <f>0</f>
        <v>0</v>
      </c>
      <c r="G1374">
        <f>231297318/10^6</f>
        <v>231.29731799999999</v>
      </c>
      <c r="H1374">
        <f>0</f>
        <v>0</v>
      </c>
      <c r="I1374">
        <f>-42323551/10^6</f>
        <v>-42.323551000000002</v>
      </c>
      <c r="J1374">
        <f>0</f>
        <v>0</v>
      </c>
    </row>
    <row r="1375" spans="1:10" x14ac:dyDescent="0.25">
      <c r="A1375" t="s">
        <v>1384</v>
      </c>
      <c r="B1375" t="s">
        <v>11</v>
      </c>
      <c r="C1375">
        <v>116.345203125</v>
      </c>
      <c r="D1375">
        <f>0</f>
        <v>0</v>
      </c>
      <c r="E1375">
        <f>677492249/10^6</f>
        <v>677.49224900000002</v>
      </c>
      <c r="F1375">
        <f>0</f>
        <v>0</v>
      </c>
      <c r="G1375">
        <f>231337662/10^6</f>
        <v>231.33766199999999</v>
      </c>
      <c r="H1375">
        <f>0</f>
        <v>0</v>
      </c>
      <c r="I1375">
        <f>-42220364/10^6</f>
        <v>-42.220363999999996</v>
      </c>
      <c r="J1375">
        <f>0</f>
        <v>0</v>
      </c>
    </row>
    <row r="1376" spans="1:10" x14ac:dyDescent="0.25">
      <c r="A1376" t="s">
        <v>1385</v>
      </c>
      <c r="B1376" t="s">
        <v>11</v>
      </c>
      <c r="C1376">
        <v>116.551289063</v>
      </c>
      <c r="D1376">
        <f>0</f>
        <v>0</v>
      </c>
      <c r="E1376">
        <f>676216248/10^6</f>
        <v>676.21624799999995</v>
      </c>
      <c r="F1376">
        <f>0</f>
        <v>0</v>
      </c>
      <c r="G1376">
        <f>231369339/10^6</f>
        <v>231.369339</v>
      </c>
      <c r="H1376">
        <f>0</f>
        <v>0</v>
      </c>
      <c r="I1376">
        <f>-4200967/10^5</f>
        <v>-42.00967</v>
      </c>
      <c r="J1376">
        <f>0</f>
        <v>0</v>
      </c>
    </row>
    <row r="1377" spans="1:10" x14ac:dyDescent="0.25">
      <c r="A1377" t="s">
        <v>1386</v>
      </c>
      <c r="B1377" t="s">
        <v>11</v>
      </c>
      <c r="C1377">
        <v>116.78107812499999</v>
      </c>
      <c r="D1377">
        <f>0</f>
        <v>0</v>
      </c>
      <c r="E1377">
        <f>674963318/10^6</f>
        <v>674.96331799999996</v>
      </c>
      <c r="F1377">
        <f>0</f>
        <v>0</v>
      </c>
      <c r="G1377">
        <f>231399124/10^6</f>
        <v>231.399124</v>
      </c>
      <c r="H1377">
        <f>0</f>
        <v>0</v>
      </c>
      <c r="I1377">
        <f>-41950012/10^6</f>
        <v>-41.950012000000001</v>
      </c>
      <c r="J1377">
        <f>0</f>
        <v>0</v>
      </c>
    </row>
    <row r="1378" spans="1:10" x14ac:dyDescent="0.25">
      <c r="A1378" t="s">
        <v>1387</v>
      </c>
      <c r="B1378" t="s">
        <v>11</v>
      </c>
      <c r="C1378">
        <v>117.03828906300001</v>
      </c>
      <c r="D1378">
        <f>0</f>
        <v>0</v>
      </c>
      <c r="E1378">
        <f>673551697/10^6</f>
        <v>673.55169699999999</v>
      </c>
      <c r="F1378">
        <f>0</f>
        <v>0</v>
      </c>
      <c r="G1378">
        <f>231441452/10^6</f>
        <v>231.441452</v>
      </c>
      <c r="H1378">
        <f>0</f>
        <v>0</v>
      </c>
      <c r="I1378">
        <f>-41819649/10^6</f>
        <v>-41.819648999999998</v>
      </c>
      <c r="J1378">
        <f>0</f>
        <v>0</v>
      </c>
    </row>
    <row r="1379" spans="1:10" x14ac:dyDescent="0.25">
      <c r="A1379" t="s">
        <v>1388</v>
      </c>
      <c r="B1379" t="s">
        <v>11</v>
      </c>
      <c r="C1379">
        <v>117.328382813</v>
      </c>
      <c r="D1379">
        <f>0</f>
        <v>0</v>
      </c>
      <c r="E1379">
        <f>671861389/10^6</f>
        <v>671.86138900000003</v>
      </c>
      <c r="F1379">
        <f>0</f>
        <v>0</v>
      </c>
      <c r="G1379">
        <f>231488007/10^6</f>
        <v>231.48800700000001</v>
      </c>
      <c r="H1379">
        <f>0</f>
        <v>0</v>
      </c>
      <c r="I1379">
        <f>-41611473/10^6</f>
        <v>-41.611472999999997</v>
      </c>
      <c r="J1379">
        <f>0</f>
        <v>0</v>
      </c>
    </row>
    <row r="1380" spans="1:10" x14ac:dyDescent="0.25">
      <c r="A1380" t="s">
        <v>1389</v>
      </c>
      <c r="B1380" t="s">
        <v>11</v>
      </c>
      <c r="C1380">
        <v>117.699679688</v>
      </c>
      <c r="D1380">
        <f>0</f>
        <v>0</v>
      </c>
      <c r="E1380">
        <f>669760498/10^6</f>
        <v>669.76049799999998</v>
      </c>
      <c r="F1380">
        <f>0</f>
        <v>0</v>
      </c>
      <c r="G1380">
        <f>231546494/10^6</f>
        <v>231.546494</v>
      </c>
      <c r="H1380">
        <f>0</f>
        <v>0</v>
      </c>
      <c r="I1380">
        <f>-41358879/10^6</f>
        <v>-41.358879000000002</v>
      </c>
      <c r="J1380">
        <f>0</f>
        <v>0</v>
      </c>
    </row>
    <row r="1381" spans="1:10" x14ac:dyDescent="0.25">
      <c r="A1381" t="s">
        <v>1390</v>
      </c>
      <c r="B1381" t="s">
        <v>11</v>
      </c>
      <c r="C1381">
        <v>118.15803124999999</v>
      </c>
      <c r="D1381">
        <f>0</f>
        <v>0</v>
      </c>
      <c r="E1381">
        <f>667113892/10^6</f>
        <v>667.11389199999996</v>
      </c>
      <c r="F1381">
        <f>0</f>
        <v>0</v>
      </c>
      <c r="G1381">
        <f>231604248/10^6</f>
        <v>231.60424800000001</v>
      </c>
      <c r="H1381">
        <f>0</f>
        <v>0</v>
      </c>
      <c r="I1381">
        <f>-41022083/10^6</f>
        <v>-41.022083000000002</v>
      </c>
      <c r="J1381">
        <f>0</f>
        <v>0</v>
      </c>
    </row>
    <row r="1382" spans="1:10" x14ac:dyDescent="0.25">
      <c r="A1382" t="s">
        <v>1391</v>
      </c>
      <c r="B1382" t="s">
        <v>11</v>
      </c>
      <c r="C1382">
        <v>118.668992188</v>
      </c>
      <c r="D1382">
        <f>0</f>
        <v>0</v>
      </c>
      <c r="E1382">
        <f>664179504/10^6</f>
        <v>664.17950399999995</v>
      </c>
      <c r="F1382">
        <f>0</f>
        <v>0</v>
      </c>
      <c r="G1382">
        <f>231653351/10^6</f>
        <v>231.65335099999999</v>
      </c>
      <c r="H1382">
        <f>0</f>
        <v>0</v>
      </c>
      <c r="I1382">
        <f>-40771839/10^6</f>
        <v>-40.771839</v>
      </c>
      <c r="J1382">
        <f>0</f>
        <v>0</v>
      </c>
    </row>
    <row r="1383" spans="1:10" x14ac:dyDescent="0.25">
      <c r="A1383" t="s">
        <v>1392</v>
      </c>
      <c r="B1383" t="s">
        <v>11</v>
      </c>
      <c r="C1383">
        <v>119.221671875</v>
      </c>
      <c r="D1383">
        <f>0</f>
        <v>0</v>
      </c>
      <c r="E1383">
        <f>66111969/10^5</f>
        <v>661.11968999999999</v>
      </c>
      <c r="F1383">
        <f>0</f>
        <v>0</v>
      </c>
      <c r="G1383">
        <f>231722626/10^6</f>
        <v>231.72262599999999</v>
      </c>
      <c r="H1383">
        <f>0</f>
        <v>0</v>
      </c>
      <c r="I1383">
        <f>-40516392/10^6</f>
        <v>-40.516392000000003</v>
      </c>
      <c r="J1383">
        <f>0</f>
        <v>0</v>
      </c>
    </row>
    <row r="1384" spans="1:10" x14ac:dyDescent="0.25">
      <c r="A1384" t="s">
        <v>1393</v>
      </c>
      <c r="B1384" t="s">
        <v>11</v>
      </c>
      <c r="C1384">
        <v>119.782078125</v>
      </c>
      <c r="D1384">
        <f>0</f>
        <v>0</v>
      </c>
      <c r="E1384">
        <f>658063354/10^6</f>
        <v>658.063354</v>
      </c>
      <c r="F1384">
        <f>0</f>
        <v>0</v>
      </c>
      <c r="G1384">
        <f>231795975/10^6</f>
        <v>231.795975</v>
      </c>
      <c r="H1384">
        <f>0</f>
        <v>0</v>
      </c>
      <c r="I1384">
        <f>-40235733/10^6</f>
        <v>-40.235733000000003</v>
      </c>
      <c r="J1384">
        <f>0</f>
        <v>0</v>
      </c>
    </row>
    <row r="1385" spans="1:10" x14ac:dyDescent="0.25">
      <c r="A1385" t="s">
        <v>1394</v>
      </c>
      <c r="B1385" t="s">
        <v>11</v>
      </c>
      <c r="C1385">
        <v>120.31685937500001</v>
      </c>
      <c r="D1385">
        <f>0</f>
        <v>0</v>
      </c>
      <c r="E1385">
        <f>654921753/10^6</f>
        <v>654.92175299999997</v>
      </c>
      <c r="F1385">
        <f>0</f>
        <v>0</v>
      </c>
      <c r="G1385">
        <f>231846161/10^6</f>
        <v>231.846161</v>
      </c>
      <c r="H1385">
        <f>0</f>
        <v>0</v>
      </c>
      <c r="I1385">
        <f>-39751659/10^6</f>
        <v>-39.751658999999997</v>
      </c>
      <c r="J1385">
        <f>0</f>
        <v>0</v>
      </c>
    </row>
    <row r="1386" spans="1:10" x14ac:dyDescent="0.25">
      <c r="A1386" t="s">
        <v>1395</v>
      </c>
      <c r="B1386" t="s">
        <v>11</v>
      </c>
      <c r="C1386">
        <v>120.79739062500001</v>
      </c>
      <c r="D1386">
        <f>0</f>
        <v>0</v>
      </c>
      <c r="E1386">
        <f>652031494/10^6</f>
        <v>652.03149399999995</v>
      </c>
      <c r="F1386">
        <f>0</f>
        <v>0</v>
      </c>
      <c r="G1386">
        <f>231877289/10^6</f>
        <v>231.87728899999999</v>
      </c>
      <c r="H1386">
        <f>0</f>
        <v>0</v>
      </c>
      <c r="I1386">
        <f>-39319038/10^6</f>
        <v>-39.319037999999999</v>
      </c>
      <c r="J1386">
        <f>0</f>
        <v>0</v>
      </c>
    </row>
    <row r="1387" spans="1:10" x14ac:dyDescent="0.25">
      <c r="A1387" t="s">
        <v>1396</v>
      </c>
      <c r="B1387" t="s">
        <v>11</v>
      </c>
      <c r="C1387">
        <v>121.171289063</v>
      </c>
      <c r="D1387">
        <f>0</f>
        <v>0</v>
      </c>
      <c r="E1387">
        <f>650057312/10^6</f>
        <v>650.05731200000002</v>
      </c>
      <c r="F1387">
        <f>0</f>
        <v>0</v>
      </c>
      <c r="G1387">
        <f>231905991/10^6</f>
        <v>231.905991</v>
      </c>
      <c r="H1387">
        <f>0</f>
        <v>0</v>
      </c>
      <c r="I1387">
        <f>-39313198/10^6</f>
        <v>-39.313198</v>
      </c>
      <c r="J1387">
        <f>0</f>
        <v>0</v>
      </c>
    </row>
    <row r="1388" spans="1:10" x14ac:dyDescent="0.25">
      <c r="A1388" t="s">
        <v>1397</v>
      </c>
      <c r="B1388" t="s">
        <v>11</v>
      </c>
      <c r="C1388">
        <v>121.416234375</v>
      </c>
      <c r="D1388">
        <f>0</f>
        <v>0</v>
      </c>
      <c r="E1388">
        <f>64881488/10^5</f>
        <v>648.81488000000002</v>
      </c>
      <c r="F1388">
        <f>0</f>
        <v>0</v>
      </c>
      <c r="G1388">
        <f>231946121/10^6</f>
        <v>231.94612100000001</v>
      </c>
      <c r="H1388">
        <f>0</f>
        <v>0</v>
      </c>
      <c r="I1388">
        <f>-39294876/10^6</f>
        <v>-39.294876000000002</v>
      </c>
      <c r="J1388">
        <f>0</f>
        <v>0</v>
      </c>
    </row>
    <row r="1389" spans="1:10" x14ac:dyDescent="0.25">
      <c r="A1389" t="s">
        <v>1398</v>
      </c>
      <c r="B1389" t="s">
        <v>11</v>
      </c>
      <c r="C1389">
        <v>121.536179688</v>
      </c>
      <c r="D1389">
        <f>0</f>
        <v>0</v>
      </c>
      <c r="E1389">
        <f>648062256/10^6</f>
        <v>648.06225600000005</v>
      </c>
      <c r="F1389">
        <f>0</f>
        <v>0</v>
      </c>
      <c r="G1389">
        <f>23197493/10^5</f>
        <v>231.97493</v>
      </c>
      <c r="H1389">
        <f>0</f>
        <v>0</v>
      </c>
      <c r="I1389">
        <f>-38998566/10^6</f>
        <v>-38.998565999999997</v>
      </c>
      <c r="J1389">
        <f>0</f>
        <v>0</v>
      </c>
    </row>
    <row r="1390" spans="1:10" x14ac:dyDescent="0.25">
      <c r="A1390" t="s">
        <v>1399</v>
      </c>
      <c r="B1390" t="s">
        <v>11</v>
      </c>
      <c r="C1390">
        <v>121.584070313</v>
      </c>
      <c r="D1390">
        <f>0</f>
        <v>0</v>
      </c>
      <c r="E1390">
        <f>647823425/10^6</f>
        <v>647.82342500000004</v>
      </c>
      <c r="F1390">
        <f>0</f>
        <v>0</v>
      </c>
      <c r="G1390">
        <f>232001465/10^6</f>
        <v>232.001465</v>
      </c>
      <c r="H1390">
        <f>0</f>
        <v>0</v>
      </c>
      <c r="I1390">
        <f>-38856342/10^6</f>
        <v>-38.856341999999998</v>
      </c>
      <c r="J1390">
        <f>0</f>
        <v>0</v>
      </c>
    </row>
    <row r="1391" spans="1:10" x14ac:dyDescent="0.25">
      <c r="A1391" t="s">
        <v>1400</v>
      </c>
      <c r="B1391" t="s">
        <v>11</v>
      </c>
      <c r="C1391">
        <v>121.634226563</v>
      </c>
      <c r="D1391">
        <f>0</f>
        <v>0</v>
      </c>
      <c r="E1391">
        <f>647732056/10^6</f>
        <v>647.73205599999994</v>
      </c>
      <c r="F1391">
        <f>0</f>
        <v>0</v>
      </c>
      <c r="G1391">
        <f>232037476/10^6</f>
        <v>232.037476</v>
      </c>
      <c r="H1391">
        <f>0</f>
        <v>0</v>
      </c>
      <c r="I1391">
        <f>-38973175/10^6</f>
        <v>-38.973174999999998</v>
      </c>
      <c r="J1391">
        <f>0</f>
        <v>0</v>
      </c>
    </row>
    <row r="1392" spans="1:10" x14ac:dyDescent="0.25">
      <c r="A1392" t="s">
        <v>1401</v>
      </c>
      <c r="B1392" t="s">
        <v>11</v>
      </c>
      <c r="C1392">
        <v>121.672898438</v>
      </c>
      <c r="D1392">
        <f>0</f>
        <v>0</v>
      </c>
      <c r="E1392">
        <f>64763739/10^5</f>
        <v>647.63738999999998</v>
      </c>
      <c r="F1392">
        <f>0</f>
        <v>0</v>
      </c>
      <c r="G1392">
        <f>232058746/10^6</f>
        <v>232.05874600000001</v>
      </c>
      <c r="H1392">
        <f>0</f>
        <v>0</v>
      </c>
      <c r="I1392">
        <f>-38939903/10^6</f>
        <v>-38.939903000000001</v>
      </c>
      <c r="J1392">
        <f>0</f>
        <v>0</v>
      </c>
    </row>
    <row r="1393" spans="1:10" x14ac:dyDescent="0.25">
      <c r="A1393" t="s">
        <v>1402</v>
      </c>
      <c r="B1393" t="s">
        <v>11</v>
      </c>
      <c r="C1393">
        <v>121.68014062500001</v>
      </c>
      <c r="D1393">
        <f>0</f>
        <v>0</v>
      </c>
      <c r="E1393">
        <f>647608521/10^6</f>
        <v>647.608521</v>
      </c>
      <c r="F1393">
        <f>0</f>
        <v>0</v>
      </c>
      <c r="G1393">
        <f>232064423/10^6</f>
        <v>232.06442300000001</v>
      </c>
      <c r="H1393">
        <f>0</f>
        <v>0</v>
      </c>
      <c r="I1393">
        <f>-3888916/10^5</f>
        <v>-38.889159999999997</v>
      </c>
      <c r="J1393">
        <f>0</f>
        <v>0</v>
      </c>
    </row>
    <row r="1394" spans="1:10" x14ac:dyDescent="0.25">
      <c r="A1394" t="s">
        <v>1403</v>
      </c>
      <c r="B1394" t="s">
        <v>11</v>
      </c>
      <c r="C1394">
        <v>121.643429688</v>
      </c>
      <c r="D1394">
        <f>0</f>
        <v>0</v>
      </c>
      <c r="E1394">
        <f>647760559/10^6</f>
        <v>647.76055899999994</v>
      </c>
      <c r="F1394">
        <f>0</f>
        <v>0</v>
      </c>
      <c r="G1394">
        <f>232067764/10^6</f>
        <v>232.06776400000001</v>
      </c>
      <c r="H1394">
        <f>0</f>
        <v>0</v>
      </c>
      <c r="I1394">
        <f>-38869236/10^6</f>
        <v>-38.869236000000001</v>
      </c>
      <c r="J1394">
        <f>0</f>
        <v>0</v>
      </c>
    </row>
    <row r="1395" spans="1:10" x14ac:dyDescent="0.25">
      <c r="A1395" t="s">
        <v>1404</v>
      </c>
      <c r="B1395" t="s">
        <v>11</v>
      </c>
      <c r="C1395">
        <v>121.59425</v>
      </c>
      <c r="D1395">
        <f>0</f>
        <v>0</v>
      </c>
      <c r="E1395">
        <f>647981934/10^6</f>
        <v>647.98193400000002</v>
      </c>
      <c r="F1395">
        <f>0</f>
        <v>0</v>
      </c>
      <c r="G1395">
        <f>232070435/10^6</f>
        <v>232.070435</v>
      </c>
      <c r="H1395">
        <f>0</f>
        <v>0</v>
      </c>
      <c r="I1395">
        <f>-38796017/10^6</f>
        <v>-38.796016999999999</v>
      </c>
      <c r="J1395">
        <f>0</f>
        <v>0</v>
      </c>
    </row>
    <row r="1396" spans="1:10" x14ac:dyDescent="0.25">
      <c r="A1396" t="s">
        <v>1405</v>
      </c>
      <c r="B1396" t="s">
        <v>11</v>
      </c>
      <c r="C1396">
        <v>121.518328125</v>
      </c>
      <c r="D1396">
        <f>0</f>
        <v>0</v>
      </c>
      <c r="E1396">
        <f>648325378/10^6</f>
        <v>648.325378</v>
      </c>
      <c r="F1396">
        <f>0</f>
        <v>0</v>
      </c>
      <c r="G1396">
        <f>232052765/10^6</f>
        <v>232.05276499999999</v>
      </c>
      <c r="H1396">
        <f>0</f>
        <v>0</v>
      </c>
      <c r="I1396">
        <f>-38648563/10^6</f>
        <v>-38.648563000000003</v>
      </c>
      <c r="J1396">
        <f>0</f>
        <v>0</v>
      </c>
    </row>
    <row r="1397" spans="1:10" x14ac:dyDescent="0.25">
      <c r="A1397" t="s">
        <v>1406</v>
      </c>
      <c r="B1397" t="s">
        <v>11</v>
      </c>
      <c r="C1397">
        <v>121.307289063</v>
      </c>
      <c r="D1397">
        <f>0</f>
        <v>0</v>
      </c>
      <c r="E1397">
        <f>649488403/10^6</f>
        <v>649.48840299999995</v>
      </c>
      <c r="F1397">
        <f>0</f>
        <v>0</v>
      </c>
      <c r="G1397">
        <f>232022156/10^6</f>
        <v>232.022156</v>
      </c>
      <c r="H1397">
        <f>0</f>
        <v>0</v>
      </c>
      <c r="I1397">
        <f>-38577751/10^6</f>
        <v>-38.577750999999999</v>
      </c>
      <c r="J1397">
        <f>0</f>
        <v>0</v>
      </c>
    </row>
    <row r="1398" spans="1:10" x14ac:dyDescent="0.25">
      <c r="A1398" t="s">
        <v>1407</v>
      </c>
      <c r="B1398" t="s">
        <v>11</v>
      </c>
      <c r="C1398">
        <v>121.035171875</v>
      </c>
      <c r="D1398">
        <f>0</f>
        <v>0</v>
      </c>
      <c r="E1398">
        <f>651056152/10^6</f>
        <v>651.056152</v>
      </c>
      <c r="F1398">
        <f>0</f>
        <v>0</v>
      </c>
      <c r="G1398">
        <f>23199826/10^5</f>
        <v>231.99825999999999</v>
      </c>
      <c r="H1398">
        <f>0</f>
        <v>0</v>
      </c>
      <c r="I1398">
        <f>-38762379/10^6</f>
        <v>-38.762379000000003</v>
      </c>
      <c r="J1398">
        <f>0</f>
        <v>0</v>
      </c>
    </row>
    <row r="1399" spans="1:10" x14ac:dyDescent="0.25">
      <c r="A1399" t="s">
        <v>1408</v>
      </c>
      <c r="B1399" t="s">
        <v>11</v>
      </c>
      <c r="C1399">
        <v>0</v>
      </c>
      <c r="D1399">
        <f>2</f>
        <v>2</v>
      </c>
      <c r="F1399">
        <f>2</f>
        <v>2</v>
      </c>
      <c r="H1399">
        <f>2</f>
        <v>2</v>
      </c>
      <c r="J1399">
        <f>2</f>
        <v>2</v>
      </c>
    </row>
    <row r="1400" spans="1:10" x14ac:dyDescent="0.25">
      <c r="A1400" t="s">
        <v>1409</v>
      </c>
      <c r="B1400" t="s">
        <v>11</v>
      </c>
      <c r="C1400">
        <v>120.554992188</v>
      </c>
      <c r="D1400">
        <f>0</f>
        <v>0</v>
      </c>
      <c r="E1400">
        <f>653670715/10^6</f>
        <v>653.67071499999997</v>
      </c>
      <c r="F1400">
        <f>0</f>
        <v>0</v>
      </c>
      <c r="G1400">
        <f>231924072/10^6</f>
        <v>231.924072</v>
      </c>
      <c r="H1400">
        <f>0</f>
        <v>0</v>
      </c>
      <c r="I1400">
        <f>-3927684/10^5</f>
        <v>-39.27684</v>
      </c>
      <c r="J1400">
        <f>0</f>
        <v>0</v>
      </c>
    </row>
    <row r="1401" spans="1:10" x14ac:dyDescent="0.25">
      <c r="A1401" t="s">
        <v>1410</v>
      </c>
      <c r="B1401" t="s">
        <v>11</v>
      </c>
      <c r="C1401">
        <v>120.28679687499999</v>
      </c>
      <c r="D1401">
        <f>0</f>
        <v>0</v>
      </c>
      <c r="E1401">
        <f>655106689/10^6</f>
        <v>655.10668899999996</v>
      </c>
      <c r="F1401">
        <f>0</f>
        <v>0</v>
      </c>
      <c r="G1401">
        <f>231884262/10^6</f>
        <v>231.88426200000001</v>
      </c>
      <c r="H1401">
        <f>0</f>
        <v>0</v>
      </c>
      <c r="I1401">
        <f>-39382343/10^6</f>
        <v>-39.382342999999999</v>
      </c>
      <c r="J1401">
        <f>0</f>
        <v>0</v>
      </c>
    </row>
    <row r="1402" spans="1:10" x14ac:dyDescent="0.25">
      <c r="A1402" t="s">
        <v>1411</v>
      </c>
      <c r="B1402" t="s">
        <v>11</v>
      </c>
      <c r="C1402">
        <v>120.041203125</v>
      </c>
      <c r="D1402">
        <f>0</f>
        <v>0</v>
      </c>
      <c r="E1402">
        <f>656285767/10^6</f>
        <v>656.28576699999996</v>
      </c>
      <c r="F1402">
        <f>0</f>
        <v>0</v>
      </c>
      <c r="G1402">
        <f>231835175/10^6</f>
        <v>231.83517499999999</v>
      </c>
      <c r="H1402">
        <f>0</f>
        <v>0</v>
      </c>
      <c r="I1402">
        <f>-39323212/10^6</f>
        <v>-39.323211999999998</v>
      </c>
      <c r="J1402">
        <f>0</f>
        <v>0</v>
      </c>
    </row>
    <row r="1403" spans="1:10" x14ac:dyDescent="0.25">
      <c r="A1403" t="s">
        <v>1412</v>
      </c>
      <c r="B1403" t="s">
        <v>11</v>
      </c>
      <c r="C1403">
        <v>119.80566406300001</v>
      </c>
      <c r="D1403">
        <f>0</f>
        <v>0</v>
      </c>
      <c r="E1403">
        <f>657543335/10^6</f>
        <v>657.54333499999996</v>
      </c>
      <c r="F1403">
        <f>0</f>
        <v>0</v>
      </c>
      <c r="G1403">
        <f>231784698/10^6</f>
        <v>231.78469799999999</v>
      </c>
      <c r="H1403">
        <f>0</f>
        <v>0</v>
      </c>
      <c r="I1403">
        <f>-39459938/10^6</f>
        <v>-39.459938000000001</v>
      </c>
      <c r="J1403">
        <f>0</f>
        <v>0</v>
      </c>
    </row>
    <row r="1404" spans="1:10" x14ac:dyDescent="0.25">
      <c r="A1404" t="s">
        <v>1413</v>
      </c>
      <c r="B1404" t="s">
        <v>11</v>
      </c>
      <c r="C1404">
        <v>119.6129375</v>
      </c>
      <c r="D1404">
        <f>0</f>
        <v>0</v>
      </c>
      <c r="E1404">
        <f>658745483/10^6</f>
        <v>658.74548300000004</v>
      </c>
      <c r="F1404">
        <f>0</f>
        <v>0</v>
      </c>
      <c r="G1404">
        <f>231753021/10^6</f>
        <v>231.75302099999999</v>
      </c>
      <c r="H1404">
        <f>0</f>
        <v>0</v>
      </c>
      <c r="I1404">
        <f>-39844429/10^6</f>
        <v>-39.844428999999998</v>
      </c>
      <c r="J1404">
        <f>0</f>
        <v>0</v>
      </c>
    </row>
    <row r="1405" spans="1:10" x14ac:dyDescent="0.25">
      <c r="A1405" t="s">
        <v>1414</v>
      </c>
      <c r="B1405" t="s">
        <v>11</v>
      </c>
      <c r="C1405">
        <v>119.460742188</v>
      </c>
      <c r="D1405">
        <f>0</f>
        <v>0</v>
      </c>
      <c r="E1405">
        <f>659642578/10^6</f>
        <v>659.64257799999996</v>
      </c>
      <c r="F1405">
        <f>0</f>
        <v>0</v>
      </c>
      <c r="G1405">
        <f>231721252/10^6</f>
        <v>231.72125199999999</v>
      </c>
      <c r="H1405">
        <f>0</f>
        <v>0</v>
      </c>
      <c r="I1405">
        <f>-40136856/10^6</f>
        <v>-40.136856000000002</v>
      </c>
      <c r="J1405">
        <f>0</f>
        <v>0</v>
      </c>
    </row>
    <row r="1406" spans="1:10" x14ac:dyDescent="0.25">
      <c r="A1406" t="s">
        <v>1415</v>
      </c>
      <c r="B1406" t="s">
        <v>11</v>
      </c>
      <c r="C1406">
        <v>119.325710938</v>
      </c>
      <c r="D1406">
        <f>0</f>
        <v>0</v>
      </c>
      <c r="E1406">
        <f>660299683/10^6</f>
        <v>660.29968299999996</v>
      </c>
      <c r="F1406">
        <f>0</f>
        <v>0</v>
      </c>
      <c r="G1406">
        <f>231690308/10^6</f>
        <v>231.69030799999999</v>
      </c>
      <c r="H1406">
        <f>0</f>
        <v>0</v>
      </c>
      <c r="I1406">
        <f>-40023483/10^6</f>
        <v>-40.023482999999999</v>
      </c>
      <c r="J1406">
        <f>0</f>
        <v>0</v>
      </c>
    </row>
    <row r="1407" spans="1:10" x14ac:dyDescent="0.25">
      <c r="A1407" t="s">
        <v>1416</v>
      </c>
      <c r="B1407" t="s">
        <v>11</v>
      </c>
      <c r="C1407">
        <v>119.19859375</v>
      </c>
      <c r="D1407">
        <f>0</f>
        <v>0</v>
      </c>
      <c r="E1407">
        <f>6608526/10^4</f>
        <v>660.85260000000005</v>
      </c>
      <c r="F1407">
        <f>0</f>
        <v>0</v>
      </c>
      <c r="G1407">
        <f>231672852/10^6</f>
        <v>231.67285200000001</v>
      </c>
      <c r="H1407">
        <f>0</f>
        <v>0</v>
      </c>
      <c r="I1407">
        <f>-39863152/10^6</f>
        <v>-39.863151999999999</v>
      </c>
      <c r="J1407">
        <f>0</f>
        <v>0</v>
      </c>
    </row>
    <row r="1408" spans="1:10" x14ac:dyDescent="0.25">
      <c r="A1408" t="s">
        <v>1417</v>
      </c>
      <c r="B1408" t="s">
        <v>11</v>
      </c>
      <c r="C1408">
        <v>119.05374999999999</v>
      </c>
      <c r="D1408">
        <f>0</f>
        <v>0</v>
      </c>
      <c r="E1408">
        <f>661699951/10^6</f>
        <v>661.69995100000006</v>
      </c>
      <c r="F1408">
        <f>0</f>
        <v>0</v>
      </c>
      <c r="G1408">
        <f>231655411/10^6</f>
        <v>231.65541099999999</v>
      </c>
      <c r="H1408">
        <f>0</f>
        <v>0</v>
      </c>
      <c r="I1408">
        <f>-40043621/10^6</f>
        <v>-40.043621000000002</v>
      </c>
      <c r="J1408">
        <f>0</f>
        <v>0</v>
      </c>
    </row>
    <row r="1409" spans="1:10" x14ac:dyDescent="0.25">
      <c r="A1409" t="s">
        <v>1418</v>
      </c>
      <c r="B1409" t="s">
        <v>11</v>
      </c>
      <c r="C1409">
        <v>118.91824218800001</v>
      </c>
      <c r="D1409">
        <f>0</f>
        <v>0</v>
      </c>
      <c r="E1409">
        <f>662569702/10^6</f>
        <v>662.56970200000001</v>
      </c>
      <c r="F1409">
        <f>0</f>
        <v>0</v>
      </c>
      <c r="G1409">
        <f>231637115/10^6</f>
        <v>231.63711499999999</v>
      </c>
      <c r="H1409">
        <f>0</f>
        <v>0</v>
      </c>
      <c r="I1409">
        <f>-40287624/10^6</f>
        <v>-40.287624000000001</v>
      </c>
      <c r="J1409">
        <f>0</f>
        <v>0</v>
      </c>
    </row>
    <row r="1410" spans="1:10" x14ac:dyDescent="0.25">
      <c r="A1410" t="s">
        <v>1419</v>
      </c>
      <c r="B1410" t="s">
        <v>11</v>
      </c>
      <c r="C1410">
        <v>118.799710938</v>
      </c>
      <c r="D1410">
        <f>0</f>
        <v>0</v>
      </c>
      <c r="E1410">
        <f>663197998/10^6</f>
        <v>663.19799799999998</v>
      </c>
      <c r="F1410">
        <f>0</f>
        <v>0</v>
      </c>
      <c r="G1410">
        <f>231630188/10^6</f>
        <v>231.630188</v>
      </c>
      <c r="H1410">
        <f>0</f>
        <v>0</v>
      </c>
      <c r="I1410">
        <f>-40319324/10^6</f>
        <v>-40.319324000000002</v>
      </c>
      <c r="J1410">
        <f>0</f>
        <v>0</v>
      </c>
    </row>
    <row r="1411" spans="1:10" x14ac:dyDescent="0.25">
      <c r="A1411" t="s">
        <v>1420</v>
      </c>
      <c r="B1411" t="s">
        <v>11</v>
      </c>
      <c r="C1411">
        <v>0</v>
      </c>
      <c r="D1411">
        <f>2</f>
        <v>2</v>
      </c>
      <c r="F1411">
        <f>2</f>
        <v>2</v>
      </c>
      <c r="H1411">
        <f>2</f>
        <v>2</v>
      </c>
      <c r="J1411">
        <f>2</f>
        <v>2</v>
      </c>
    </row>
    <row r="1412" spans="1:10" x14ac:dyDescent="0.25">
      <c r="A1412" t="s">
        <v>1421</v>
      </c>
      <c r="B1412" t="s">
        <v>11</v>
      </c>
      <c r="C1412">
        <v>118.608210938</v>
      </c>
      <c r="D1412">
        <f>0</f>
        <v>0</v>
      </c>
      <c r="E1412">
        <f>664274658/10^6</f>
        <v>664.27465800000004</v>
      </c>
      <c r="F1412">
        <f>0</f>
        <v>0</v>
      </c>
      <c r="G1412">
        <f>231608032/10^6</f>
        <v>231.60803200000001</v>
      </c>
      <c r="H1412">
        <f>0</f>
        <v>0</v>
      </c>
      <c r="I1412">
        <f>-40402691/10^6</f>
        <v>-40.402690999999997</v>
      </c>
      <c r="J1412">
        <f>0</f>
        <v>0</v>
      </c>
    </row>
    <row r="1413" spans="1:10" x14ac:dyDescent="0.25">
      <c r="A1413" t="s">
        <v>1422</v>
      </c>
      <c r="B1413" t="s">
        <v>11</v>
      </c>
      <c r="C1413">
        <v>118.53388281300001</v>
      </c>
      <c r="D1413">
        <f>0</f>
        <v>0</v>
      </c>
      <c r="E1413">
        <f>664764648/10^6</f>
        <v>664.76464799999997</v>
      </c>
      <c r="F1413">
        <f>0</f>
        <v>0</v>
      </c>
      <c r="G1413">
        <f>231617065/10^6</f>
        <v>231.617065</v>
      </c>
      <c r="H1413">
        <f>0</f>
        <v>0</v>
      </c>
      <c r="I1413">
        <f>-4043935/10^5</f>
        <v>-40.439349999999997</v>
      </c>
      <c r="J1413">
        <f>0</f>
        <v>0</v>
      </c>
    </row>
    <row r="1414" spans="1:10" x14ac:dyDescent="0.25">
      <c r="A1414" t="s">
        <v>1423</v>
      </c>
      <c r="B1414" t="s">
        <v>11</v>
      </c>
      <c r="C1414">
        <v>118.45478906300001</v>
      </c>
      <c r="D1414">
        <f>0</f>
        <v>0</v>
      </c>
      <c r="E1414">
        <f>665231995/10^6</f>
        <v>665.23199499999998</v>
      </c>
      <c r="F1414">
        <f>0</f>
        <v>0</v>
      </c>
      <c r="G1414">
        <f>231621017/10^6</f>
        <v>231.62101699999999</v>
      </c>
      <c r="H1414">
        <f>0</f>
        <v>0</v>
      </c>
      <c r="I1414">
        <f>-4041888/10^5</f>
        <v>-40.418880000000001</v>
      </c>
      <c r="J1414">
        <f>0</f>
        <v>0</v>
      </c>
    </row>
    <row r="1415" spans="1:10" x14ac:dyDescent="0.25">
      <c r="A1415" t="s">
        <v>1424</v>
      </c>
      <c r="B1415" t="s">
        <v>11</v>
      </c>
      <c r="C1415">
        <v>118.38914843800001</v>
      </c>
      <c r="D1415">
        <f>0</f>
        <v>0</v>
      </c>
      <c r="E1415">
        <f>665590088/10^6</f>
        <v>665.59008800000004</v>
      </c>
      <c r="F1415">
        <f>0</f>
        <v>0</v>
      </c>
      <c r="G1415">
        <f>231618179/10^6</f>
        <v>231.618179</v>
      </c>
      <c r="H1415">
        <f>0</f>
        <v>0</v>
      </c>
      <c r="I1415">
        <f>-40403706/10^6</f>
        <v>-40.403706</v>
      </c>
      <c r="J1415">
        <f>0</f>
        <v>0</v>
      </c>
    </row>
    <row r="1416" spans="1:10" x14ac:dyDescent="0.25">
      <c r="A1416" t="s">
        <v>1425</v>
      </c>
      <c r="B1416" t="s">
        <v>11</v>
      </c>
      <c r="C1416">
        <v>118.31153125</v>
      </c>
      <c r="D1416">
        <f>0</f>
        <v>0</v>
      </c>
      <c r="E1416">
        <f>666122131/10^6</f>
        <v>666.12213099999997</v>
      </c>
      <c r="F1416">
        <f>0</f>
        <v>0</v>
      </c>
      <c r="G1416">
        <f>231615906/10^6</f>
        <v>231.615906</v>
      </c>
      <c r="H1416">
        <f>0</f>
        <v>0</v>
      </c>
      <c r="I1416">
        <f>-4066135/10^5</f>
        <v>-40.661349999999999</v>
      </c>
      <c r="J1416">
        <f>0</f>
        <v>0</v>
      </c>
    </row>
    <row r="1417" spans="1:10" x14ac:dyDescent="0.25">
      <c r="A1417" t="s">
        <v>1426</v>
      </c>
      <c r="B1417" t="s">
        <v>11</v>
      </c>
      <c r="C1417">
        <v>118.194765625</v>
      </c>
      <c r="D1417">
        <f>0</f>
        <v>0</v>
      </c>
      <c r="E1417">
        <f>666800415/10^6</f>
        <v>666.80041500000004</v>
      </c>
      <c r="F1417">
        <f>0</f>
        <v>0</v>
      </c>
      <c r="G1417">
        <f>231609512/10^6</f>
        <v>231.609512</v>
      </c>
      <c r="H1417">
        <f>0</f>
        <v>0</v>
      </c>
      <c r="I1417">
        <f>-40762398/10^6</f>
        <v>-40.762397999999997</v>
      </c>
      <c r="J1417">
        <f>0</f>
        <v>0</v>
      </c>
    </row>
    <row r="1418" spans="1:10" x14ac:dyDescent="0.25">
      <c r="A1418" t="s">
        <v>1427</v>
      </c>
      <c r="B1418" t="s">
        <v>11</v>
      </c>
      <c r="C1418">
        <v>118.04360156300001</v>
      </c>
      <c r="D1418">
        <f>0</f>
        <v>0</v>
      </c>
      <c r="E1418">
        <f>667574158/10^6</f>
        <v>667.57415800000001</v>
      </c>
      <c r="F1418">
        <f>0</f>
        <v>0</v>
      </c>
      <c r="G1418">
        <f>231598953/10^6</f>
        <v>231.59895299999999</v>
      </c>
      <c r="H1418">
        <f>0</f>
        <v>0</v>
      </c>
      <c r="I1418">
        <f>-40597988/10^6</f>
        <v>-40.597988000000001</v>
      </c>
      <c r="J1418">
        <f>0</f>
        <v>0</v>
      </c>
    </row>
    <row r="1419" spans="1:10" x14ac:dyDescent="0.25">
      <c r="A1419" t="s">
        <v>1428</v>
      </c>
      <c r="B1419" t="s">
        <v>11</v>
      </c>
      <c r="C1419">
        <v>117.87415625</v>
      </c>
      <c r="D1419">
        <f>0</f>
        <v>0</v>
      </c>
      <c r="E1419">
        <f>668596313/10^6</f>
        <v>668.59631300000001</v>
      </c>
      <c r="F1419">
        <f>0</f>
        <v>0</v>
      </c>
      <c r="G1419">
        <f>231570343/10^6</f>
        <v>231.57034300000001</v>
      </c>
      <c r="H1419">
        <f>0</f>
        <v>0</v>
      </c>
      <c r="I1419">
        <f>-40840397/10^6</f>
        <v>-40.840397000000003</v>
      </c>
      <c r="J1419">
        <f>0</f>
        <v>0</v>
      </c>
    </row>
    <row r="1420" spans="1:10" x14ac:dyDescent="0.25">
      <c r="A1420" t="s">
        <v>1429</v>
      </c>
      <c r="B1420" t="s">
        <v>11</v>
      </c>
      <c r="C1420">
        <v>117.68559375</v>
      </c>
      <c r="D1420">
        <f>0</f>
        <v>0</v>
      </c>
      <c r="E1420">
        <f>669760315/10^6</f>
        <v>669.76031499999999</v>
      </c>
      <c r="F1420">
        <f>0</f>
        <v>0</v>
      </c>
      <c r="G1420">
        <f>231551193/10^6</f>
        <v>231.55119300000001</v>
      </c>
      <c r="H1420">
        <f>0</f>
        <v>0</v>
      </c>
      <c r="I1420">
        <f>-41096363/10^6</f>
        <v>-41.096362999999997</v>
      </c>
      <c r="J1420">
        <f>0</f>
        <v>0</v>
      </c>
    </row>
    <row r="1421" spans="1:10" x14ac:dyDescent="0.25">
      <c r="A1421" t="s">
        <v>1430</v>
      </c>
      <c r="B1421" t="s">
        <v>11</v>
      </c>
      <c r="C1421">
        <v>117.465148438</v>
      </c>
      <c r="D1421">
        <f>0</f>
        <v>0</v>
      </c>
      <c r="E1421">
        <f>670965515/10^6</f>
        <v>670.96551499999998</v>
      </c>
      <c r="F1421">
        <f>0</f>
        <v>0</v>
      </c>
      <c r="G1421">
        <f>231536865/10^6</f>
        <v>231.53686500000001</v>
      </c>
      <c r="H1421">
        <f>0</f>
        <v>0</v>
      </c>
      <c r="I1421">
        <f>-41026588/10^6</f>
        <v>-41.026587999999997</v>
      </c>
      <c r="J1421">
        <f>0</f>
        <v>0</v>
      </c>
    </row>
    <row r="1422" spans="1:10" x14ac:dyDescent="0.25">
      <c r="A1422" t="s">
        <v>1431</v>
      </c>
      <c r="B1422" t="s">
        <v>11</v>
      </c>
      <c r="C1422">
        <v>117.215453125</v>
      </c>
      <c r="D1422">
        <f>0</f>
        <v>0</v>
      </c>
      <c r="E1422">
        <f>672346008/10^6</f>
        <v>672.34600799999998</v>
      </c>
      <c r="F1422">
        <f>0</f>
        <v>0</v>
      </c>
      <c r="G1422">
        <f>231499527/10^6</f>
        <v>231.499527</v>
      </c>
      <c r="H1422">
        <f>0</f>
        <v>0</v>
      </c>
      <c r="I1422">
        <f>-41144119/10^6</f>
        <v>-41.144119000000003</v>
      </c>
      <c r="J1422">
        <f>0</f>
        <v>0</v>
      </c>
    </row>
    <row r="1423" spans="1:10" x14ac:dyDescent="0.25">
      <c r="A1423" t="s">
        <v>1432</v>
      </c>
      <c r="B1423" t="s">
        <v>11</v>
      </c>
      <c r="C1423">
        <v>116.93727343800001</v>
      </c>
      <c r="D1423">
        <f>0</f>
        <v>0</v>
      </c>
      <c r="E1423">
        <f>673915466/10^6</f>
        <v>673.91546600000004</v>
      </c>
      <c r="F1423">
        <f>0</f>
        <v>0</v>
      </c>
      <c r="G1423">
        <f>231455826/10^6</f>
        <v>231.455826</v>
      </c>
      <c r="H1423">
        <f>0</f>
        <v>0</v>
      </c>
      <c r="I1423">
        <f>-41348343/10^6</f>
        <v>-41.348343</v>
      </c>
      <c r="J1423">
        <f>0</f>
        <v>0</v>
      </c>
    </row>
    <row r="1424" spans="1:10" x14ac:dyDescent="0.25">
      <c r="A1424" t="s">
        <v>1433</v>
      </c>
      <c r="B1424" t="s">
        <v>11</v>
      </c>
      <c r="C1424">
        <v>116.61927343800001</v>
      </c>
      <c r="D1424">
        <f>0</f>
        <v>0</v>
      </c>
      <c r="E1424">
        <f>675805603/10^6</f>
        <v>675.80560300000002</v>
      </c>
      <c r="F1424">
        <f>0</f>
        <v>0</v>
      </c>
      <c r="G1424">
        <f>231406311/10^6</f>
        <v>231.40631099999999</v>
      </c>
      <c r="H1424">
        <f>0</f>
        <v>0</v>
      </c>
      <c r="I1424">
        <f>-41590752/10^6</f>
        <v>-41.590752000000002</v>
      </c>
      <c r="J1424">
        <f>0</f>
        <v>0</v>
      </c>
    </row>
    <row r="1425" spans="1:10" x14ac:dyDescent="0.25">
      <c r="A1425" t="s">
        <v>1434</v>
      </c>
      <c r="B1425" t="s">
        <v>11</v>
      </c>
      <c r="C1425">
        <v>116.3045</v>
      </c>
      <c r="D1425">
        <f>0</f>
        <v>0</v>
      </c>
      <c r="E1425">
        <f>677756714/10^6</f>
        <v>677.75671399999999</v>
      </c>
      <c r="F1425">
        <f>0</f>
        <v>0</v>
      </c>
      <c r="G1425">
        <f>231353348/10^6</f>
        <v>231.35334800000001</v>
      </c>
      <c r="H1425">
        <f>0</f>
        <v>0</v>
      </c>
      <c r="I1425">
        <f>-42033943/10^6</f>
        <v>-42.033943000000001</v>
      </c>
      <c r="J1425">
        <f>0</f>
        <v>0</v>
      </c>
    </row>
    <row r="1426" spans="1:10" x14ac:dyDescent="0.25">
      <c r="A1426" t="s">
        <v>1435</v>
      </c>
      <c r="B1426" t="s">
        <v>11</v>
      </c>
      <c r="C1426">
        <v>116.056921875</v>
      </c>
      <c r="D1426">
        <f>0</f>
        <v>0</v>
      </c>
      <c r="E1426">
        <f>679074768/10^6</f>
        <v>679.07476799999995</v>
      </c>
      <c r="F1426">
        <f>0</f>
        <v>0</v>
      </c>
      <c r="G1426">
        <f>231296432/10^6</f>
        <v>231.29643200000001</v>
      </c>
      <c r="H1426">
        <f>0</f>
        <v>0</v>
      </c>
      <c r="I1426">
        <f>-42240566/10^6</f>
        <v>-42.240566000000001</v>
      </c>
      <c r="J1426">
        <f>0</f>
        <v>0</v>
      </c>
    </row>
    <row r="1427" spans="1:10" x14ac:dyDescent="0.25">
      <c r="A1427" t="s">
        <v>1436</v>
      </c>
      <c r="B1427" t="s">
        <v>11</v>
      </c>
      <c r="C1427">
        <v>115.88171875</v>
      </c>
      <c r="D1427">
        <f>0</f>
        <v>0</v>
      </c>
      <c r="E1427">
        <f>67986908/10^5</f>
        <v>679.86908000000005</v>
      </c>
      <c r="F1427">
        <f>0</f>
        <v>0</v>
      </c>
      <c r="G1427">
        <f>231215225/10^6</f>
        <v>231.215225</v>
      </c>
      <c r="H1427">
        <f>0</f>
        <v>0</v>
      </c>
      <c r="I1427">
        <f>-42261921/10^6</f>
        <v>-42.261921000000001</v>
      </c>
      <c r="J1427">
        <f>0</f>
        <v>0</v>
      </c>
    </row>
    <row r="1428" spans="1:10" x14ac:dyDescent="0.25">
      <c r="A1428" t="s">
        <v>1437</v>
      </c>
      <c r="B1428" t="s">
        <v>11</v>
      </c>
      <c r="C1428">
        <v>115.707632813</v>
      </c>
      <c r="D1428">
        <f>0</f>
        <v>0</v>
      </c>
      <c r="E1428">
        <f>680779907/10^6</f>
        <v>680.77990699999998</v>
      </c>
      <c r="F1428">
        <f>0</f>
        <v>0</v>
      </c>
      <c r="G1428">
        <f>231125992/10^6</f>
        <v>231.125992</v>
      </c>
      <c r="H1428">
        <f>0</f>
        <v>0</v>
      </c>
      <c r="I1428">
        <f>-42288723/10^6</f>
        <v>-42.288722999999997</v>
      </c>
      <c r="J1428">
        <f>0</f>
        <v>0</v>
      </c>
    </row>
    <row r="1429" spans="1:10" x14ac:dyDescent="0.25">
      <c r="A1429" t="s">
        <v>1438</v>
      </c>
      <c r="B1429" t="s">
        <v>11</v>
      </c>
      <c r="C1429">
        <v>115.635625</v>
      </c>
      <c r="D1429">
        <f>0</f>
        <v>0</v>
      </c>
      <c r="E1429">
        <f>681373291/10^6</f>
        <v>681.37329099999999</v>
      </c>
      <c r="F1429">
        <f>0</f>
        <v>0</v>
      </c>
      <c r="G1429">
        <f>231121887/10^6</f>
        <v>231.12188699999999</v>
      </c>
      <c r="H1429">
        <f>0</f>
        <v>0</v>
      </c>
      <c r="I1429">
        <f>-42541328/10^6</f>
        <v>-42.541328</v>
      </c>
      <c r="J1429">
        <f>0</f>
        <v>0</v>
      </c>
    </row>
    <row r="1430" spans="1:10" x14ac:dyDescent="0.25">
      <c r="A1430" t="s">
        <v>1439</v>
      </c>
      <c r="B1430" t="s">
        <v>11</v>
      </c>
      <c r="C1430">
        <v>115.83196875</v>
      </c>
      <c r="D1430">
        <f>0</f>
        <v>0</v>
      </c>
      <c r="E1430">
        <f>680291687/10^6</f>
        <v>680.29168700000002</v>
      </c>
      <c r="F1430">
        <f>0</f>
        <v>0</v>
      </c>
      <c r="G1430">
        <f>23119223/10^5</f>
        <v>231.19223</v>
      </c>
      <c r="H1430">
        <f>0</f>
        <v>0</v>
      </c>
      <c r="I1430">
        <f>-42529491/10^6</f>
        <v>-42.529491</v>
      </c>
      <c r="J1430">
        <f>0</f>
        <v>0</v>
      </c>
    </row>
    <row r="1431" spans="1:10" x14ac:dyDescent="0.25">
      <c r="A1431" t="s">
        <v>1440</v>
      </c>
      <c r="B1431" t="s">
        <v>11</v>
      </c>
      <c r="C1431">
        <v>116.03734375000001</v>
      </c>
      <c r="D1431">
        <f>0</f>
        <v>0</v>
      </c>
      <c r="E1431">
        <f>678881348/10^6</f>
        <v>678.881348</v>
      </c>
      <c r="F1431">
        <f>0</f>
        <v>0</v>
      </c>
      <c r="G1431">
        <f>231227951/10^6</f>
        <v>231.22795099999999</v>
      </c>
      <c r="H1431">
        <f>0</f>
        <v>0</v>
      </c>
      <c r="I1431">
        <f>-42050259/10^6</f>
        <v>-42.050258999999997</v>
      </c>
      <c r="J1431">
        <f>0</f>
        <v>0</v>
      </c>
    </row>
    <row r="1432" spans="1:10" x14ac:dyDescent="0.25">
      <c r="A1432" t="s">
        <v>1441</v>
      </c>
      <c r="B1432" t="s">
        <v>11</v>
      </c>
      <c r="C1432">
        <v>116.02604687500001</v>
      </c>
      <c r="D1432">
        <f>0</f>
        <v>0</v>
      </c>
      <c r="E1432">
        <f>679004456/10^6</f>
        <v>679.004456</v>
      </c>
      <c r="F1432">
        <f>0</f>
        <v>0</v>
      </c>
      <c r="G1432">
        <f>231248352/10^6</f>
        <v>231.24835200000001</v>
      </c>
      <c r="H1432">
        <f>0</f>
        <v>0</v>
      </c>
      <c r="I1432">
        <f>-41989143/10^6</f>
        <v>-41.989142999999999</v>
      </c>
      <c r="J1432">
        <f>0</f>
        <v>0</v>
      </c>
    </row>
    <row r="1433" spans="1:10" x14ac:dyDescent="0.25">
      <c r="A1433" t="s">
        <v>1442</v>
      </c>
      <c r="B1433" t="s">
        <v>11</v>
      </c>
      <c r="C1433">
        <v>115.94222656300001</v>
      </c>
      <c r="D1433">
        <f>0</f>
        <v>0</v>
      </c>
      <c r="E1433">
        <f>67971405/10^5</f>
        <v>679.71405000000004</v>
      </c>
      <c r="F1433">
        <f>0</f>
        <v>0</v>
      </c>
      <c r="G1433">
        <f>231278656/10^6</f>
        <v>231.27865600000001</v>
      </c>
      <c r="H1433">
        <f>0</f>
        <v>0</v>
      </c>
      <c r="I1433">
        <f>-42236/10^3</f>
        <v>-42.235999999999997</v>
      </c>
      <c r="J1433">
        <f>0</f>
        <v>0</v>
      </c>
    </row>
    <row r="1434" spans="1:10" x14ac:dyDescent="0.25">
      <c r="A1434" t="s">
        <v>1443</v>
      </c>
      <c r="B1434" t="s">
        <v>11</v>
      </c>
      <c r="C1434">
        <v>115.888671875</v>
      </c>
      <c r="D1434">
        <f>0</f>
        <v>0</v>
      </c>
      <c r="E1434">
        <f>68018634/10^5</f>
        <v>680.18633999999997</v>
      </c>
      <c r="F1434">
        <f>0</f>
        <v>0</v>
      </c>
      <c r="G1434">
        <f>231275803/10^6</f>
        <v>231.275803</v>
      </c>
      <c r="H1434">
        <f>0</f>
        <v>0</v>
      </c>
      <c r="I1434">
        <f>-42449924/10^6</f>
        <v>-42.449924000000003</v>
      </c>
      <c r="J1434">
        <f>0</f>
        <v>0</v>
      </c>
    </row>
    <row r="1435" spans="1:10" x14ac:dyDescent="0.25">
      <c r="A1435" t="s">
        <v>1444</v>
      </c>
      <c r="B1435" t="s">
        <v>11</v>
      </c>
      <c r="C1435">
        <v>115.850070313</v>
      </c>
      <c r="D1435">
        <f>0</f>
        <v>0</v>
      </c>
      <c r="E1435">
        <f>680330322/10^6</f>
        <v>680.33032200000002</v>
      </c>
      <c r="F1435">
        <f>0</f>
        <v>0</v>
      </c>
      <c r="G1435">
        <f>231226028/10^6</f>
        <v>231.22602800000001</v>
      </c>
      <c r="H1435">
        <f>0</f>
        <v>0</v>
      </c>
      <c r="I1435">
        <f>-42527649/10^6</f>
        <v>-42.527648999999997</v>
      </c>
      <c r="J1435">
        <f>0</f>
        <v>0</v>
      </c>
    </row>
    <row r="1436" spans="1:10" x14ac:dyDescent="0.25">
      <c r="A1436" t="s">
        <v>1445</v>
      </c>
      <c r="B1436" t="s">
        <v>11</v>
      </c>
      <c r="C1436">
        <v>115.82539843800001</v>
      </c>
      <c r="D1436">
        <f>0</f>
        <v>0</v>
      </c>
      <c r="E1436">
        <f>680314453/10^6</f>
        <v>680.31445299999996</v>
      </c>
      <c r="F1436">
        <f>0</f>
        <v>0</v>
      </c>
      <c r="G1436">
        <f>231213013/10^6</f>
        <v>231.21301299999999</v>
      </c>
      <c r="H1436">
        <f>0</f>
        <v>0</v>
      </c>
      <c r="I1436">
        <f>-4246384/10^5</f>
        <v>-42.463839999999998</v>
      </c>
      <c r="J1436">
        <f>0</f>
        <v>0</v>
      </c>
    </row>
    <row r="1437" spans="1:10" x14ac:dyDescent="0.25">
      <c r="A1437" t="s">
        <v>1446</v>
      </c>
      <c r="B1437" t="s">
        <v>11</v>
      </c>
      <c r="C1437">
        <v>115.85718749999999</v>
      </c>
      <c r="D1437">
        <f>0</f>
        <v>0</v>
      </c>
      <c r="E1437">
        <f>680196472/10^6</f>
        <v>680.19647199999997</v>
      </c>
      <c r="F1437">
        <f>0</f>
        <v>0</v>
      </c>
      <c r="G1437">
        <f>231235153/10^6</f>
        <v>231.235153</v>
      </c>
      <c r="H1437">
        <f>0</f>
        <v>0</v>
      </c>
      <c r="I1437">
        <f>-4245858/10^5</f>
        <v>-42.458579999999998</v>
      </c>
      <c r="J1437">
        <f>0</f>
        <v>0</v>
      </c>
    </row>
    <row r="1438" spans="1:10" x14ac:dyDescent="0.25">
      <c r="A1438" t="s">
        <v>1447</v>
      </c>
      <c r="B1438" t="s">
        <v>11</v>
      </c>
      <c r="C1438">
        <v>115.97790625</v>
      </c>
      <c r="D1438">
        <f>0</f>
        <v>0</v>
      </c>
      <c r="E1438">
        <f>679653564/10^6</f>
        <v>679.65356399999996</v>
      </c>
      <c r="F1438">
        <f>0</f>
        <v>0</v>
      </c>
      <c r="G1438">
        <f>231254913/10^6</f>
        <v>231.25491299999999</v>
      </c>
      <c r="H1438">
        <f>0</f>
        <v>0</v>
      </c>
      <c r="I1438">
        <f>-4251239/10^5</f>
        <v>-42.512390000000003</v>
      </c>
      <c r="J1438">
        <f>0</f>
        <v>0</v>
      </c>
    </row>
    <row r="1439" spans="1:10" x14ac:dyDescent="0.25">
      <c r="A1439" t="s">
        <v>1448</v>
      </c>
      <c r="B1439" t="s">
        <v>11</v>
      </c>
      <c r="C1439">
        <v>116.14740625</v>
      </c>
      <c r="D1439">
        <f>0</f>
        <v>0</v>
      </c>
      <c r="E1439">
        <f>678690796/10^6</f>
        <v>678.69079599999998</v>
      </c>
      <c r="F1439">
        <f>0</f>
        <v>0</v>
      </c>
      <c r="G1439">
        <f>231306946/10^6</f>
        <v>231.30694600000001</v>
      </c>
      <c r="H1439">
        <f>0</f>
        <v>0</v>
      </c>
      <c r="I1439">
        <f>-42383121/10^6</f>
        <v>-42.383121000000003</v>
      </c>
      <c r="J1439">
        <f>0</f>
        <v>0</v>
      </c>
    </row>
    <row r="1440" spans="1:10" x14ac:dyDescent="0.25">
      <c r="A1440" t="s">
        <v>1449</v>
      </c>
      <c r="B1440" t="s">
        <v>11</v>
      </c>
      <c r="C1440">
        <v>116.311015625</v>
      </c>
      <c r="D1440">
        <f>0</f>
        <v>0</v>
      </c>
      <c r="E1440">
        <f>677719482/10^6</f>
        <v>677.71948199999997</v>
      </c>
      <c r="F1440">
        <f>0</f>
        <v>0</v>
      </c>
      <c r="G1440">
        <f>231352783/10^6</f>
        <v>231.35278299999999</v>
      </c>
      <c r="H1440">
        <f>0</f>
        <v>0</v>
      </c>
      <c r="I1440">
        <f>-42162361/10^6</f>
        <v>-42.162360999999997</v>
      </c>
      <c r="J1440">
        <f>0</f>
        <v>0</v>
      </c>
    </row>
    <row r="1441" spans="1:10" x14ac:dyDescent="0.25">
      <c r="A1441" t="s">
        <v>1450</v>
      </c>
      <c r="B1441" t="s">
        <v>11</v>
      </c>
      <c r="C1441">
        <v>116.466914063</v>
      </c>
      <c r="D1441">
        <f>0</f>
        <v>0</v>
      </c>
      <c r="E1441">
        <f>676874634/10^6</f>
        <v>676.87463400000001</v>
      </c>
      <c r="F1441">
        <f>0</f>
        <v>0</v>
      </c>
      <c r="G1441">
        <f>23138179/10^5</f>
        <v>231.38179</v>
      </c>
      <c r="H1441">
        <f>0</f>
        <v>0</v>
      </c>
      <c r="I1441">
        <f>-4204974/10^5</f>
        <v>-42.04974</v>
      </c>
      <c r="J1441">
        <f>0</f>
        <v>0</v>
      </c>
    </row>
    <row r="1442" spans="1:10" x14ac:dyDescent="0.25">
      <c r="A1442" t="s">
        <v>1451</v>
      </c>
      <c r="B1442" t="s">
        <v>11</v>
      </c>
      <c r="C1442">
        <v>116.61940625</v>
      </c>
      <c r="D1442">
        <f>0</f>
        <v>0</v>
      </c>
      <c r="E1442">
        <f>675948547/10^6</f>
        <v>675.94854699999996</v>
      </c>
      <c r="F1442">
        <f>0</f>
        <v>0</v>
      </c>
      <c r="G1442">
        <f>231409561/10^6</f>
        <v>231.409561</v>
      </c>
      <c r="H1442">
        <f>0</f>
        <v>0</v>
      </c>
      <c r="I1442">
        <f>-4193652/10^5</f>
        <v>-41.936520000000002</v>
      </c>
      <c r="J1442">
        <f>0</f>
        <v>0</v>
      </c>
    </row>
    <row r="1443" spans="1:10" x14ac:dyDescent="0.25">
      <c r="A1443" t="s">
        <v>1452</v>
      </c>
      <c r="B1443" t="s">
        <v>11</v>
      </c>
      <c r="C1443">
        <v>116.77775</v>
      </c>
      <c r="D1443">
        <f>0</f>
        <v>0</v>
      </c>
      <c r="E1443">
        <f>675078186/10^6</f>
        <v>675.07818599999996</v>
      </c>
      <c r="F1443">
        <f>0</f>
        <v>0</v>
      </c>
      <c r="G1443">
        <f>231437057/10^6</f>
        <v>231.43705700000001</v>
      </c>
      <c r="H1443">
        <f>0</f>
        <v>0</v>
      </c>
      <c r="I1443">
        <f>-41922546/10^6</f>
        <v>-41.922545999999997</v>
      </c>
      <c r="J1443">
        <f>0</f>
        <v>0</v>
      </c>
    </row>
    <row r="1444" spans="1:10" x14ac:dyDescent="0.25">
      <c r="A1444" t="s">
        <v>1453</v>
      </c>
      <c r="B1444" t="s">
        <v>11</v>
      </c>
      <c r="C1444">
        <v>0</v>
      </c>
      <c r="D1444">
        <f>2</f>
        <v>2</v>
      </c>
      <c r="F1444">
        <f>2</f>
        <v>2</v>
      </c>
      <c r="H1444">
        <f>2</f>
        <v>2</v>
      </c>
      <c r="J1444">
        <f>2</f>
        <v>2</v>
      </c>
    </row>
    <row r="1445" spans="1:10" x14ac:dyDescent="0.25">
      <c r="A1445" t="s">
        <v>1454</v>
      </c>
      <c r="B1445" t="s">
        <v>11</v>
      </c>
      <c r="C1445">
        <v>117.15056250000001</v>
      </c>
      <c r="D1445">
        <f>0</f>
        <v>0</v>
      </c>
      <c r="E1445">
        <f>672802368/10^6</f>
        <v>672.802368</v>
      </c>
      <c r="F1445">
        <f>0</f>
        <v>0</v>
      </c>
      <c r="G1445">
        <f>231494507/10^6</f>
        <v>231.494507</v>
      </c>
      <c r="H1445">
        <f>0</f>
        <v>0</v>
      </c>
      <c r="I1445">
        <f>-41433556/10^6</f>
        <v>-41.433556000000003</v>
      </c>
      <c r="J1445">
        <f>0</f>
        <v>0</v>
      </c>
    </row>
    <row r="1446" spans="1:10" x14ac:dyDescent="0.25">
      <c r="A1446" t="s">
        <v>1455</v>
      </c>
      <c r="B1446" t="s">
        <v>11</v>
      </c>
      <c r="C1446">
        <v>117.38439062499999</v>
      </c>
      <c r="D1446">
        <f>0</f>
        <v>0</v>
      </c>
      <c r="E1446">
        <f>671425598/10^6</f>
        <v>671.42559800000004</v>
      </c>
      <c r="F1446">
        <f>0</f>
        <v>0</v>
      </c>
      <c r="G1446">
        <f>231528061/10^6</f>
        <v>231.52806100000001</v>
      </c>
      <c r="H1446">
        <f>0</f>
        <v>0</v>
      </c>
      <c r="I1446">
        <f>-4117247/10^5</f>
        <v>-41.172469999999997</v>
      </c>
      <c r="J1446">
        <f>0</f>
        <v>0</v>
      </c>
    </row>
    <row r="1447" spans="1:10" x14ac:dyDescent="0.25">
      <c r="A1447" t="s">
        <v>1456</v>
      </c>
      <c r="B1447" t="s">
        <v>11</v>
      </c>
      <c r="C1447">
        <v>117.654054688</v>
      </c>
      <c r="D1447">
        <f>0</f>
        <v>0</v>
      </c>
      <c r="E1447">
        <f>669981262/10^6</f>
        <v>669.98126200000002</v>
      </c>
      <c r="F1447">
        <f>0</f>
        <v>0</v>
      </c>
      <c r="G1447">
        <f>231560104/10^6</f>
        <v>231.560104</v>
      </c>
      <c r="H1447">
        <f>0</f>
        <v>0</v>
      </c>
      <c r="I1447">
        <f>-4114666/10^5</f>
        <v>-41.146659999999997</v>
      </c>
      <c r="J1447">
        <f>0</f>
        <v>0</v>
      </c>
    </row>
    <row r="1448" spans="1:10" x14ac:dyDescent="0.25">
      <c r="A1448" t="s">
        <v>1457</v>
      </c>
      <c r="B1448" t="s">
        <v>11</v>
      </c>
      <c r="C1448">
        <v>117.9604375</v>
      </c>
      <c r="D1448">
        <f>0</f>
        <v>0</v>
      </c>
      <c r="E1448">
        <f>668349304/10^6</f>
        <v>668.34930399999996</v>
      </c>
      <c r="F1448">
        <f>0</f>
        <v>0</v>
      </c>
      <c r="G1448">
        <f>231603226/10^6</f>
        <v>231.60322600000001</v>
      </c>
      <c r="H1448">
        <f>0</f>
        <v>0</v>
      </c>
      <c r="I1448">
        <f>-41256458/10^6</f>
        <v>-41.256458000000002</v>
      </c>
      <c r="J1448">
        <f>0</f>
        <v>0</v>
      </c>
    </row>
    <row r="1449" spans="1:10" x14ac:dyDescent="0.25">
      <c r="A1449" t="s">
        <v>1458</v>
      </c>
      <c r="B1449" t="s">
        <v>11</v>
      </c>
      <c r="C1449">
        <v>0</v>
      </c>
      <c r="D1449">
        <f>2</f>
        <v>2</v>
      </c>
      <c r="F1449">
        <f>2</f>
        <v>2</v>
      </c>
      <c r="H1449">
        <f>2</f>
        <v>2</v>
      </c>
      <c r="J1449">
        <f>2</f>
        <v>2</v>
      </c>
    </row>
    <row r="1450" spans="1:10" x14ac:dyDescent="0.25">
      <c r="A1450" t="s">
        <v>1459</v>
      </c>
      <c r="B1450" t="s">
        <v>11</v>
      </c>
      <c r="C1450">
        <v>118.747859375</v>
      </c>
      <c r="D1450">
        <f>0</f>
        <v>0</v>
      </c>
      <c r="E1450">
        <f>663743225/10^6</f>
        <v>663.74322500000005</v>
      </c>
      <c r="F1450">
        <f>0</f>
        <v>0</v>
      </c>
      <c r="G1450">
        <f>231690704/10^6</f>
        <v>231.69070400000001</v>
      </c>
      <c r="H1450">
        <f>0</f>
        <v>0</v>
      </c>
      <c r="I1450">
        <f>-40607937/10^6</f>
        <v>-40.607937</v>
      </c>
      <c r="J1450">
        <f>0</f>
        <v>0</v>
      </c>
    </row>
    <row r="1451" spans="1:10" x14ac:dyDescent="0.25">
      <c r="A1451" t="s">
        <v>1460</v>
      </c>
      <c r="B1451" t="s">
        <v>11</v>
      </c>
      <c r="C1451">
        <v>119.155015625</v>
      </c>
      <c r="D1451">
        <f>0</f>
        <v>0</v>
      </c>
      <c r="E1451">
        <f>661610657/10^6</f>
        <v>661.61065699999995</v>
      </c>
      <c r="F1451">
        <f>0</f>
        <v>0</v>
      </c>
      <c r="G1451">
        <f>231742966/10^6</f>
        <v>231.742966</v>
      </c>
      <c r="H1451">
        <f>0</f>
        <v>0</v>
      </c>
      <c r="I1451">
        <f>-40587986/10^6</f>
        <v>-40.587986000000001</v>
      </c>
      <c r="J1451">
        <f>0</f>
        <v>0</v>
      </c>
    </row>
    <row r="1452" spans="1:10" x14ac:dyDescent="0.25">
      <c r="A1452" t="s">
        <v>1461</v>
      </c>
      <c r="B1452" t="s">
        <v>11</v>
      </c>
      <c r="C1452">
        <v>119.563976563</v>
      </c>
      <c r="D1452">
        <f>0</f>
        <v>0</v>
      </c>
      <c r="E1452">
        <f>659268372/10^6</f>
        <v>659.268372</v>
      </c>
      <c r="F1452">
        <f>0</f>
        <v>0</v>
      </c>
      <c r="G1452">
        <f>2317957/10^4</f>
        <v>231.79570000000001</v>
      </c>
      <c r="H1452">
        <f>0</f>
        <v>0</v>
      </c>
      <c r="I1452">
        <f>-40281742/10^6</f>
        <v>-40.281742000000001</v>
      </c>
      <c r="J1452">
        <f>0</f>
        <v>0</v>
      </c>
    </row>
    <row r="1453" spans="1:10" x14ac:dyDescent="0.25">
      <c r="A1453" t="s">
        <v>1462</v>
      </c>
      <c r="B1453" t="s">
        <v>11</v>
      </c>
      <c r="C1453">
        <v>119.94778125000001</v>
      </c>
      <c r="D1453">
        <f>0</f>
        <v>0</v>
      </c>
      <c r="E1453">
        <f>65714856/10^5</f>
        <v>657.14855999999997</v>
      </c>
      <c r="F1453">
        <f>0</f>
        <v>0</v>
      </c>
      <c r="G1453">
        <f>231844101/10^6</f>
        <v>231.84410099999999</v>
      </c>
      <c r="H1453">
        <f>0</f>
        <v>0</v>
      </c>
      <c r="I1453">
        <f>-40002735/10^6</f>
        <v>-40.002735000000001</v>
      </c>
      <c r="J1453">
        <f>0</f>
        <v>0</v>
      </c>
    </row>
    <row r="1454" spans="1:10" x14ac:dyDescent="0.25">
      <c r="A1454" t="s">
        <v>1463</v>
      </c>
      <c r="B1454" t="s">
        <v>11</v>
      </c>
      <c r="C1454">
        <v>120.30475</v>
      </c>
      <c r="D1454">
        <f>0</f>
        <v>0</v>
      </c>
      <c r="E1454">
        <f>655151855/10^6</f>
        <v>655.15185499999995</v>
      </c>
      <c r="F1454">
        <f>0</f>
        <v>0</v>
      </c>
      <c r="G1454">
        <f>231881241/10^6</f>
        <v>231.88124099999999</v>
      </c>
      <c r="H1454">
        <f>0</f>
        <v>0</v>
      </c>
      <c r="I1454">
        <f>-39772675/10^6</f>
        <v>-39.772675</v>
      </c>
      <c r="J1454">
        <f>0</f>
        <v>0</v>
      </c>
    </row>
    <row r="1455" spans="1:10" x14ac:dyDescent="0.25">
      <c r="A1455" t="s">
        <v>1464</v>
      </c>
      <c r="B1455" t="s">
        <v>11</v>
      </c>
      <c r="C1455">
        <v>120.612210938</v>
      </c>
      <c r="D1455">
        <f>0</f>
        <v>0</v>
      </c>
      <c r="E1455">
        <f>653249573/10^6</f>
        <v>653.24957300000005</v>
      </c>
      <c r="F1455">
        <f>0</f>
        <v>0</v>
      </c>
      <c r="G1455">
        <f>231904175/10^6</f>
        <v>231.90417500000001</v>
      </c>
      <c r="H1455">
        <f>0</f>
        <v>0</v>
      </c>
      <c r="I1455">
        <f>-39419094/10^6</f>
        <v>-39.419094000000001</v>
      </c>
      <c r="J1455">
        <f>0</f>
        <v>0</v>
      </c>
    </row>
    <row r="1456" spans="1:10" x14ac:dyDescent="0.25">
      <c r="A1456" t="s">
        <v>1465</v>
      </c>
      <c r="B1456" t="s">
        <v>11</v>
      </c>
      <c r="C1456">
        <v>120.83032812499999</v>
      </c>
      <c r="D1456">
        <f>0</f>
        <v>0</v>
      </c>
      <c r="E1456">
        <f>652085449/10^6</f>
        <v>652.08544900000004</v>
      </c>
      <c r="F1456">
        <f>0</f>
        <v>0</v>
      </c>
      <c r="G1456">
        <f>23193277/10^5</f>
        <v>231.93277</v>
      </c>
      <c r="H1456">
        <f>0</f>
        <v>0</v>
      </c>
      <c r="I1456">
        <f>-39308464/10^6</f>
        <v>-39.308464000000001</v>
      </c>
      <c r="J1456">
        <f>0</f>
        <v>0</v>
      </c>
    </row>
    <row r="1457" spans="1:10" x14ac:dyDescent="0.25">
      <c r="A1457" t="s">
        <v>1466</v>
      </c>
      <c r="B1457" t="s">
        <v>11</v>
      </c>
      <c r="C1457">
        <v>120.96966406300001</v>
      </c>
      <c r="D1457">
        <f>0</f>
        <v>0</v>
      </c>
      <c r="E1457">
        <f>651419617/10^6</f>
        <v>651.41961700000002</v>
      </c>
      <c r="F1457">
        <f>0</f>
        <v>0</v>
      </c>
      <c r="G1457">
        <f>231970108/10^6</f>
        <v>231.97010800000001</v>
      </c>
      <c r="H1457">
        <f>0</f>
        <v>0</v>
      </c>
      <c r="I1457">
        <f>-39336208/10^6</f>
        <v>-39.336207999999999</v>
      </c>
      <c r="J1457">
        <f>0</f>
        <v>0</v>
      </c>
    </row>
    <row r="1458" spans="1:10" x14ac:dyDescent="0.25">
      <c r="A1458" t="s">
        <v>1467</v>
      </c>
      <c r="B1458" t="s">
        <v>11</v>
      </c>
      <c r="C1458">
        <v>121.051570313</v>
      </c>
      <c r="D1458">
        <f>0</f>
        <v>0</v>
      </c>
      <c r="E1458">
        <f>65088092/10^5</f>
        <v>650.88091999999995</v>
      </c>
      <c r="F1458">
        <f>0</f>
        <v>0</v>
      </c>
      <c r="G1458">
        <f>231990875/10^6</f>
        <v>231.99087499999999</v>
      </c>
      <c r="H1458">
        <f>0</f>
        <v>0</v>
      </c>
      <c r="I1458">
        <f>-39172523/10^6</f>
        <v>-39.172522999999998</v>
      </c>
      <c r="J1458">
        <f>0</f>
        <v>0</v>
      </c>
    </row>
    <row r="1459" spans="1:10" x14ac:dyDescent="0.25">
      <c r="A1459" t="s">
        <v>1468</v>
      </c>
      <c r="B1459" t="s">
        <v>11</v>
      </c>
      <c r="C1459">
        <v>121.070375</v>
      </c>
      <c r="D1459">
        <f>0</f>
        <v>0</v>
      </c>
      <c r="E1459">
        <f>650745544/10^6</f>
        <v>650.745544</v>
      </c>
      <c r="F1459">
        <f>0</f>
        <v>0</v>
      </c>
      <c r="G1459">
        <f>231990738/10^6</f>
        <v>231.99073799999999</v>
      </c>
      <c r="H1459">
        <f>0</f>
        <v>0</v>
      </c>
      <c r="I1459">
        <f>-39046906/10^6</f>
        <v>-39.046906</v>
      </c>
      <c r="J1459">
        <f>0</f>
        <v>0</v>
      </c>
    </row>
    <row r="1460" spans="1:10" x14ac:dyDescent="0.25">
      <c r="A1460" t="s">
        <v>1469</v>
      </c>
      <c r="B1460" t="s">
        <v>11</v>
      </c>
      <c r="C1460">
        <v>121.06241406300001</v>
      </c>
      <c r="D1460">
        <f>0</f>
        <v>0</v>
      </c>
      <c r="E1460">
        <f>650871094/10^6</f>
        <v>650.87109399999997</v>
      </c>
      <c r="F1460">
        <f>0</f>
        <v>0</v>
      </c>
      <c r="G1460">
        <f>232001022/10^6</f>
        <v>232.00102200000001</v>
      </c>
      <c r="H1460">
        <f>0</f>
        <v>0</v>
      </c>
      <c r="I1460">
        <f>-39110989/10^6</f>
        <v>-39.110988999999996</v>
      </c>
      <c r="J1460">
        <f>0</f>
        <v>0</v>
      </c>
    </row>
    <row r="1461" spans="1:10" x14ac:dyDescent="0.25">
      <c r="A1461" t="s">
        <v>1470</v>
      </c>
      <c r="B1461" t="s">
        <v>11</v>
      </c>
      <c r="C1461">
        <v>121.09339843800001</v>
      </c>
      <c r="D1461">
        <f>0</f>
        <v>0</v>
      </c>
      <c r="E1461">
        <f>650862793/10^6</f>
        <v>650.86279300000001</v>
      </c>
      <c r="F1461">
        <f>0</f>
        <v>0</v>
      </c>
      <c r="G1461">
        <f>232014893/10^6</f>
        <v>232.014893</v>
      </c>
      <c r="H1461">
        <f>0</f>
        <v>0</v>
      </c>
      <c r="I1461">
        <f>-39150715/10^6</f>
        <v>-39.150714999999998</v>
      </c>
      <c r="J1461">
        <f>0</f>
        <v>0</v>
      </c>
    </row>
    <row r="1462" spans="1:10" x14ac:dyDescent="0.25">
      <c r="A1462" t="s">
        <v>1471</v>
      </c>
      <c r="B1462" t="s">
        <v>11</v>
      </c>
      <c r="C1462">
        <v>121.14526562499999</v>
      </c>
      <c r="D1462">
        <f>0</f>
        <v>0</v>
      </c>
      <c r="E1462">
        <f>650532227/10^6</f>
        <v>650.53222700000003</v>
      </c>
      <c r="F1462">
        <f>0</f>
        <v>0</v>
      </c>
      <c r="G1462">
        <f>232016296/10^6</f>
        <v>232.01629600000001</v>
      </c>
      <c r="H1462">
        <f>0</f>
        <v>0</v>
      </c>
      <c r="I1462">
        <f>-39052994/10^6</f>
        <v>-39.052993999999998</v>
      </c>
      <c r="J1462">
        <f>0</f>
        <v>0</v>
      </c>
    </row>
    <row r="1463" spans="1:10" x14ac:dyDescent="0.25">
      <c r="A1463" t="s">
        <v>1472</v>
      </c>
      <c r="B1463" t="s">
        <v>11</v>
      </c>
      <c r="C1463">
        <v>121.151875</v>
      </c>
      <c r="D1463">
        <f>0</f>
        <v>0</v>
      </c>
      <c r="E1463">
        <f>650363464/10^6</f>
        <v>650.36346400000002</v>
      </c>
      <c r="F1463">
        <f>0</f>
        <v>0</v>
      </c>
      <c r="G1463">
        <f>232016098/10^6</f>
        <v>232.016098</v>
      </c>
      <c r="H1463">
        <f>0</f>
        <v>0</v>
      </c>
      <c r="I1463">
        <f>-38888474/10^6</f>
        <v>-38.888474000000002</v>
      </c>
      <c r="J1463">
        <f>0</f>
        <v>0</v>
      </c>
    </row>
    <row r="1464" spans="1:10" x14ac:dyDescent="0.25">
      <c r="A1464" t="s">
        <v>1473</v>
      </c>
      <c r="B1464" t="s">
        <v>11</v>
      </c>
      <c r="C1464">
        <v>121.093710938</v>
      </c>
      <c r="D1464">
        <f>0</f>
        <v>0</v>
      </c>
      <c r="E1464">
        <f>650771179/10^6</f>
        <v>650.77117899999996</v>
      </c>
      <c r="F1464">
        <f>0</f>
        <v>0</v>
      </c>
      <c r="G1464">
        <f>232010178/10^6</f>
        <v>232.010178</v>
      </c>
      <c r="H1464">
        <f>0</f>
        <v>0</v>
      </c>
      <c r="I1464">
        <f>-38897778/10^6</f>
        <v>-38.897778000000002</v>
      </c>
      <c r="J1464">
        <f>0</f>
        <v>0</v>
      </c>
    </row>
    <row r="1465" spans="1:10" x14ac:dyDescent="0.25">
      <c r="A1465" t="s">
        <v>1474</v>
      </c>
      <c r="B1465" t="s">
        <v>11</v>
      </c>
      <c r="C1465">
        <v>120.983203125</v>
      </c>
      <c r="D1465">
        <f>0</f>
        <v>0</v>
      </c>
      <c r="E1465">
        <f>651360352/10^6</f>
        <v>651.36035200000003</v>
      </c>
      <c r="F1465">
        <f>0</f>
        <v>0</v>
      </c>
      <c r="G1465">
        <f>231997147/10^6</f>
        <v>231.99714700000001</v>
      </c>
      <c r="H1465">
        <f>0</f>
        <v>0</v>
      </c>
      <c r="I1465">
        <f>-39062744/10^6</f>
        <v>-39.062744000000002</v>
      </c>
      <c r="J1465">
        <f>0</f>
        <v>0</v>
      </c>
    </row>
    <row r="1466" spans="1:10" x14ac:dyDescent="0.25">
      <c r="A1466" t="s">
        <v>1475</v>
      </c>
      <c r="B1466" t="s">
        <v>11</v>
      </c>
      <c r="C1466">
        <v>0</v>
      </c>
      <c r="D1466">
        <f>2</f>
        <v>2</v>
      </c>
      <c r="F1466">
        <f>2</f>
        <v>2</v>
      </c>
      <c r="H1466">
        <f>2</f>
        <v>2</v>
      </c>
      <c r="J1466">
        <f>2</f>
        <v>2</v>
      </c>
    </row>
    <row r="1467" spans="1:10" x14ac:dyDescent="0.25">
      <c r="A1467" t="s">
        <v>1476</v>
      </c>
      <c r="B1467" t="s">
        <v>11</v>
      </c>
      <c r="C1467">
        <v>120.635710938</v>
      </c>
      <c r="D1467">
        <f>0</f>
        <v>0</v>
      </c>
      <c r="E1467">
        <f>653340637/10^6</f>
        <v>653.34063700000002</v>
      </c>
      <c r="F1467">
        <f>0</f>
        <v>0</v>
      </c>
      <c r="G1467">
        <f>231949295/10^6</f>
        <v>231.94929500000001</v>
      </c>
      <c r="H1467">
        <f>0</f>
        <v>0</v>
      </c>
      <c r="I1467">
        <f>-39319469/10^6</f>
        <v>-39.319468999999998</v>
      </c>
      <c r="J1467">
        <f>0</f>
        <v>0</v>
      </c>
    </row>
    <row r="1468" spans="1:10" x14ac:dyDescent="0.25">
      <c r="A1468" t="s">
        <v>1477</v>
      </c>
      <c r="B1468" t="s">
        <v>11</v>
      </c>
      <c r="C1468">
        <v>120.438109375</v>
      </c>
      <c r="D1468">
        <f>0</f>
        <v>0</v>
      </c>
      <c r="E1468">
        <f>654394165/10^6</f>
        <v>654.39416500000004</v>
      </c>
      <c r="F1468">
        <f>0</f>
        <v>0</v>
      </c>
      <c r="G1468">
        <f>231923996/10^6</f>
        <v>231.92399599999999</v>
      </c>
      <c r="H1468">
        <f>0</f>
        <v>0</v>
      </c>
      <c r="I1468">
        <f>-39412209/10^6</f>
        <v>-39.412208999999997</v>
      </c>
      <c r="J1468">
        <f>0</f>
        <v>0</v>
      </c>
    </row>
    <row r="1469" spans="1:10" x14ac:dyDescent="0.25">
      <c r="A1469" t="s">
        <v>1478</v>
      </c>
      <c r="B1469" t="s">
        <v>11</v>
      </c>
      <c r="C1469">
        <v>120.261476563</v>
      </c>
      <c r="D1469">
        <f>0</f>
        <v>0</v>
      </c>
      <c r="E1469">
        <f>65526001/10^5</f>
        <v>655.26000999999997</v>
      </c>
      <c r="F1469">
        <f>0</f>
        <v>0</v>
      </c>
      <c r="G1469">
        <f>231887161/10^6</f>
        <v>231.88716099999999</v>
      </c>
      <c r="H1469">
        <f>0</f>
        <v>0</v>
      </c>
      <c r="I1469">
        <f>-3938213/10^5</f>
        <v>-39.382129999999997</v>
      </c>
      <c r="J1469">
        <f>0</f>
        <v>0</v>
      </c>
    </row>
    <row r="1470" spans="1:10" x14ac:dyDescent="0.25">
      <c r="A1470" t="s">
        <v>1479</v>
      </c>
      <c r="B1470" t="s">
        <v>11</v>
      </c>
      <c r="C1470">
        <v>120.099773438</v>
      </c>
      <c r="D1470">
        <f>0</f>
        <v>0</v>
      </c>
      <c r="E1470">
        <f>656213379/10^6</f>
        <v>656.21337900000003</v>
      </c>
      <c r="F1470">
        <f>0</f>
        <v>0</v>
      </c>
      <c r="G1470">
        <f>231857315/10^6</f>
        <v>231.857315</v>
      </c>
      <c r="H1470">
        <f>0</f>
        <v>0</v>
      </c>
      <c r="I1470">
        <f>-39484722/10^6</f>
        <v>-39.484721999999998</v>
      </c>
      <c r="J1470">
        <f>0</f>
        <v>0</v>
      </c>
    </row>
    <row r="1471" spans="1:10" x14ac:dyDescent="0.25">
      <c r="A1471" t="s">
        <v>1480</v>
      </c>
      <c r="B1471" t="s">
        <v>11</v>
      </c>
      <c r="C1471">
        <v>119.940820313</v>
      </c>
      <c r="D1471">
        <f>0</f>
        <v>0</v>
      </c>
      <c r="E1471">
        <f>657010437/10^6</f>
        <v>657.01043700000002</v>
      </c>
      <c r="F1471">
        <f>0</f>
        <v>0</v>
      </c>
      <c r="G1471">
        <f>231835785/10^6</f>
        <v>231.83578499999999</v>
      </c>
      <c r="H1471">
        <f>0</f>
        <v>0</v>
      </c>
      <c r="I1471">
        <f>-3949596/10^5</f>
        <v>-39.495959999999997</v>
      </c>
      <c r="J1471">
        <f>0</f>
        <v>0</v>
      </c>
    </row>
    <row r="1472" spans="1:10" x14ac:dyDescent="0.25">
      <c r="A1472" t="s">
        <v>1481</v>
      </c>
      <c r="B1472" t="s">
        <v>11</v>
      </c>
      <c r="C1472">
        <v>119.777742188</v>
      </c>
      <c r="D1472">
        <f>0</f>
        <v>0</v>
      </c>
      <c r="E1472">
        <f>657913574/10^6</f>
        <v>657.91357400000004</v>
      </c>
      <c r="F1472">
        <f>0</f>
        <v>0</v>
      </c>
      <c r="G1472">
        <f>231805923/10^6</f>
        <v>231.80592300000001</v>
      </c>
      <c r="H1472">
        <f>0</f>
        <v>0</v>
      </c>
      <c r="I1472">
        <f>-39632793/10^6</f>
        <v>-39.632792999999999</v>
      </c>
      <c r="J1472">
        <f>0</f>
        <v>0</v>
      </c>
    </row>
    <row r="1473" spans="1:10" x14ac:dyDescent="0.25">
      <c r="A1473" t="s">
        <v>1482</v>
      </c>
      <c r="B1473" t="s">
        <v>11</v>
      </c>
      <c r="C1473">
        <v>119.62917968800001</v>
      </c>
      <c r="D1473">
        <f>0</f>
        <v>0</v>
      </c>
      <c r="E1473">
        <f>658789001/10^6</f>
        <v>658.78900099999998</v>
      </c>
      <c r="F1473">
        <f>0</f>
        <v>0</v>
      </c>
      <c r="G1473">
        <f>231778244/10^6</f>
        <v>231.778244</v>
      </c>
      <c r="H1473">
        <f>0</f>
        <v>0</v>
      </c>
      <c r="I1473">
        <f>-39876583/10^6</f>
        <v>-39.876582999999997</v>
      </c>
      <c r="J1473">
        <f>0</f>
        <v>0</v>
      </c>
    </row>
    <row r="1474" spans="1:10" x14ac:dyDescent="0.25">
      <c r="A1474" t="s">
        <v>1483</v>
      </c>
      <c r="B1474" t="s">
        <v>11</v>
      </c>
      <c r="C1474">
        <v>119.492140625</v>
      </c>
      <c r="D1474">
        <f>0</f>
        <v>0</v>
      </c>
      <c r="E1474">
        <f>659389648/10^6</f>
        <v>659.38964799999997</v>
      </c>
      <c r="F1474">
        <f>0</f>
        <v>0</v>
      </c>
      <c r="G1474">
        <f>231746017/10^6</f>
        <v>231.74601699999999</v>
      </c>
      <c r="H1474">
        <f>0</f>
        <v>0</v>
      </c>
      <c r="I1474">
        <f>-39879009/10^6</f>
        <v>-39.879009000000003</v>
      </c>
      <c r="J1474">
        <f>0</f>
        <v>0</v>
      </c>
    </row>
    <row r="1475" spans="1:10" x14ac:dyDescent="0.25">
      <c r="A1475" t="s">
        <v>1484</v>
      </c>
      <c r="B1475" t="s">
        <v>11</v>
      </c>
      <c r="C1475">
        <v>119.34303906300001</v>
      </c>
      <c r="D1475">
        <f>0</f>
        <v>0</v>
      </c>
      <c r="E1475">
        <f>660147095/10^6</f>
        <v>660.14709500000004</v>
      </c>
      <c r="F1475">
        <f>0</f>
        <v>0</v>
      </c>
      <c r="G1475">
        <f>231721436/10^6</f>
        <v>231.72143600000001</v>
      </c>
      <c r="H1475">
        <f>0</f>
        <v>0</v>
      </c>
      <c r="I1475">
        <f>-39802315/10^6</f>
        <v>-39.802315</v>
      </c>
      <c r="J1475">
        <f>0</f>
        <v>0</v>
      </c>
    </row>
    <row r="1476" spans="1:10" x14ac:dyDescent="0.25">
      <c r="A1476" t="s">
        <v>1485</v>
      </c>
      <c r="B1476" t="s">
        <v>11</v>
      </c>
      <c r="C1476">
        <v>119.175398438</v>
      </c>
      <c r="D1476">
        <f>0</f>
        <v>0</v>
      </c>
      <c r="E1476">
        <f>661157898/10^6</f>
        <v>661.15789800000005</v>
      </c>
      <c r="F1476">
        <f>0</f>
        <v>0</v>
      </c>
      <c r="G1476">
        <f>231703491/10^6</f>
        <v>231.70349100000001</v>
      </c>
      <c r="H1476">
        <f>0</f>
        <v>0</v>
      </c>
      <c r="I1476">
        <f>-39931751/10^6</f>
        <v>-39.931750999999998</v>
      </c>
      <c r="J1476">
        <f>0</f>
        <v>0</v>
      </c>
    </row>
    <row r="1477" spans="1:10" x14ac:dyDescent="0.25">
      <c r="A1477" t="s">
        <v>1486</v>
      </c>
      <c r="B1477" t="s">
        <v>11</v>
      </c>
      <c r="C1477">
        <v>119.004648438</v>
      </c>
      <c r="D1477">
        <f>0</f>
        <v>0</v>
      </c>
      <c r="E1477">
        <f>662140747/10^6</f>
        <v>662.14074700000003</v>
      </c>
      <c r="F1477">
        <f>0</f>
        <v>0</v>
      </c>
      <c r="G1477">
        <f>231684937/10^6</f>
        <v>231.68493699999999</v>
      </c>
      <c r="H1477">
        <f>0</f>
        <v>0</v>
      </c>
      <c r="I1477">
        <f>-40100113/10^6</f>
        <v>-40.100113</v>
      </c>
      <c r="J1477">
        <f>0</f>
        <v>0</v>
      </c>
    </row>
    <row r="1478" spans="1:10" x14ac:dyDescent="0.25">
      <c r="A1478" t="s">
        <v>1487</v>
      </c>
      <c r="B1478" t="s">
        <v>11</v>
      </c>
      <c r="C1478">
        <v>118.850984375</v>
      </c>
      <c r="D1478">
        <f>0</f>
        <v>0</v>
      </c>
      <c r="E1478">
        <f>662904053/10^6</f>
        <v>662.90405299999998</v>
      </c>
      <c r="F1478">
        <f>0</f>
        <v>0</v>
      </c>
      <c r="G1478">
        <f>231664948/10^6</f>
        <v>231.66494800000001</v>
      </c>
      <c r="H1478">
        <f>0</f>
        <v>0</v>
      </c>
      <c r="I1478">
        <f>-40072514/10^6</f>
        <v>-40.072513999999998</v>
      </c>
      <c r="J1478">
        <f>0</f>
        <v>0</v>
      </c>
    </row>
    <row r="1479" spans="1:10" x14ac:dyDescent="0.25">
      <c r="A1479" t="s">
        <v>1488</v>
      </c>
      <c r="B1479" t="s">
        <v>11</v>
      </c>
      <c r="C1479">
        <v>118.69663281300001</v>
      </c>
      <c r="D1479">
        <f>0</f>
        <v>0</v>
      </c>
      <c r="E1479">
        <f>663768311/10^6</f>
        <v>663.76831100000004</v>
      </c>
      <c r="F1479">
        <f>0</f>
        <v>0</v>
      </c>
      <c r="G1479">
        <f>231645065/10^6</f>
        <v>231.64506499999999</v>
      </c>
      <c r="H1479">
        <f>0</f>
        <v>0</v>
      </c>
      <c r="I1479">
        <f>-40224758/10^6</f>
        <v>-40.224758000000001</v>
      </c>
      <c r="J1479">
        <f>0</f>
        <v>0</v>
      </c>
    </row>
    <row r="1480" spans="1:10" x14ac:dyDescent="0.25">
      <c r="A1480" t="s">
        <v>1489</v>
      </c>
      <c r="B1480" t="s">
        <v>11</v>
      </c>
      <c r="C1480">
        <v>0</v>
      </c>
      <c r="D1480">
        <f>2</f>
        <v>2</v>
      </c>
      <c r="F1480">
        <f>2</f>
        <v>2</v>
      </c>
      <c r="H1480">
        <f>2</f>
        <v>2</v>
      </c>
      <c r="J1480">
        <f>2</f>
        <v>2</v>
      </c>
    </row>
    <row r="1481" spans="1:10" x14ac:dyDescent="0.25">
      <c r="A1481" t="s">
        <v>1490</v>
      </c>
      <c r="B1481" t="s">
        <v>11</v>
      </c>
      <c r="C1481">
        <v>118.383460938</v>
      </c>
      <c r="D1481">
        <f>0</f>
        <v>0</v>
      </c>
      <c r="E1481">
        <f>665596252/10^6</f>
        <v>665.59625200000005</v>
      </c>
      <c r="F1481">
        <f>0</f>
        <v>0</v>
      </c>
      <c r="G1481">
        <f>231619324/10^6</f>
        <v>231.61932400000001</v>
      </c>
      <c r="H1481">
        <f>0</f>
        <v>0</v>
      </c>
      <c r="I1481">
        <f>-40430599/10^6</f>
        <v>-40.430599000000001</v>
      </c>
      <c r="J1481">
        <f>0</f>
        <v>0</v>
      </c>
    </row>
    <row r="1482" spans="1:10" x14ac:dyDescent="0.25">
      <c r="A1482" t="s">
        <v>1491</v>
      </c>
      <c r="B1482" t="s">
        <v>11</v>
      </c>
      <c r="C1482">
        <v>118.226640625</v>
      </c>
      <c r="D1482">
        <f>0</f>
        <v>0</v>
      </c>
      <c r="E1482">
        <f>666452393/10^6</f>
        <v>666.45239300000003</v>
      </c>
      <c r="F1482">
        <f>0</f>
        <v>0</v>
      </c>
      <c r="G1482">
        <f>23159462/10^5</f>
        <v>231.59461999999999</v>
      </c>
      <c r="H1482">
        <f>0</f>
        <v>0</v>
      </c>
      <c r="I1482">
        <f>-40516033/10^6</f>
        <v>-40.516033</v>
      </c>
      <c r="J1482">
        <f>0</f>
        <v>0</v>
      </c>
    </row>
    <row r="1483" spans="1:10" x14ac:dyDescent="0.25">
      <c r="A1483" t="s">
        <v>1492</v>
      </c>
      <c r="B1483" t="s">
        <v>11</v>
      </c>
      <c r="C1483">
        <v>0</v>
      </c>
      <c r="D1483">
        <f>2</f>
        <v>2</v>
      </c>
      <c r="F1483">
        <f>2</f>
        <v>2</v>
      </c>
      <c r="H1483">
        <f>2</f>
        <v>2</v>
      </c>
      <c r="J1483">
        <f>2</f>
        <v>2</v>
      </c>
    </row>
    <row r="1484" spans="1:10" x14ac:dyDescent="0.25">
      <c r="A1484" t="s">
        <v>1493</v>
      </c>
      <c r="B1484" t="s">
        <v>11</v>
      </c>
      <c r="C1484">
        <v>117.909859375</v>
      </c>
      <c r="D1484">
        <f>0</f>
        <v>0</v>
      </c>
      <c r="E1484">
        <f>668383972/10^6</f>
        <v>668.38397199999997</v>
      </c>
      <c r="F1484">
        <f>0</f>
        <v>0</v>
      </c>
      <c r="G1484">
        <f>231583237/10^6</f>
        <v>231.583237</v>
      </c>
      <c r="H1484">
        <f>0</f>
        <v>0</v>
      </c>
      <c r="I1484">
        <f>-40909931/10^6</f>
        <v>-40.909931</v>
      </c>
      <c r="J1484">
        <f>0</f>
        <v>0</v>
      </c>
    </row>
    <row r="1485" spans="1:10" x14ac:dyDescent="0.25">
      <c r="A1485" t="s">
        <v>1494</v>
      </c>
      <c r="B1485" t="s">
        <v>11</v>
      </c>
      <c r="C1485">
        <v>117.72309375</v>
      </c>
      <c r="D1485">
        <f>0</f>
        <v>0</v>
      </c>
      <c r="E1485">
        <f>66936261/10^5</f>
        <v>669.36261000000002</v>
      </c>
      <c r="F1485">
        <f>0</f>
        <v>0</v>
      </c>
      <c r="G1485">
        <f>231545914/10^6</f>
        <v>231.54591400000001</v>
      </c>
      <c r="H1485">
        <f>0</f>
        <v>0</v>
      </c>
      <c r="I1485">
        <f>-40831348/10^6</f>
        <v>-40.831347999999998</v>
      </c>
      <c r="J1485">
        <f>0</f>
        <v>0</v>
      </c>
    </row>
    <row r="1486" spans="1:10" x14ac:dyDescent="0.25">
      <c r="A1486" t="s">
        <v>1495</v>
      </c>
      <c r="B1486" t="s">
        <v>11</v>
      </c>
      <c r="C1486">
        <v>117.504</v>
      </c>
      <c r="D1486">
        <f>0</f>
        <v>0</v>
      </c>
      <c r="E1486">
        <f>670707703/10^6</f>
        <v>670.70770300000004</v>
      </c>
      <c r="F1486">
        <f>0</f>
        <v>0</v>
      </c>
      <c r="G1486">
        <f>23151387/10^5</f>
        <v>231.51387</v>
      </c>
      <c r="H1486">
        <f>0</f>
        <v>0</v>
      </c>
      <c r="I1486">
        <f>-41062778/10^6</f>
        <v>-41.062778000000002</v>
      </c>
      <c r="J1486">
        <f>0</f>
        <v>0</v>
      </c>
    </row>
    <row r="1487" spans="1:10" x14ac:dyDescent="0.25">
      <c r="A1487" t="s">
        <v>1496</v>
      </c>
      <c r="B1487" t="s">
        <v>11</v>
      </c>
      <c r="C1487">
        <v>117.234460938</v>
      </c>
      <c r="D1487">
        <f>0</f>
        <v>0</v>
      </c>
      <c r="E1487">
        <f>672205933/10^6</f>
        <v>672.20593299999996</v>
      </c>
      <c r="F1487">
        <f>0</f>
        <v>0</v>
      </c>
      <c r="G1487">
        <f>231483902/10^6</f>
        <v>231.483902</v>
      </c>
      <c r="H1487">
        <f>0</f>
        <v>0</v>
      </c>
      <c r="I1487">
        <f>-41217033/10^6</f>
        <v>-41.217033000000001</v>
      </c>
      <c r="J1487">
        <f>0</f>
        <v>0</v>
      </c>
    </row>
    <row r="1488" spans="1:10" x14ac:dyDescent="0.25">
      <c r="A1488" t="s">
        <v>1497</v>
      </c>
      <c r="B1488" t="s">
        <v>11</v>
      </c>
      <c r="C1488">
        <v>116.903898438</v>
      </c>
      <c r="D1488">
        <f>0</f>
        <v>0</v>
      </c>
      <c r="E1488">
        <f>674050598/10^6</f>
        <v>674.05059800000004</v>
      </c>
      <c r="F1488">
        <f>0</f>
        <v>0</v>
      </c>
      <c r="G1488">
        <f>23142598/10^5</f>
        <v>231.42598000000001</v>
      </c>
      <c r="H1488">
        <f>0</f>
        <v>0</v>
      </c>
      <c r="I1488">
        <f>-4138625/10^5</f>
        <v>-41.386249999999997</v>
      </c>
      <c r="J1488">
        <f>0</f>
        <v>0</v>
      </c>
    </row>
    <row r="1489" spans="1:10" x14ac:dyDescent="0.25">
      <c r="A1489" t="s">
        <v>1498</v>
      </c>
      <c r="B1489" t="s">
        <v>11</v>
      </c>
      <c r="C1489">
        <v>116.56015625000001</v>
      </c>
      <c r="D1489">
        <f>0</f>
        <v>0</v>
      </c>
      <c r="E1489">
        <f>676186462/10^6</f>
        <v>676.18646200000001</v>
      </c>
      <c r="F1489">
        <f>0</f>
        <v>0</v>
      </c>
      <c r="G1489">
        <f>231375992/10^6</f>
        <v>231.375992</v>
      </c>
      <c r="H1489">
        <f>0</f>
        <v>0</v>
      </c>
      <c r="I1489">
        <f>-4175983/10^5</f>
        <v>-41.759830000000001</v>
      </c>
      <c r="J1489">
        <f>0</f>
        <v>0</v>
      </c>
    </row>
    <row r="1490" spans="1:10" x14ac:dyDescent="0.25">
      <c r="A1490" t="s">
        <v>1499</v>
      </c>
      <c r="B1490" t="s">
        <v>11</v>
      </c>
      <c r="C1490">
        <v>116.26199218800001</v>
      </c>
      <c r="D1490">
        <f>0</f>
        <v>0</v>
      </c>
      <c r="E1490">
        <f>677927612/10^6</f>
        <v>677.92761199999995</v>
      </c>
      <c r="F1490">
        <f>0</f>
        <v>0</v>
      </c>
      <c r="G1490">
        <f>231334747/10^6</f>
        <v>231.33474699999999</v>
      </c>
      <c r="H1490">
        <f>0</f>
        <v>0</v>
      </c>
      <c r="I1490">
        <f>-42034264/10^6</f>
        <v>-42.034264</v>
      </c>
      <c r="J1490">
        <f>0</f>
        <v>0</v>
      </c>
    </row>
    <row r="1491" spans="1:10" x14ac:dyDescent="0.25">
      <c r="A1491" t="s">
        <v>1500</v>
      </c>
      <c r="B1491" t="s">
        <v>11</v>
      </c>
      <c r="C1491">
        <v>116.026578125</v>
      </c>
      <c r="D1491">
        <f>0</f>
        <v>0</v>
      </c>
      <c r="E1491">
        <f>679209778/10^6</f>
        <v>679.20977800000003</v>
      </c>
      <c r="F1491">
        <f>0</f>
        <v>0</v>
      </c>
      <c r="G1491">
        <f>231280609/10^6</f>
        <v>231.280609</v>
      </c>
      <c r="H1491">
        <f>0</f>
        <v>0</v>
      </c>
      <c r="I1491">
        <f>-42207329/10^6</f>
        <v>-42.207329000000001</v>
      </c>
      <c r="J1491">
        <f>0</f>
        <v>0</v>
      </c>
    </row>
    <row r="1492" spans="1:10" x14ac:dyDescent="0.25">
      <c r="A1492" t="s">
        <v>1501</v>
      </c>
      <c r="B1492" t="s">
        <v>11</v>
      </c>
      <c r="C1492">
        <v>115.85161718800001</v>
      </c>
      <c r="D1492">
        <f>0</f>
        <v>0</v>
      </c>
      <c r="E1492">
        <f>680134949/10^6</f>
        <v>680.13494900000001</v>
      </c>
      <c r="F1492">
        <f>0</f>
        <v>0</v>
      </c>
      <c r="G1492">
        <f>231218216/10^6</f>
        <v>231.21821600000001</v>
      </c>
      <c r="H1492">
        <f>0</f>
        <v>0</v>
      </c>
      <c r="I1492">
        <f>-42283417/10^6</f>
        <v>-42.283417</v>
      </c>
      <c r="J1492">
        <f>0</f>
        <v>0</v>
      </c>
    </row>
    <row r="1493" spans="1:10" x14ac:dyDescent="0.25">
      <c r="A1493" t="s">
        <v>1502</v>
      </c>
      <c r="B1493" t="s">
        <v>11</v>
      </c>
      <c r="C1493">
        <v>115.71385156300001</v>
      </c>
      <c r="D1493">
        <f>0</f>
        <v>0</v>
      </c>
      <c r="E1493">
        <f>680661621/10^6</f>
        <v>680.66162099999997</v>
      </c>
      <c r="F1493">
        <f>0</f>
        <v>0</v>
      </c>
      <c r="G1493">
        <f>231129486/10^6</f>
        <v>231.12948600000001</v>
      </c>
      <c r="H1493">
        <f>0</f>
        <v>0</v>
      </c>
      <c r="I1493">
        <f>-42194576/10^6</f>
        <v>-42.194575999999998</v>
      </c>
      <c r="J1493">
        <f>0</f>
        <v>0</v>
      </c>
    </row>
    <row r="1494" spans="1:10" x14ac:dyDescent="0.25">
      <c r="A1494" t="s">
        <v>1503</v>
      </c>
      <c r="B1494" t="s">
        <v>11</v>
      </c>
      <c r="C1494">
        <v>115.54996875000001</v>
      </c>
      <c r="D1494">
        <f>0</f>
        <v>0</v>
      </c>
      <c r="E1494">
        <f>681426819/10^6</f>
        <v>681.42681900000002</v>
      </c>
      <c r="F1494">
        <f>0</f>
        <v>0</v>
      </c>
      <c r="G1494">
        <f>231035065/10^6</f>
        <v>231.035065</v>
      </c>
      <c r="H1494">
        <f>0</f>
        <v>0</v>
      </c>
      <c r="I1494">
        <f>-42284336/10^6</f>
        <v>-42.284336000000003</v>
      </c>
      <c r="J1494">
        <f>0</f>
        <v>0</v>
      </c>
    </row>
    <row r="1495" spans="1:10" x14ac:dyDescent="0.25">
      <c r="A1495" t="s">
        <v>1504</v>
      </c>
      <c r="B1495" t="s">
        <v>11</v>
      </c>
      <c r="C1495">
        <v>115.42378125</v>
      </c>
      <c r="D1495">
        <f>0</f>
        <v>0</v>
      </c>
      <c r="E1495">
        <f>682259338/10^6</f>
        <v>682.25933799999996</v>
      </c>
      <c r="F1495">
        <f>0</f>
        <v>0</v>
      </c>
      <c r="G1495">
        <f>230997742/10^6</f>
        <v>230.99774199999999</v>
      </c>
      <c r="H1495">
        <f>0</f>
        <v>0</v>
      </c>
      <c r="I1495">
        <f>-42683369/10^6</f>
        <v>-42.683368999999999</v>
      </c>
      <c r="J1495">
        <f>0</f>
        <v>0</v>
      </c>
    </row>
    <row r="1496" spans="1:10" x14ac:dyDescent="0.25">
      <c r="A1496" t="s">
        <v>1505</v>
      </c>
      <c r="B1496" t="s">
        <v>11</v>
      </c>
      <c r="C1496">
        <v>115.392578125</v>
      </c>
      <c r="D1496">
        <f>0</f>
        <v>0</v>
      </c>
      <c r="E1496">
        <f>682633545/10^6</f>
        <v>682.63354500000003</v>
      </c>
      <c r="F1496">
        <f>0</f>
        <v>0</v>
      </c>
      <c r="G1496">
        <f>231047318/10^6</f>
        <v>231.04731799999999</v>
      </c>
      <c r="H1496">
        <f>0</f>
        <v>0</v>
      </c>
      <c r="I1496">
        <f>-42800877/10^6</f>
        <v>-42.800877</v>
      </c>
      <c r="J1496">
        <f>0</f>
        <v>0</v>
      </c>
    </row>
    <row r="1497" spans="1:10" x14ac:dyDescent="0.25">
      <c r="A1497" t="s">
        <v>1506</v>
      </c>
      <c r="B1497" t="s">
        <v>11</v>
      </c>
      <c r="C1497">
        <v>115.33278906300001</v>
      </c>
      <c r="D1497">
        <f>0</f>
        <v>0</v>
      </c>
      <c r="E1497">
        <f>683130554/10^6</f>
        <v>683.13055399999996</v>
      </c>
      <c r="F1497">
        <f>0</f>
        <v>0</v>
      </c>
      <c r="G1497">
        <f>23111142/10^5</f>
        <v>231.11142000000001</v>
      </c>
      <c r="H1497">
        <f>0</f>
        <v>0</v>
      </c>
      <c r="I1497">
        <f>-42723122/10^6</f>
        <v>-42.723121999999996</v>
      </c>
      <c r="J1497">
        <f>0</f>
        <v>0</v>
      </c>
    </row>
    <row r="1498" spans="1:10" x14ac:dyDescent="0.25">
      <c r="A1498" t="s">
        <v>1507</v>
      </c>
      <c r="B1498" t="s">
        <v>11</v>
      </c>
      <c r="C1498">
        <v>115.19987500000001</v>
      </c>
      <c r="D1498">
        <f>0</f>
        <v>0</v>
      </c>
      <c r="E1498">
        <f>683579773/10^6</f>
        <v>683.57977300000005</v>
      </c>
      <c r="F1498">
        <f>0</f>
        <v>0</v>
      </c>
      <c r="G1498">
        <f>230997452/10^6</f>
        <v>230.99745200000001</v>
      </c>
      <c r="H1498">
        <f>0</f>
        <v>0</v>
      </c>
      <c r="I1498">
        <f>-42758217/10^6</f>
        <v>-42.758217000000002</v>
      </c>
      <c r="J1498">
        <f>0</f>
        <v>0</v>
      </c>
    </row>
    <row r="1499" spans="1:10" x14ac:dyDescent="0.25">
      <c r="A1499" t="s">
        <v>1508</v>
      </c>
      <c r="B1499" t="s">
        <v>11</v>
      </c>
      <c r="C1499">
        <v>115.076492188</v>
      </c>
      <c r="D1499">
        <f>0</f>
        <v>0</v>
      </c>
      <c r="E1499">
        <f>683946289/10^6</f>
        <v>683.94628899999998</v>
      </c>
      <c r="F1499">
        <f>0</f>
        <v>0</v>
      </c>
      <c r="G1499">
        <f>230819504/10^6</f>
        <v>230.81950399999999</v>
      </c>
      <c r="H1499">
        <f>0</f>
        <v>0</v>
      </c>
      <c r="I1499">
        <f>-42937817/10^6</f>
        <v>-42.937817000000003</v>
      </c>
      <c r="J1499">
        <f>0</f>
        <v>0</v>
      </c>
    </row>
    <row r="1500" spans="1:10" x14ac:dyDescent="0.25">
      <c r="A1500" t="s">
        <v>1509</v>
      </c>
      <c r="B1500" t="s">
        <v>11</v>
      </c>
      <c r="C1500">
        <v>114.99603125</v>
      </c>
      <c r="D1500">
        <f>0</f>
        <v>0</v>
      </c>
      <c r="E1500">
        <f>6845849/10^4</f>
        <v>684.58489999999995</v>
      </c>
      <c r="F1500">
        <f>0</f>
        <v>0</v>
      </c>
      <c r="G1500">
        <f>230830673/10^6</f>
        <v>230.83067299999999</v>
      </c>
      <c r="H1500">
        <f>0</f>
        <v>0</v>
      </c>
      <c r="I1500">
        <f>-43136185/10^6</f>
        <v>-43.136184999999998</v>
      </c>
      <c r="J1500">
        <f>0</f>
        <v>0</v>
      </c>
    </row>
    <row r="1501" spans="1:10" x14ac:dyDescent="0.25">
      <c r="A1501" t="s">
        <v>1510</v>
      </c>
      <c r="B1501" t="s">
        <v>11</v>
      </c>
      <c r="C1501">
        <v>114.934164063</v>
      </c>
      <c r="D1501">
        <f>0</f>
        <v>0</v>
      </c>
      <c r="E1501">
        <f>685140747/10^6</f>
        <v>685.14074700000003</v>
      </c>
      <c r="F1501">
        <f>0</f>
        <v>0</v>
      </c>
      <c r="G1501">
        <f>230905411/10^6</f>
        <v>230.90541099999999</v>
      </c>
      <c r="H1501">
        <f>0</f>
        <v>0</v>
      </c>
      <c r="I1501">
        <f>-43086647/10^6</f>
        <v>-43.086646999999999</v>
      </c>
      <c r="J1501">
        <f>0</f>
        <v>0</v>
      </c>
    </row>
    <row r="1502" spans="1:10" x14ac:dyDescent="0.25">
      <c r="A1502" t="s">
        <v>1511</v>
      </c>
      <c r="B1502" t="s">
        <v>11</v>
      </c>
      <c r="C1502">
        <v>114.89209375</v>
      </c>
      <c r="D1502">
        <f>0</f>
        <v>0</v>
      </c>
      <c r="E1502">
        <f>685165161/10^6</f>
        <v>685.16516100000001</v>
      </c>
      <c r="F1502">
        <f>0</f>
        <v>0</v>
      </c>
      <c r="G1502">
        <f>230826218/10^6</f>
        <v>230.82621800000001</v>
      </c>
      <c r="H1502">
        <f>0</f>
        <v>0</v>
      </c>
      <c r="I1502">
        <f>-4301384/10^5</f>
        <v>-43.013840000000002</v>
      </c>
      <c r="J1502">
        <f>0</f>
        <v>0</v>
      </c>
    </row>
    <row r="1503" spans="1:10" x14ac:dyDescent="0.25">
      <c r="A1503" t="s">
        <v>1512</v>
      </c>
      <c r="B1503" t="s">
        <v>11</v>
      </c>
      <c r="C1503">
        <v>114.89225</v>
      </c>
      <c r="D1503">
        <f>0</f>
        <v>0</v>
      </c>
      <c r="E1503">
        <f>684823792/10^6</f>
        <v>684.82379200000003</v>
      </c>
      <c r="F1503">
        <f>0</f>
        <v>0</v>
      </c>
      <c r="G1503">
        <f>230744293/10^6</f>
        <v>230.744293</v>
      </c>
      <c r="H1503">
        <f>0</f>
        <v>0</v>
      </c>
      <c r="I1503">
        <f>-4286655/10^5</f>
        <v>-42.866549999999997</v>
      </c>
      <c r="J1503">
        <f>0</f>
        <v>0</v>
      </c>
    </row>
    <row r="1504" spans="1:10" x14ac:dyDescent="0.25">
      <c r="A1504" t="s">
        <v>1513</v>
      </c>
      <c r="B1504" t="s">
        <v>11</v>
      </c>
      <c r="C1504">
        <v>114.90182812499999</v>
      </c>
      <c r="D1504">
        <f>0</f>
        <v>0</v>
      </c>
      <c r="E1504">
        <f>684928833/10^6</f>
        <v>684.92883300000005</v>
      </c>
      <c r="F1504">
        <f>0</f>
        <v>0</v>
      </c>
      <c r="G1504">
        <f>230795044/10^6</f>
        <v>230.79504399999999</v>
      </c>
      <c r="H1504">
        <f>0</f>
        <v>0</v>
      </c>
      <c r="I1504">
        <f>-42941841/10^6</f>
        <v>-42.941840999999997</v>
      </c>
      <c r="J1504">
        <f>0</f>
        <v>0</v>
      </c>
    </row>
    <row r="1505" spans="1:10" x14ac:dyDescent="0.25">
      <c r="A1505" t="s">
        <v>1514</v>
      </c>
      <c r="B1505" t="s">
        <v>11</v>
      </c>
      <c r="C1505">
        <v>114.89307031300001</v>
      </c>
      <c r="D1505">
        <f>0</f>
        <v>0</v>
      </c>
      <c r="E1505">
        <f>685302856/10^6</f>
        <v>685.30285600000002</v>
      </c>
      <c r="F1505">
        <f>0</f>
        <v>0</v>
      </c>
      <c r="G1505">
        <f>230858261/10^6</f>
        <v>230.858261</v>
      </c>
      <c r="H1505">
        <f>0</f>
        <v>0</v>
      </c>
      <c r="I1505">
        <f>-43158401/10^6</f>
        <v>-43.158400999999998</v>
      </c>
      <c r="J1505">
        <f>0</f>
        <v>0</v>
      </c>
    </row>
    <row r="1506" spans="1:10" x14ac:dyDescent="0.25">
      <c r="A1506" t="s">
        <v>1515</v>
      </c>
      <c r="B1506" t="s">
        <v>11</v>
      </c>
      <c r="C1506">
        <v>114.88999218800001</v>
      </c>
      <c r="D1506">
        <f>0</f>
        <v>0</v>
      </c>
      <c r="E1506">
        <f>685246826/10^6</f>
        <v>685.24682600000006</v>
      </c>
      <c r="F1506">
        <f>0</f>
        <v>0</v>
      </c>
      <c r="G1506">
        <f>230856049/10^6</f>
        <v>230.85604900000001</v>
      </c>
      <c r="H1506">
        <f>0</f>
        <v>0</v>
      </c>
      <c r="I1506">
        <f>-43049839/10^6</f>
        <v>-43.049838999999999</v>
      </c>
      <c r="J1506">
        <f>0</f>
        <v>0</v>
      </c>
    </row>
    <row r="1507" spans="1:10" x14ac:dyDescent="0.25">
      <c r="A1507" t="s">
        <v>1516</v>
      </c>
      <c r="B1507" t="s">
        <v>11</v>
      </c>
      <c r="C1507">
        <v>0</v>
      </c>
      <c r="D1507">
        <f>2</f>
        <v>2</v>
      </c>
      <c r="F1507">
        <f>2</f>
        <v>2</v>
      </c>
      <c r="H1507">
        <f>2</f>
        <v>2</v>
      </c>
      <c r="J1507">
        <f>2</f>
        <v>2</v>
      </c>
    </row>
    <row r="1508" spans="1:10" x14ac:dyDescent="0.25">
      <c r="A1508" t="s">
        <v>1517</v>
      </c>
      <c r="B1508" t="s">
        <v>11</v>
      </c>
      <c r="C1508">
        <v>114.92269531300001</v>
      </c>
      <c r="D1508">
        <f>0</f>
        <v>0</v>
      </c>
      <c r="E1508">
        <f>685071716/10^6</f>
        <v>685.07171600000004</v>
      </c>
      <c r="F1508">
        <f>0</f>
        <v>0</v>
      </c>
      <c r="G1508">
        <f>230814178/10^6</f>
        <v>230.814178</v>
      </c>
      <c r="H1508">
        <f>0</f>
        <v>0</v>
      </c>
      <c r="I1508">
        <f>-43253056/10^6</f>
        <v>-43.253056000000001</v>
      </c>
      <c r="J1508">
        <f>0</f>
        <v>0</v>
      </c>
    </row>
    <row r="1509" spans="1:10" x14ac:dyDescent="0.25">
      <c r="A1509" t="s">
        <v>1518</v>
      </c>
      <c r="B1509" t="s">
        <v>11</v>
      </c>
      <c r="C1509">
        <v>114.99089062500001</v>
      </c>
      <c r="D1509">
        <f>0</f>
        <v>0</v>
      </c>
      <c r="E1509">
        <f>68470459/10^5</f>
        <v>684.70459000000005</v>
      </c>
      <c r="F1509">
        <f>0</f>
        <v>0</v>
      </c>
      <c r="G1509">
        <f>230897903/10^6</f>
        <v>230.89790300000001</v>
      </c>
      <c r="H1509">
        <f>0</f>
        <v>0</v>
      </c>
      <c r="I1509">
        <f>-42952919/10^6</f>
        <v>-42.952919000000001</v>
      </c>
      <c r="J1509">
        <f>0</f>
        <v>0</v>
      </c>
    </row>
    <row r="1510" spans="1:10" x14ac:dyDescent="0.25">
      <c r="A1510" t="s">
        <v>1519</v>
      </c>
      <c r="B1510" t="s">
        <v>11</v>
      </c>
      <c r="C1510">
        <v>115.057070313</v>
      </c>
      <c r="D1510">
        <f>0</f>
        <v>0</v>
      </c>
      <c r="E1510">
        <f>684534302/10^6</f>
        <v>684.53430200000003</v>
      </c>
      <c r="F1510">
        <f>0</f>
        <v>0</v>
      </c>
      <c r="G1510">
        <f>230995071/10^6</f>
        <v>230.995071</v>
      </c>
      <c r="H1510">
        <f>0</f>
        <v>0</v>
      </c>
      <c r="I1510">
        <f>-42790607/10^6</f>
        <v>-42.790607000000001</v>
      </c>
      <c r="J1510">
        <f>0</f>
        <v>0</v>
      </c>
    </row>
    <row r="1511" spans="1:10" x14ac:dyDescent="0.25">
      <c r="A1511" t="s">
        <v>1520</v>
      </c>
      <c r="B1511" t="s">
        <v>11</v>
      </c>
      <c r="C1511">
        <v>115.115179688</v>
      </c>
      <c r="D1511">
        <f>0</f>
        <v>0</v>
      </c>
      <c r="E1511">
        <f>684193176/10^6</f>
        <v>684.19317599999999</v>
      </c>
      <c r="F1511">
        <f>0</f>
        <v>0</v>
      </c>
      <c r="G1511">
        <f>230988403/10^6</f>
        <v>230.98840300000001</v>
      </c>
      <c r="H1511">
        <f>0</f>
        <v>0</v>
      </c>
      <c r="I1511">
        <f>-4273283/10^5</f>
        <v>-42.73283</v>
      </c>
      <c r="J1511">
        <f>0</f>
        <v>0</v>
      </c>
    </row>
    <row r="1512" spans="1:10" x14ac:dyDescent="0.25">
      <c r="A1512" t="s">
        <v>1521</v>
      </c>
      <c r="B1512" t="s">
        <v>11</v>
      </c>
      <c r="C1512">
        <v>115.17329687500001</v>
      </c>
      <c r="D1512">
        <f>0</f>
        <v>0</v>
      </c>
      <c r="E1512">
        <f>683813171/10^6</f>
        <v>683.81317100000001</v>
      </c>
      <c r="F1512">
        <f>0</f>
        <v>0</v>
      </c>
      <c r="G1512">
        <f>230966537/10^6</f>
        <v>230.96653699999999</v>
      </c>
      <c r="H1512">
        <f>0</f>
        <v>0</v>
      </c>
      <c r="I1512">
        <f>-42880833/10^6</f>
        <v>-42.880833000000003</v>
      </c>
      <c r="J1512">
        <f>0</f>
        <v>0</v>
      </c>
    </row>
    <row r="1513" spans="1:10" x14ac:dyDescent="0.25">
      <c r="A1513" t="s">
        <v>1522</v>
      </c>
      <c r="B1513" t="s">
        <v>11</v>
      </c>
      <c r="C1513">
        <v>115.238601563</v>
      </c>
      <c r="D1513">
        <f>0</f>
        <v>0</v>
      </c>
      <c r="E1513">
        <f>683489746/10^6</f>
        <v>683.48974599999997</v>
      </c>
      <c r="F1513">
        <f>0</f>
        <v>0</v>
      </c>
      <c r="G1513">
        <f>230976089/10^6</f>
        <v>230.976089</v>
      </c>
      <c r="H1513">
        <f>0</f>
        <v>0</v>
      </c>
      <c r="I1513">
        <f>-43084518/10^6</f>
        <v>-43.084518000000003</v>
      </c>
      <c r="J1513">
        <f>0</f>
        <v>0</v>
      </c>
    </row>
    <row r="1514" spans="1:10" x14ac:dyDescent="0.25">
      <c r="A1514" t="s">
        <v>1523</v>
      </c>
      <c r="B1514" t="s">
        <v>11</v>
      </c>
      <c r="C1514">
        <v>115.336742188</v>
      </c>
      <c r="D1514">
        <f>0</f>
        <v>0</v>
      </c>
      <c r="E1514">
        <f>682930847/10^6</f>
        <v>682.93084699999997</v>
      </c>
      <c r="F1514">
        <f>0</f>
        <v>0</v>
      </c>
      <c r="G1514">
        <f>231025055/10^6</f>
        <v>231.02505500000001</v>
      </c>
      <c r="H1514">
        <f>0</f>
        <v>0</v>
      </c>
      <c r="I1514">
        <f>-42888409/10^6</f>
        <v>-42.888409000000003</v>
      </c>
      <c r="J1514">
        <f>0</f>
        <v>0</v>
      </c>
    </row>
    <row r="1515" spans="1:10" x14ac:dyDescent="0.25">
      <c r="A1515" t="s">
        <v>1524</v>
      </c>
      <c r="B1515" t="s">
        <v>11</v>
      </c>
      <c r="C1515">
        <v>115.47075</v>
      </c>
      <c r="D1515">
        <f>0</f>
        <v>0</v>
      </c>
      <c r="E1515">
        <f>682260193/10^6</f>
        <v>682.26019299999996</v>
      </c>
      <c r="F1515">
        <f>0</f>
        <v>0</v>
      </c>
      <c r="G1515">
        <f>231087051/10^6</f>
        <v>231.087051</v>
      </c>
      <c r="H1515">
        <f>0</f>
        <v>0</v>
      </c>
      <c r="I1515">
        <f>-42721729/10^6</f>
        <v>-42.721729000000003</v>
      </c>
      <c r="J1515">
        <f>0</f>
        <v>0</v>
      </c>
    </row>
    <row r="1516" spans="1:10" x14ac:dyDescent="0.25">
      <c r="A1516" t="s">
        <v>1525</v>
      </c>
      <c r="B1516" t="s">
        <v>11</v>
      </c>
      <c r="C1516">
        <v>115.623265625</v>
      </c>
      <c r="D1516">
        <f>0</f>
        <v>0</v>
      </c>
      <c r="E1516">
        <f>681419922/10^6</f>
        <v>681.41992200000004</v>
      </c>
      <c r="F1516">
        <f>0</f>
        <v>0</v>
      </c>
      <c r="G1516">
        <f>231124069/10^6</f>
        <v>231.12406899999999</v>
      </c>
      <c r="H1516">
        <f>0</f>
        <v>0</v>
      </c>
      <c r="I1516">
        <f>-42694183/10^6</f>
        <v>-42.694183000000002</v>
      </c>
      <c r="J1516">
        <f>0</f>
        <v>0</v>
      </c>
    </row>
    <row r="1517" spans="1:10" x14ac:dyDescent="0.25">
      <c r="A1517" t="s">
        <v>1526</v>
      </c>
      <c r="B1517" t="s">
        <v>11</v>
      </c>
      <c r="C1517">
        <v>115.79245312499999</v>
      </c>
      <c r="D1517">
        <f>0</f>
        <v>0</v>
      </c>
      <c r="E1517">
        <f>680395203/10^6</f>
        <v>680.39520300000004</v>
      </c>
      <c r="F1517">
        <f>0</f>
        <v>0</v>
      </c>
      <c r="G1517">
        <f>231149948/10^6</f>
        <v>231.14994799999999</v>
      </c>
      <c r="H1517">
        <f>0</f>
        <v>0</v>
      </c>
      <c r="I1517">
        <f>-42576023/10^6</f>
        <v>-42.576022999999999</v>
      </c>
      <c r="J1517">
        <f>0</f>
        <v>0</v>
      </c>
    </row>
    <row r="1518" spans="1:10" x14ac:dyDescent="0.25">
      <c r="A1518" t="s">
        <v>1527</v>
      </c>
      <c r="B1518" t="s">
        <v>11</v>
      </c>
      <c r="C1518">
        <v>115.990640625</v>
      </c>
      <c r="D1518">
        <f>0</f>
        <v>0</v>
      </c>
      <c r="E1518">
        <f>67934552/10^5</f>
        <v>679.34551999999996</v>
      </c>
      <c r="F1518">
        <f>0</f>
        <v>0</v>
      </c>
      <c r="G1518">
        <f>231199554/10^6</f>
        <v>231.19955400000001</v>
      </c>
      <c r="H1518">
        <f>0</f>
        <v>0</v>
      </c>
      <c r="I1518">
        <f>-42470257/10^6</f>
        <v>-42.470256999999997</v>
      </c>
      <c r="J1518">
        <f>0</f>
        <v>0</v>
      </c>
    </row>
    <row r="1519" spans="1:10" x14ac:dyDescent="0.25">
      <c r="A1519" t="s">
        <v>1528</v>
      </c>
      <c r="B1519" t="s">
        <v>11</v>
      </c>
      <c r="C1519">
        <v>116.20951562499999</v>
      </c>
      <c r="D1519">
        <f>0</f>
        <v>0</v>
      </c>
      <c r="E1519">
        <f>678173401/10^6</f>
        <v>678.17340100000001</v>
      </c>
      <c r="F1519">
        <f>0</f>
        <v>0</v>
      </c>
      <c r="G1519">
        <f>231271774/10^6</f>
        <v>231.27177399999999</v>
      </c>
      <c r="H1519">
        <f>0</f>
        <v>0</v>
      </c>
      <c r="I1519">
        <f>-42262054/10^6</f>
        <v>-42.262053999999999</v>
      </c>
      <c r="J1519">
        <f>0</f>
        <v>0</v>
      </c>
    </row>
    <row r="1520" spans="1:10" x14ac:dyDescent="0.25">
      <c r="A1520" t="s">
        <v>1529</v>
      </c>
      <c r="B1520" t="s">
        <v>11</v>
      </c>
      <c r="C1520">
        <v>116.44310937500001</v>
      </c>
      <c r="D1520">
        <f>0</f>
        <v>0</v>
      </c>
      <c r="E1520">
        <f>676842651/10^6</f>
        <v>676.84265100000005</v>
      </c>
      <c r="F1520">
        <f>0</f>
        <v>0</v>
      </c>
      <c r="G1520">
        <f>231316162/10^6</f>
        <v>231.31616199999999</v>
      </c>
      <c r="H1520">
        <f>0</f>
        <v>0</v>
      </c>
      <c r="I1520">
        <f>-42146519/10^6</f>
        <v>-42.146518999999998</v>
      </c>
      <c r="J1520">
        <f>0</f>
        <v>0</v>
      </c>
    </row>
    <row r="1521" spans="1:10" x14ac:dyDescent="0.25">
      <c r="A1521" t="s">
        <v>1530</v>
      </c>
      <c r="B1521" t="s">
        <v>11</v>
      </c>
      <c r="C1521">
        <v>116.707757813</v>
      </c>
      <c r="D1521">
        <f>0</f>
        <v>0</v>
      </c>
      <c r="E1521">
        <f>675416687/10^6</f>
        <v>675.41668700000002</v>
      </c>
      <c r="F1521">
        <f>0</f>
        <v>0</v>
      </c>
      <c r="G1521">
        <f>231362839/10^6</f>
        <v>231.36283900000001</v>
      </c>
      <c r="H1521">
        <f>0</f>
        <v>0</v>
      </c>
      <c r="I1521">
        <f>-4220982/10^5</f>
        <v>-42.209820000000001</v>
      </c>
      <c r="J1521">
        <f>0</f>
        <v>0</v>
      </c>
    </row>
    <row r="1522" spans="1:10" x14ac:dyDescent="0.25">
      <c r="A1522" t="s">
        <v>1531</v>
      </c>
      <c r="B1522" t="s">
        <v>11</v>
      </c>
      <c r="C1522">
        <v>117.048570313</v>
      </c>
      <c r="D1522">
        <f>0</f>
        <v>0</v>
      </c>
      <c r="E1522">
        <f>673515503/10^6</f>
        <v>673.51550299999997</v>
      </c>
      <c r="F1522">
        <f>0</f>
        <v>0</v>
      </c>
      <c r="G1522">
        <f>231425568/10^6</f>
        <v>231.425568</v>
      </c>
      <c r="H1522">
        <f>0</f>
        <v>0</v>
      </c>
      <c r="I1522">
        <f>-41947647/10^6</f>
        <v>-41.947647000000003</v>
      </c>
      <c r="J1522">
        <f>0</f>
        <v>0</v>
      </c>
    </row>
    <row r="1523" spans="1:10" x14ac:dyDescent="0.25">
      <c r="A1523" t="s">
        <v>1532</v>
      </c>
      <c r="B1523" t="s">
        <v>11</v>
      </c>
      <c r="C1523">
        <v>117.47129687499999</v>
      </c>
      <c r="D1523">
        <f>0</f>
        <v>0</v>
      </c>
      <c r="E1523">
        <f>671121765/10^6</f>
        <v>671.12176499999998</v>
      </c>
      <c r="F1523">
        <f>0</f>
        <v>0</v>
      </c>
      <c r="G1523">
        <f>231486465/10^6</f>
        <v>231.48646500000001</v>
      </c>
      <c r="H1523">
        <f>0</f>
        <v>0</v>
      </c>
      <c r="I1523">
        <f>-4171217/10^5</f>
        <v>-41.71217</v>
      </c>
      <c r="J1523">
        <f>0</f>
        <v>0</v>
      </c>
    </row>
    <row r="1524" spans="1:10" x14ac:dyDescent="0.25">
      <c r="A1524" t="s">
        <v>1533</v>
      </c>
      <c r="B1524" t="s">
        <v>11</v>
      </c>
      <c r="C1524">
        <v>117.96503906300001</v>
      </c>
      <c r="D1524">
        <f>0</f>
        <v>0</v>
      </c>
      <c r="E1524">
        <f>668306458/10^6</f>
        <v>668.30645800000002</v>
      </c>
      <c r="F1524">
        <f>0</f>
        <v>0</v>
      </c>
      <c r="G1524">
        <f>23155513/10^5</f>
        <v>231.55512999999999</v>
      </c>
      <c r="H1524">
        <f>0</f>
        <v>0</v>
      </c>
      <c r="I1524">
        <f>-41488159/10^6</f>
        <v>-41.488159000000003</v>
      </c>
      <c r="J1524">
        <f>0</f>
        <v>0</v>
      </c>
    </row>
    <row r="1525" spans="1:10" x14ac:dyDescent="0.25">
      <c r="A1525" t="s">
        <v>1534</v>
      </c>
      <c r="B1525" t="s">
        <v>11</v>
      </c>
      <c r="C1525">
        <v>118.51471875</v>
      </c>
      <c r="D1525">
        <f>0</f>
        <v>0</v>
      </c>
      <c r="E1525">
        <f>665141357/10^6</f>
        <v>665.14135699999997</v>
      </c>
      <c r="F1525">
        <f>0</f>
        <v>0</v>
      </c>
      <c r="G1525">
        <f>231635651/10^6</f>
        <v>231.635651</v>
      </c>
      <c r="H1525">
        <f>0</f>
        <v>0</v>
      </c>
      <c r="I1525">
        <f>-40952339/10^6</f>
        <v>-40.952339000000002</v>
      </c>
      <c r="J1525">
        <f>0</f>
        <v>0</v>
      </c>
    </row>
    <row r="1526" spans="1:10" x14ac:dyDescent="0.25">
      <c r="A1526" t="s">
        <v>1535</v>
      </c>
      <c r="B1526" t="s">
        <v>11</v>
      </c>
      <c r="C1526">
        <v>119.07778125</v>
      </c>
      <c r="D1526">
        <f>0</f>
        <v>0</v>
      </c>
      <c r="E1526">
        <f>661899719/10^6</f>
        <v>661.899719</v>
      </c>
      <c r="F1526">
        <f>0</f>
        <v>0</v>
      </c>
      <c r="G1526">
        <f>231701462/10^6</f>
        <v>231.70146199999999</v>
      </c>
      <c r="H1526">
        <f>0</f>
        <v>0</v>
      </c>
      <c r="I1526">
        <f>-40466305/10^6</f>
        <v>-40.466304999999998</v>
      </c>
      <c r="J1526">
        <f>0</f>
        <v>0</v>
      </c>
    </row>
    <row r="1527" spans="1:10" x14ac:dyDescent="0.25">
      <c r="A1527" t="s">
        <v>1536</v>
      </c>
      <c r="B1527" t="s">
        <v>11</v>
      </c>
      <c r="C1527">
        <v>119.63018750000001</v>
      </c>
      <c r="D1527">
        <f>0</f>
        <v>0</v>
      </c>
      <c r="E1527">
        <f>658738281/10^6</f>
        <v>658.73828100000003</v>
      </c>
      <c r="F1527">
        <f>0</f>
        <v>0</v>
      </c>
      <c r="G1527">
        <f>231759293/10^6</f>
        <v>231.75929300000001</v>
      </c>
      <c r="H1527">
        <f>0</f>
        <v>0</v>
      </c>
      <c r="I1527">
        <f>-40136978/10^6</f>
        <v>-40.136977999999999</v>
      </c>
      <c r="J1527">
        <f>0</f>
        <v>0</v>
      </c>
    </row>
    <row r="1528" spans="1:10" x14ac:dyDescent="0.25">
      <c r="A1528" t="s">
        <v>1537</v>
      </c>
      <c r="B1528" t="s">
        <v>11</v>
      </c>
      <c r="C1528">
        <v>0</v>
      </c>
      <c r="D1528">
        <f>2</f>
        <v>2</v>
      </c>
      <c r="F1528">
        <f>2</f>
        <v>2</v>
      </c>
      <c r="H1528">
        <f>2</f>
        <v>2</v>
      </c>
      <c r="J1528">
        <f>2</f>
        <v>2</v>
      </c>
    </row>
    <row r="1529" spans="1:10" x14ac:dyDescent="0.25">
      <c r="A1529" t="s">
        <v>1538</v>
      </c>
      <c r="B1529" t="s">
        <v>11</v>
      </c>
      <c r="C1529">
        <v>120.643851563</v>
      </c>
      <c r="D1529">
        <f>0</f>
        <v>0</v>
      </c>
      <c r="E1529">
        <f>653042847/10^6</f>
        <v>653.04284700000005</v>
      </c>
      <c r="F1529">
        <f>0</f>
        <v>0</v>
      </c>
      <c r="G1529">
        <f>231867233/10^6</f>
        <v>231.867233</v>
      </c>
      <c r="H1529">
        <f>0</f>
        <v>0</v>
      </c>
      <c r="I1529">
        <f>-39638126/10^6</f>
        <v>-39.638126</v>
      </c>
      <c r="J1529">
        <f>0</f>
        <v>0</v>
      </c>
    </row>
    <row r="1530" spans="1:10" x14ac:dyDescent="0.25">
      <c r="A1530" t="s">
        <v>1539</v>
      </c>
      <c r="B1530" t="s">
        <v>11</v>
      </c>
      <c r="C1530">
        <v>121.039085938</v>
      </c>
      <c r="D1530">
        <f>0</f>
        <v>0</v>
      </c>
      <c r="E1530">
        <f>650803345/10^6</f>
        <v>650.80334500000004</v>
      </c>
      <c r="F1530">
        <f>0</f>
        <v>0</v>
      </c>
      <c r="G1530">
        <f>231904007/10^6</f>
        <v>231.90400700000001</v>
      </c>
      <c r="H1530">
        <f>0</f>
        <v>0</v>
      </c>
      <c r="I1530">
        <f>-39351395/10^6</f>
        <v>-39.351394999999997</v>
      </c>
      <c r="J1530">
        <f>0</f>
        <v>0</v>
      </c>
    </row>
    <row r="1531" spans="1:10" x14ac:dyDescent="0.25">
      <c r="A1531" t="s">
        <v>1540</v>
      </c>
      <c r="B1531" t="s">
        <v>11</v>
      </c>
      <c r="C1531">
        <v>121.27507812499999</v>
      </c>
      <c r="D1531">
        <f>0</f>
        <v>0</v>
      </c>
      <c r="E1531">
        <f>649606506/10^6</f>
        <v>649.60650599999997</v>
      </c>
      <c r="F1531">
        <f>0</f>
        <v>0</v>
      </c>
      <c r="G1531">
        <f>231938049/10^6</f>
        <v>231.93804900000001</v>
      </c>
      <c r="H1531">
        <f>0</f>
        <v>0</v>
      </c>
      <c r="I1531">
        <f>-39282665/10^6</f>
        <v>-39.282665000000001</v>
      </c>
      <c r="J1531">
        <f>0</f>
        <v>0</v>
      </c>
    </row>
    <row r="1532" spans="1:10" x14ac:dyDescent="0.25">
      <c r="A1532" t="s">
        <v>1541</v>
      </c>
      <c r="B1532" t="s">
        <v>11</v>
      </c>
      <c r="C1532">
        <v>121.408445313</v>
      </c>
      <c r="D1532">
        <f>0</f>
        <v>0</v>
      </c>
      <c r="E1532">
        <f>648933716/10^6</f>
        <v>648.933716</v>
      </c>
      <c r="F1532">
        <f>0</f>
        <v>0</v>
      </c>
      <c r="G1532">
        <f>231984024/10^6</f>
        <v>231.98402400000001</v>
      </c>
      <c r="H1532">
        <f>0</f>
        <v>0</v>
      </c>
      <c r="I1532">
        <f>-39208321/10^6</f>
        <v>-39.208320999999998</v>
      </c>
      <c r="J1532">
        <f>0</f>
        <v>0</v>
      </c>
    </row>
    <row r="1533" spans="1:10" x14ac:dyDescent="0.25">
      <c r="A1533" t="s">
        <v>1542</v>
      </c>
      <c r="B1533" t="s">
        <v>11</v>
      </c>
      <c r="C1533">
        <v>121.498132813</v>
      </c>
      <c r="D1533">
        <f>0</f>
        <v>0</v>
      </c>
      <c r="E1533">
        <f>648516235/10^6</f>
        <v>648.51623500000005</v>
      </c>
      <c r="F1533">
        <f>0</f>
        <v>0</v>
      </c>
      <c r="G1533">
        <f>232020096/10^6</f>
        <v>232.020096</v>
      </c>
      <c r="H1533">
        <f>0</f>
        <v>0</v>
      </c>
      <c r="I1533">
        <f>-39025192/10^6</f>
        <v>-39.025191999999997</v>
      </c>
      <c r="J1533">
        <f>0</f>
        <v>0</v>
      </c>
    </row>
    <row r="1534" spans="1:10" x14ac:dyDescent="0.25">
      <c r="A1534" t="s">
        <v>1543</v>
      </c>
      <c r="B1534" t="s">
        <v>11</v>
      </c>
      <c r="C1534">
        <v>121.566140625</v>
      </c>
      <c r="D1534">
        <f>0</f>
        <v>0</v>
      </c>
      <c r="E1534">
        <f>648128174/10^6</f>
        <v>648.12817399999994</v>
      </c>
      <c r="F1534">
        <f>0</f>
        <v>0</v>
      </c>
      <c r="G1534">
        <f>232041901/10^6</f>
        <v>232.041901</v>
      </c>
      <c r="H1534">
        <f>0</f>
        <v>0</v>
      </c>
      <c r="I1534">
        <f>-38921791/10^6</f>
        <v>-38.921790999999999</v>
      </c>
      <c r="J1534">
        <f>0</f>
        <v>0</v>
      </c>
    </row>
    <row r="1535" spans="1:10" x14ac:dyDescent="0.25">
      <c r="A1535" t="s">
        <v>1544</v>
      </c>
      <c r="B1535" t="s">
        <v>11</v>
      </c>
      <c r="C1535">
        <v>121.623328125</v>
      </c>
      <c r="D1535">
        <f>0</f>
        <v>0</v>
      </c>
      <c r="E1535">
        <f>647880066/10^6</f>
        <v>647.88006600000006</v>
      </c>
      <c r="F1535">
        <f>0</f>
        <v>0</v>
      </c>
      <c r="G1535">
        <f>23206131/10^5</f>
        <v>232.06130999999999</v>
      </c>
      <c r="H1535">
        <f>0</f>
        <v>0</v>
      </c>
      <c r="I1535">
        <f>-39026047/10^6</f>
        <v>-39.026046999999998</v>
      </c>
      <c r="J1535">
        <f>0</f>
        <v>0</v>
      </c>
    </row>
    <row r="1536" spans="1:10" x14ac:dyDescent="0.25">
      <c r="A1536" t="s">
        <v>1545</v>
      </c>
      <c r="B1536" t="s">
        <v>11</v>
      </c>
      <c r="C1536">
        <v>121.653953125</v>
      </c>
      <c r="D1536">
        <f>0</f>
        <v>0</v>
      </c>
      <c r="E1536">
        <f>647985352/10^6</f>
        <v>647.98535200000003</v>
      </c>
      <c r="F1536">
        <f>0</f>
        <v>0</v>
      </c>
      <c r="G1536">
        <f>232078064/10^6</f>
        <v>232.07806400000001</v>
      </c>
      <c r="H1536">
        <f>0</f>
        <v>0</v>
      </c>
      <c r="I1536">
        <f>-39203087/10^6</f>
        <v>-39.203086999999996</v>
      </c>
      <c r="J1536">
        <f>0</f>
        <v>0</v>
      </c>
    </row>
    <row r="1537" spans="1:10" x14ac:dyDescent="0.25">
      <c r="A1537" t="s">
        <v>1546</v>
      </c>
      <c r="B1537" t="s">
        <v>11</v>
      </c>
      <c r="C1537">
        <v>121.676992188</v>
      </c>
      <c r="D1537">
        <f>0</f>
        <v>0</v>
      </c>
      <c r="E1537">
        <f>647783447/10^6</f>
        <v>647.78344700000002</v>
      </c>
      <c r="F1537">
        <f>0</f>
        <v>0</v>
      </c>
      <c r="G1537">
        <f>232087708/10^6</f>
        <v>232.08770799999999</v>
      </c>
      <c r="H1537">
        <f>0</f>
        <v>0</v>
      </c>
      <c r="I1537">
        <f>-39016201/10^6</f>
        <v>-39.016201000000002</v>
      </c>
      <c r="J1537">
        <f>0</f>
        <v>0</v>
      </c>
    </row>
    <row r="1538" spans="1:10" x14ac:dyDescent="0.25">
      <c r="A1538" t="s">
        <v>1547</v>
      </c>
      <c r="B1538" t="s">
        <v>11</v>
      </c>
      <c r="C1538">
        <v>121.694585938</v>
      </c>
      <c r="D1538">
        <f>0</f>
        <v>0</v>
      </c>
      <c r="E1538">
        <f>647454529/10^6</f>
        <v>647.45452899999998</v>
      </c>
      <c r="F1538">
        <f>0</f>
        <v>0</v>
      </c>
      <c r="G1538">
        <f>232084686/10^6</f>
        <v>232.084686</v>
      </c>
      <c r="H1538">
        <f>0</f>
        <v>0</v>
      </c>
      <c r="I1538">
        <f>-38692242/10^6</f>
        <v>-38.692242</v>
      </c>
      <c r="J1538">
        <f>0</f>
        <v>0</v>
      </c>
    </row>
    <row r="1539" spans="1:10" x14ac:dyDescent="0.25">
      <c r="A1539" t="s">
        <v>1548</v>
      </c>
      <c r="B1539" t="s">
        <v>11</v>
      </c>
      <c r="C1539">
        <v>121.647648438</v>
      </c>
      <c r="D1539">
        <f>0</f>
        <v>0</v>
      </c>
      <c r="E1539">
        <f>647711121/10^6</f>
        <v>647.71112100000005</v>
      </c>
      <c r="F1539">
        <f>0</f>
        <v>0</v>
      </c>
      <c r="G1539">
        <f>232076889/10^6</f>
        <v>232.07688899999999</v>
      </c>
      <c r="H1539">
        <f>0</f>
        <v>0</v>
      </c>
      <c r="I1539">
        <f>-38735775/10^6</f>
        <v>-38.735774999999997</v>
      </c>
      <c r="J1539">
        <f>0</f>
        <v>0</v>
      </c>
    </row>
    <row r="1540" spans="1:10" x14ac:dyDescent="0.25">
      <c r="A1540" t="s">
        <v>1549</v>
      </c>
      <c r="B1540" t="s">
        <v>11</v>
      </c>
      <c r="C1540">
        <v>121.512921875</v>
      </c>
      <c r="D1540">
        <f>0</f>
        <v>0</v>
      </c>
      <c r="E1540">
        <f>648513367/10^6</f>
        <v>648.51336700000002</v>
      </c>
      <c r="F1540">
        <f>0</f>
        <v>0</v>
      </c>
      <c r="G1540">
        <f>232065552/10^6</f>
        <v>232.065552</v>
      </c>
      <c r="H1540">
        <f>0</f>
        <v>0</v>
      </c>
      <c r="I1540">
        <f>-38917526/10^6</f>
        <v>-38.917526000000002</v>
      </c>
      <c r="J1540">
        <f>0</f>
        <v>0</v>
      </c>
    </row>
    <row r="1541" spans="1:10" x14ac:dyDescent="0.25">
      <c r="A1541" t="s">
        <v>1550</v>
      </c>
      <c r="B1541" t="s">
        <v>11</v>
      </c>
      <c r="C1541">
        <v>0</v>
      </c>
      <c r="D1541">
        <f>2</f>
        <v>2</v>
      </c>
      <c r="F1541">
        <f>2</f>
        <v>2</v>
      </c>
      <c r="H1541">
        <f>2</f>
        <v>2</v>
      </c>
      <c r="J1541">
        <f>2</f>
        <v>2</v>
      </c>
    </row>
    <row r="1542" spans="1:10" x14ac:dyDescent="0.25">
      <c r="A1542" t="s">
        <v>1551</v>
      </c>
      <c r="B1542" t="s">
        <v>11</v>
      </c>
      <c r="C1542">
        <v>0</v>
      </c>
      <c r="D1542">
        <f>2</f>
        <v>2</v>
      </c>
      <c r="F1542">
        <f>2</f>
        <v>2</v>
      </c>
      <c r="H1542">
        <f>2</f>
        <v>2</v>
      </c>
      <c r="J1542">
        <f>2</f>
        <v>2</v>
      </c>
    </row>
    <row r="1543" spans="1:10" x14ac:dyDescent="0.25">
      <c r="A1543" t="s">
        <v>1552</v>
      </c>
      <c r="B1543" t="s">
        <v>11</v>
      </c>
      <c r="C1543">
        <v>120.946203125</v>
      </c>
      <c r="D1543">
        <f>0</f>
        <v>0</v>
      </c>
      <c r="E1543">
        <f>65152356/10^5</f>
        <v>651.52355999999997</v>
      </c>
      <c r="F1543">
        <f>0</f>
        <v>0</v>
      </c>
      <c r="G1543">
        <f>231982407/10^6</f>
        <v>231.98240699999999</v>
      </c>
      <c r="H1543">
        <f>0</f>
        <v>0</v>
      </c>
      <c r="I1543">
        <f>-38971642/10^6</f>
        <v>-38.971642000000003</v>
      </c>
      <c r="J1543">
        <f>0</f>
        <v>0</v>
      </c>
    </row>
    <row r="1544" spans="1:10" x14ac:dyDescent="0.25">
      <c r="A1544" t="s">
        <v>1553</v>
      </c>
      <c r="B1544" t="s">
        <v>11</v>
      </c>
      <c r="C1544">
        <v>120.71980468800001</v>
      </c>
      <c r="D1544">
        <f>0</f>
        <v>0</v>
      </c>
      <c r="E1544">
        <f>65284137/10^5</f>
        <v>652.84136999999998</v>
      </c>
      <c r="F1544">
        <f>0</f>
        <v>0</v>
      </c>
      <c r="G1544">
        <f>231950684/10^6</f>
        <v>231.950684</v>
      </c>
      <c r="H1544">
        <f>0</f>
        <v>0</v>
      </c>
      <c r="I1544">
        <f>-39184406/10^6</f>
        <v>-39.184406000000003</v>
      </c>
      <c r="J1544">
        <f>0</f>
        <v>0</v>
      </c>
    </row>
    <row r="1545" spans="1:10" x14ac:dyDescent="0.25">
      <c r="A1545" t="s">
        <v>1554</v>
      </c>
      <c r="B1545" t="s">
        <v>11</v>
      </c>
      <c r="C1545">
        <v>120.5005625</v>
      </c>
      <c r="D1545">
        <f>0</f>
        <v>0</v>
      </c>
      <c r="E1545">
        <f>65394397/10^5</f>
        <v>653.94397000000004</v>
      </c>
      <c r="F1545">
        <f>0</f>
        <v>0</v>
      </c>
      <c r="G1545">
        <f>231916489/10^6</f>
        <v>231.91648900000001</v>
      </c>
      <c r="H1545">
        <f>0</f>
        <v>0</v>
      </c>
      <c r="I1545">
        <f>-39230305/10^6</f>
        <v>-39.230305000000001</v>
      </c>
      <c r="J1545">
        <f>0</f>
        <v>0</v>
      </c>
    </row>
    <row r="1546" spans="1:10" x14ac:dyDescent="0.25">
      <c r="A1546" t="s">
        <v>1555</v>
      </c>
      <c r="B1546" t="s">
        <v>11</v>
      </c>
      <c r="C1546">
        <v>120.30582812500001</v>
      </c>
      <c r="D1546">
        <f>0</f>
        <v>0</v>
      </c>
      <c r="E1546">
        <f>654958374/10^6</f>
        <v>654.95837400000005</v>
      </c>
      <c r="F1546">
        <f>0</f>
        <v>0</v>
      </c>
      <c r="G1546">
        <f>23187616/10^5</f>
        <v>231.87616</v>
      </c>
      <c r="H1546">
        <f>0</f>
        <v>0</v>
      </c>
      <c r="I1546">
        <f>-39322842/10^6</f>
        <v>-39.322842000000001</v>
      </c>
      <c r="J1546">
        <f>0</f>
        <v>0</v>
      </c>
    </row>
    <row r="1547" spans="1:10" x14ac:dyDescent="0.25">
      <c r="A1547" t="s">
        <v>1556</v>
      </c>
      <c r="B1547" t="s">
        <v>11</v>
      </c>
      <c r="C1547">
        <v>120.05912499999999</v>
      </c>
      <c r="D1547">
        <f>0</f>
        <v>0</v>
      </c>
      <c r="E1547">
        <f>656342773/10^6</f>
        <v>656.34277299999997</v>
      </c>
      <c r="F1547">
        <f>0</f>
        <v>0</v>
      </c>
      <c r="G1547">
        <f>231824677/10^6</f>
        <v>231.82467700000001</v>
      </c>
      <c r="H1547">
        <f>0</f>
        <v>0</v>
      </c>
      <c r="I1547">
        <f>-39513554/10^6</f>
        <v>-39.513553999999999</v>
      </c>
      <c r="J1547">
        <f>0</f>
        <v>0</v>
      </c>
    </row>
    <row r="1548" spans="1:10" x14ac:dyDescent="0.25">
      <c r="A1548" t="s">
        <v>1557</v>
      </c>
      <c r="B1548" t="s">
        <v>11</v>
      </c>
      <c r="C1548">
        <v>119.799054688</v>
      </c>
      <c r="D1548">
        <f>0</f>
        <v>0</v>
      </c>
      <c r="E1548">
        <f>657711975/10^6</f>
        <v>657.71197500000005</v>
      </c>
      <c r="F1548">
        <f>0</f>
        <v>0</v>
      </c>
      <c r="G1548">
        <f>231778824/10^6</f>
        <v>231.77882399999999</v>
      </c>
      <c r="H1548">
        <f>0</f>
        <v>0</v>
      </c>
      <c r="I1548">
        <f>-39654758/10^6</f>
        <v>-39.654758000000001</v>
      </c>
      <c r="J1548">
        <f>0</f>
        <v>0</v>
      </c>
    </row>
    <row r="1549" spans="1:10" x14ac:dyDescent="0.25">
      <c r="A1549" t="s">
        <v>1558</v>
      </c>
      <c r="B1549" t="s">
        <v>11</v>
      </c>
      <c r="C1549">
        <v>119.63483593800001</v>
      </c>
      <c r="D1549">
        <f>0</f>
        <v>0</v>
      </c>
      <c r="E1549">
        <f>658573792/10^6</f>
        <v>658.57379200000003</v>
      </c>
      <c r="F1549">
        <f>0</f>
        <v>0</v>
      </c>
      <c r="G1549">
        <f>231747299/10^6</f>
        <v>231.747299</v>
      </c>
      <c r="H1549">
        <f>0</f>
        <v>0</v>
      </c>
      <c r="I1549">
        <f>-39735447/10^6</f>
        <v>-39.735447000000001</v>
      </c>
      <c r="J1549">
        <f>0</f>
        <v>0</v>
      </c>
    </row>
    <row r="1550" spans="1:10" x14ac:dyDescent="0.25">
      <c r="A1550" t="s">
        <v>1559</v>
      </c>
      <c r="B1550" t="s">
        <v>11</v>
      </c>
      <c r="C1550">
        <v>119.49735156300001</v>
      </c>
      <c r="D1550">
        <f>0</f>
        <v>0</v>
      </c>
      <c r="E1550">
        <f>659366272/10^6</f>
        <v>659.36627199999998</v>
      </c>
      <c r="F1550">
        <f>0</f>
        <v>0</v>
      </c>
      <c r="G1550">
        <f>231720566/10^6</f>
        <v>231.72056599999999</v>
      </c>
      <c r="H1550">
        <f>0</f>
        <v>0</v>
      </c>
      <c r="I1550">
        <f>-39799553/10^6</f>
        <v>-39.799553000000003</v>
      </c>
      <c r="J1550">
        <f>0</f>
        <v>0</v>
      </c>
    </row>
    <row r="1551" spans="1:10" x14ac:dyDescent="0.25">
      <c r="A1551" t="s">
        <v>1560</v>
      </c>
      <c r="B1551" t="s">
        <v>11</v>
      </c>
      <c r="C1551">
        <v>0</v>
      </c>
      <c r="D1551">
        <f>2</f>
        <v>2</v>
      </c>
      <c r="F1551">
        <f>2</f>
        <v>2</v>
      </c>
      <c r="H1551">
        <f>2</f>
        <v>2</v>
      </c>
      <c r="J1551">
        <f>2</f>
        <v>2</v>
      </c>
    </row>
    <row r="1552" spans="1:10" x14ac:dyDescent="0.25">
      <c r="A1552" t="s">
        <v>1561</v>
      </c>
      <c r="B1552" t="s">
        <v>11</v>
      </c>
      <c r="C1552">
        <v>119.186890625</v>
      </c>
      <c r="D1552">
        <f>0</f>
        <v>0</v>
      </c>
      <c r="E1552">
        <f>661027283/10^6</f>
        <v>661.02728300000001</v>
      </c>
      <c r="F1552">
        <f>0</f>
        <v>0</v>
      </c>
      <c r="G1552">
        <f>231684448/10^6</f>
        <v>231.684448</v>
      </c>
      <c r="H1552">
        <f>0</f>
        <v>0</v>
      </c>
      <c r="I1552">
        <f>-3999123/10^5</f>
        <v>-39.991230000000002</v>
      </c>
      <c r="J1552">
        <f>0</f>
        <v>0</v>
      </c>
    </row>
    <row r="1553" spans="1:10" x14ac:dyDescent="0.25">
      <c r="A1553" t="s">
        <v>1562</v>
      </c>
      <c r="B1553" t="s">
        <v>11</v>
      </c>
      <c r="C1553">
        <v>119.009359375</v>
      </c>
      <c r="D1553">
        <f>0</f>
        <v>0</v>
      </c>
      <c r="E1553">
        <f>662093872/10^6</f>
        <v>662.09387200000003</v>
      </c>
      <c r="F1553">
        <f>0</f>
        <v>0</v>
      </c>
      <c r="G1553">
        <f>231671066/10^6</f>
        <v>231.671066</v>
      </c>
      <c r="H1553">
        <f>0</f>
        <v>0</v>
      </c>
      <c r="I1553">
        <f>-4017963/10^5</f>
        <v>-40.179630000000003</v>
      </c>
      <c r="J1553">
        <f>0</f>
        <v>0</v>
      </c>
    </row>
    <row r="1554" spans="1:10" x14ac:dyDescent="0.25">
      <c r="A1554" t="s">
        <v>1563</v>
      </c>
      <c r="B1554" t="s">
        <v>11</v>
      </c>
      <c r="C1554">
        <v>118.83806250000001</v>
      </c>
      <c r="D1554">
        <f>0</f>
        <v>0</v>
      </c>
      <c r="E1554">
        <f>663008179/10^6</f>
        <v>663.00817900000004</v>
      </c>
      <c r="F1554">
        <f>0</f>
        <v>0</v>
      </c>
      <c r="G1554">
        <f>23165242/10^5</f>
        <v>231.65242000000001</v>
      </c>
      <c r="H1554">
        <f>0</f>
        <v>0</v>
      </c>
      <c r="I1554">
        <f>-40206665/10^6</f>
        <v>-40.206665000000001</v>
      </c>
      <c r="J1554">
        <f>0</f>
        <v>0</v>
      </c>
    </row>
    <row r="1555" spans="1:10" x14ac:dyDescent="0.25">
      <c r="A1555" t="s">
        <v>1564</v>
      </c>
      <c r="B1555" t="s">
        <v>11</v>
      </c>
      <c r="C1555">
        <v>118.66326562499999</v>
      </c>
      <c r="D1555">
        <f>0</f>
        <v>0</v>
      </c>
      <c r="E1555">
        <f>664047668/10^6</f>
        <v>664.04766800000004</v>
      </c>
      <c r="F1555">
        <f>0</f>
        <v>0</v>
      </c>
      <c r="G1555">
        <f>231636826/10^6</f>
        <v>231.63682600000001</v>
      </c>
      <c r="H1555">
        <f>0</f>
        <v>0</v>
      </c>
      <c r="I1555">
        <f>-40368599/10^6</f>
        <v>-40.368599000000003</v>
      </c>
      <c r="J1555">
        <f>0</f>
        <v>0</v>
      </c>
    </row>
    <row r="1556" spans="1:10" x14ac:dyDescent="0.25">
      <c r="A1556" t="s">
        <v>1565</v>
      </c>
      <c r="B1556" t="s">
        <v>11</v>
      </c>
      <c r="C1556">
        <v>118.47557031300001</v>
      </c>
      <c r="D1556">
        <f>0</f>
        <v>0</v>
      </c>
      <c r="E1556">
        <f>665135803/10^6</f>
        <v>665.13580300000001</v>
      </c>
      <c r="F1556">
        <f>0</f>
        <v>0</v>
      </c>
      <c r="G1556">
        <f>23161998/10^5</f>
        <v>231.61998</v>
      </c>
      <c r="H1556">
        <f>0</f>
        <v>0</v>
      </c>
      <c r="I1556">
        <f>-40494125/10^6</f>
        <v>-40.494124999999997</v>
      </c>
      <c r="J1556">
        <f>0</f>
        <v>0</v>
      </c>
    </row>
    <row r="1557" spans="1:10" x14ac:dyDescent="0.25">
      <c r="A1557" t="s">
        <v>1566</v>
      </c>
      <c r="B1557" t="s">
        <v>11</v>
      </c>
      <c r="C1557">
        <v>118.282734375</v>
      </c>
      <c r="D1557">
        <f>0</f>
        <v>0</v>
      </c>
      <c r="E1557">
        <f>666233582/10^6</f>
        <v>666.23358199999996</v>
      </c>
      <c r="F1557">
        <f>0</f>
        <v>0</v>
      </c>
      <c r="G1557">
        <f>231598114/10^6</f>
        <v>231.59811400000001</v>
      </c>
      <c r="H1557">
        <f>0</f>
        <v>0</v>
      </c>
      <c r="I1557">
        <f>-40517403/10^6</f>
        <v>-40.517403000000002</v>
      </c>
      <c r="J1557">
        <f>0</f>
        <v>0</v>
      </c>
    </row>
    <row r="1558" spans="1:10" x14ac:dyDescent="0.25">
      <c r="A1558" t="s">
        <v>1567</v>
      </c>
      <c r="B1558" t="s">
        <v>11</v>
      </c>
      <c r="C1558">
        <v>118.083023438</v>
      </c>
      <c r="D1558">
        <f>0</f>
        <v>0</v>
      </c>
      <c r="E1558">
        <f>667317749/10^6</f>
        <v>667.31774900000005</v>
      </c>
      <c r="F1558">
        <f>0</f>
        <v>0</v>
      </c>
      <c r="G1558">
        <f>231567917/10^6</f>
        <v>231.56791699999999</v>
      </c>
      <c r="H1558">
        <f>0</f>
        <v>0</v>
      </c>
      <c r="I1558">
        <f>-40583225/10^6</f>
        <v>-40.583224999999999</v>
      </c>
      <c r="J1558">
        <f>0</f>
        <v>0</v>
      </c>
    </row>
    <row r="1559" spans="1:10" x14ac:dyDescent="0.25">
      <c r="A1559" t="s">
        <v>1568</v>
      </c>
      <c r="B1559" t="s">
        <v>11</v>
      </c>
      <c r="C1559">
        <v>117.895515625</v>
      </c>
      <c r="D1559">
        <f>0</f>
        <v>0</v>
      </c>
      <c r="E1559">
        <f>668246521/10^6</f>
        <v>668.24652100000003</v>
      </c>
      <c r="F1559">
        <f>0</f>
        <v>0</v>
      </c>
      <c r="G1559">
        <f>231526581/10^6</f>
        <v>231.52658099999999</v>
      </c>
      <c r="H1559">
        <f>0</f>
        <v>0</v>
      </c>
      <c r="I1559">
        <f>-40644157/10^6</f>
        <v>-40.644157</v>
      </c>
      <c r="J1559">
        <f>0</f>
        <v>0</v>
      </c>
    </row>
    <row r="1560" spans="1:10" x14ac:dyDescent="0.25">
      <c r="A1560" t="s">
        <v>1569</v>
      </c>
      <c r="B1560" t="s">
        <v>11</v>
      </c>
      <c r="C1560">
        <v>117.72820312499999</v>
      </c>
      <c r="D1560">
        <f>0</f>
        <v>0</v>
      </c>
      <c r="E1560">
        <f>669311523/10^6</f>
        <v>669.31152299999997</v>
      </c>
      <c r="F1560">
        <f>0</f>
        <v>0</v>
      </c>
      <c r="G1560">
        <f>231507492/10^6</f>
        <v>231.50749200000001</v>
      </c>
      <c r="H1560">
        <f>0</f>
        <v>0</v>
      </c>
      <c r="I1560">
        <f>-40958633/10^6</f>
        <v>-40.958632999999999</v>
      </c>
      <c r="J1560">
        <f>0</f>
        <v>0</v>
      </c>
    </row>
    <row r="1561" spans="1:10" x14ac:dyDescent="0.25">
      <c r="A1561" t="s">
        <v>1570</v>
      </c>
      <c r="B1561" t="s">
        <v>11</v>
      </c>
      <c r="C1561">
        <v>117.56696875</v>
      </c>
      <c r="D1561">
        <f>0</f>
        <v>0</v>
      </c>
      <c r="E1561">
        <f>670313904/10^6</f>
        <v>670.31390399999998</v>
      </c>
      <c r="F1561">
        <f>0</f>
        <v>0</v>
      </c>
      <c r="G1561">
        <f>231505676/10^6</f>
        <v>231.50567599999999</v>
      </c>
      <c r="H1561">
        <f>0</f>
        <v>0</v>
      </c>
      <c r="I1561">
        <f>-41148838/10^6</f>
        <v>-41.148837999999998</v>
      </c>
      <c r="J1561">
        <f>0</f>
        <v>0</v>
      </c>
    </row>
    <row r="1562" spans="1:10" x14ac:dyDescent="0.25">
      <c r="A1562" t="s">
        <v>1571</v>
      </c>
      <c r="B1562" t="s">
        <v>11</v>
      </c>
      <c r="C1562">
        <v>117.41759374999999</v>
      </c>
      <c r="D1562">
        <f>0</f>
        <v>0</v>
      </c>
      <c r="E1562">
        <f>671143921/10^6</f>
        <v>671.14392099999998</v>
      </c>
      <c r="F1562">
        <f>0</f>
        <v>0</v>
      </c>
      <c r="G1562">
        <f>231483551/10^6</f>
        <v>231.48355100000001</v>
      </c>
      <c r="H1562">
        <f>0</f>
        <v>0</v>
      </c>
      <c r="I1562">
        <f>-4114727/10^5</f>
        <v>-41.147269999999999</v>
      </c>
      <c r="J1562">
        <f>0</f>
        <v>0</v>
      </c>
    </row>
    <row r="1563" spans="1:10" x14ac:dyDescent="0.25">
      <c r="A1563" t="s">
        <v>1572</v>
      </c>
      <c r="B1563" t="s">
        <v>11</v>
      </c>
      <c r="C1563">
        <v>117.261054688</v>
      </c>
      <c r="D1563">
        <f>0</f>
        <v>0</v>
      </c>
      <c r="E1563">
        <f>672167419/10^6</f>
        <v>672.167419</v>
      </c>
      <c r="F1563">
        <f>0</f>
        <v>0</v>
      </c>
      <c r="G1563">
        <f>231465729/10^6</f>
        <v>231.46572900000001</v>
      </c>
      <c r="H1563">
        <f>0</f>
        <v>0</v>
      </c>
      <c r="I1563">
        <f>-41423649/10^6</f>
        <v>-41.423648999999997</v>
      </c>
      <c r="J1563">
        <f>0</f>
        <v>0</v>
      </c>
    </row>
    <row r="1564" spans="1:10" x14ac:dyDescent="0.25">
      <c r="A1564" t="s">
        <v>1573</v>
      </c>
      <c r="B1564" t="s">
        <v>11</v>
      </c>
      <c r="C1564">
        <v>117.100453125</v>
      </c>
      <c r="D1564">
        <f>0</f>
        <v>0</v>
      </c>
      <c r="E1564">
        <f>673136963/10^6</f>
        <v>673.13696300000004</v>
      </c>
      <c r="F1564">
        <f>0</f>
        <v>0</v>
      </c>
      <c r="G1564">
        <f>231456345/10^6</f>
        <v>231.456345</v>
      </c>
      <c r="H1564">
        <f>0</f>
        <v>0</v>
      </c>
      <c r="I1564">
        <f>-4157864/10^5</f>
        <v>-41.57864</v>
      </c>
      <c r="J1564">
        <f>0</f>
        <v>0</v>
      </c>
    </row>
    <row r="1565" spans="1:10" x14ac:dyDescent="0.25">
      <c r="A1565" t="s">
        <v>1574</v>
      </c>
      <c r="B1565" t="s">
        <v>11</v>
      </c>
      <c r="C1565">
        <v>116.950265625</v>
      </c>
      <c r="D1565">
        <f>0</f>
        <v>0</v>
      </c>
      <c r="E1565">
        <f>673997253/10^6</f>
        <v>673.997253</v>
      </c>
      <c r="F1565">
        <f>0</f>
        <v>0</v>
      </c>
      <c r="G1565">
        <f>231436996/10^6</f>
        <v>231.43699599999999</v>
      </c>
      <c r="H1565">
        <f>0</f>
        <v>0</v>
      </c>
      <c r="I1565">
        <f>-41532951/10^6</f>
        <v>-41.532950999999997</v>
      </c>
      <c r="J1565">
        <f>0</f>
        <v>0</v>
      </c>
    </row>
    <row r="1566" spans="1:10" x14ac:dyDescent="0.25">
      <c r="A1566" t="s">
        <v>1575</v>
      </c>
      <c r="B1566" t="s">
        <v>11</v>
      </c>
      <c r="C1566">
        <v>116.789179688</v>
      </c>
      <c r="D1566">
        <f>0</f>
        <v>0</v>
      </c>
      <c r="E1566">
        <f>674896545/10^6</f>
        <v>674.89654499999995</v>
      </c>
      <c r="F1566">
        <f>0</f>
        <v>0</v>
      </c>
      <c r="G1566">
        <f>231418655/10^6</f>
        <v>231.418655</v>
      </c>
      <c r="H1566">
        <f>0</f>
        <v>0</v>
      </c>
      <c r="I1566">
        <f>-41559753/10^6</f>
        <v>-41.559753000000001</v>
      </c>
      <c r="J1566">
        <f>0</f>
        <v>0</v>
      </c>
    </row>
    <row r="1567" spans="1:10" x14ac:dyDescent="0.25">
      <c r="A1567" t="s">
        <v>1576</v>
      </c>
      <c r="B1567" t="s">
        <v>11</v>
      </c>
      <c r="C1567">
        <v>116.623304688</v>
      </c>
      <c r="D1567">
        <f>0</f>
        <v>0</v>
      </c>
      <c r="E1567">
        <f>67578656/10^5</f>
        <v>675.78656000000001</v>
      </c>
      <c r="F1567">
        <f>0</f>
        <v>0</v>
      </c>
      <c r="G1567">
        <f>231398193/10^6</f>
        <v>231.39819299999999</v>
      </c>
      <c r="H1567">
        <f>0</f>
        <v>0</v>
      </c>
      <c r="I1567">
        <f>-41604824/10^6</f>
        <v>-41.604824000000001</v>
      </c>
      <c r="J1567">
        <f>0</f>
        <v>0</v>
      </c>
    </row>
    <row r="1568" spans="1:10" x14ac:dyDescent="0.25">
      <c r="A1568" t="s">
        <v>1577</v>
      </c>
      <c r="B1568" t="s">
        <v>11</v>
      </c>
      <c r="C1568">
        <v>116.445671875</v>
      </c>
      <c r="D1568">
        <f>0</f>
        <v>0</v>
      </c>
      <c r="E1568">
        <f>676935364/10^6</f>
        <v>676.93536400000005</v>
      </c>
      <c r="F1568">
        <f>0</f>
        <v>0</v>
      </c>
      <c r="G1568">
        <f>231370209/10^6</f>
        <v>231.37020899999999</v>
      </c>
      <c r="H1568">
        <f>0</f>
        <v>0</v>
      </c>
      <c r="I1568">
        <f>-4190918/10^5</f>
        <v>-41.909179999999999</v>
      </c>
      <c r="J1568">
        <f>0</f>
        <v>0</v>
      </c>
    </row>
    <row r="1569" spans="1:10" x14ac:dyDescent="0.25">
      <c r="A1569" t="s">
        <v>1578</v>
      </c>
      <c r="B1569" t="s">
        <v>11</v>
      </c>
      <c r="C1569">
        <v>116.246796875</v>
      </c>
      <c r="D1569">
        <f>0</f>
        <v>0</v>
      </c>
      <c r="E1569">
        <f>67815509/10^5</f>
        <v>678.15508999999997</v>
      </c>
      <c r="F1569">
        <f>0</f>
        <v>0</v>
      </c>
      <c r="G1569">
        <f>231355087/10^6</f>
        <v>231.355087</v>
      </c>
      <c r="H1569">
        <f>0</f>
        <v>0</v>
      </c>
      <c r="I1569">
        <f>-42128281/10^6</f>
        <v>-42.128281000000001</v>
      </c>
      <c r="J1569">
        <f>0</f>
        <v>0</v>
      </c>
    </row>
    <row r="1570" spans="1:10" x14ac:dyDescent="0.25">
      <c r="A1570" t="s">
        <v>1579</v>
      </c>
      <c r="B1570" t="s">
        <v>11</v>
      </c>
      <c r="C1570">
        <v>116.02846875</v>
      </c>
      <c r="D1570">
        <f>0</f>
        <v>0</v>
      </c>
      <c r="E1570">
        <f>679375488/10^6</f>
        <v>679.37548800000002</v>
      </c>
      <c r="F1570">
        <f>0</f>
        <v>0</v>
      </c>
      <c r="G1570">
        <f>231339645/10^6</f>
        <v>231.33964499999999</v>
      </c>
      <c r="H1570">
        <f>0</f>
        <v>0</v>
      </c>
      <c r="I1570">
        <f>-42174118/10^6</f>
        <v>-42.174118</v>
      </c>
      <c r="J1570">
        <f>0</f>
        <v>0</v>
      </c>
    </row>
    <row r="1571" spans="1:10" x14ac:dyDescent="0.25">
      <c r="A1571" t="s">
        <v>1580</v>
      </c>
      <c r="B1571" t="s">
        <v>11</v>
      </c>
      <c r="C1571">
        <v>115.816507813</v>
      </c>
      <c r="D1571">
        <f>0</f>
        <v>0</v>
      </c>
      <c r="E1571">
        <f>680347412/10^6</f>
        <v>680.34741199999996</v>
      </c>
      <c r="F1571">
        <f>0</f>
        <v>0</v>
      </c>
      <c r="G1571">
        <f>231206604/10^6</f>
        <v>231.206604</v>
      </c>
      <c r="H1571">
        <f>0</f>
        <v>0</v>
      </c>
      <c r="I1571">
        <f>-42331413/10^6</f>
        <v>-42.331412999999998</v>
      </c>
      <c r="J1571">
        <f>0</f>
        <v>0</v>
      </c>
    </row>
    <row r="1572" spans="1:10" x14ac:dyDescent="0.25">
      <c r="A1572" t="s">
        <v>1581</v>
      </c>
      <c r="B1572" t="s">
        <v>11</v>
      </c>
      <c r="C1572">
        <v>115.690257813</v>
      </c>
      <c r="D1572">
        <f>0</f>
        <v>0</v>
      </c>
      <c r="E1572">
        <f>68092981/10^5</f>
        <v>680.92980999999997</v>
      </c>
      <c r="F1572">
        <f>0</f>
        <v>0</v>
      </c>
      <c r="G1572">
        <f>23109993/10^5</f>
        <v>231.09993</v>
      </c>
      <c r="H1572">
        <f>0</f>
        <v>0</v>
      </c>
      <c r="I1572">
        <f>-4250737/10^5</f>
        <v>-42.507370000000002</v>
      </c>
      <c r="J1572">
        <f>0</f>
        <v>0</v>
      </c>
    </row>
    <row r="1573" spans="1:10" x14ac:dyDescent="0.25">
      <c r="A1573" t="s">
        <v>1582</v>
      </c>
      <c r="B1573" t="s">
        <v>11</v>
      </c>
      <c r="C1573">
        <v>115.66728125</v>
      </c>
      <c r="D1573">
        <f>0</f>
        <v>0</v>
      </c>
      <c r="E1573">
        <f>681270447/10^6</f>
        <v>681.27044699999999</v>
      </c>
      <c r="F1573">
        <f>0</f>
        <v>0</v>
      </c>
      <c r="G1573">
        <f>231143021/10^6</f>
        <v>231.143021</v>
      </c>
      <c r="H1573">
        <f>0</f>
        <v>0</v>
      </c>
      <c r="I1573">
        <f>-42587639/10^6</f>
        <v>-42.587639000000003</v>
      </c>
      <c r="J1573">
        <f>0</f>
        <v>0</v>
      </c>
    </row>
    <row r="1574" spans="1:10" x14ac:dyDescent="0.25">
      <c r="A1574" t="s">
        <v>1583</v>
      </c>
      <c r="B1574" t="s">
        <v>11</v>
      </c>
      <c r="C1574">
        <v>115.68553906300001</v>
      </c>
      <c r="D1574">
        <f>0</f>
        <v>0</v>
      </c>
      <c r="E1574">
        <f>681080322/10^6</f>
        <v>681.08032200000002</v>
      </c>
      <c r="F1574">
        <f>0</f>
        <v>0</v>
      </c>
      <c r="G1574">
        <f>231164154/10^6</f>
        <v>231.164154</v>
      </c>
      <c r="H1574">
        <f>0</f>
        <v>0</v>
      </c>
      <c r="I1574">
        <f>-42401791/10^6</f>
        <v>-42.401791000000003</v>
      </c>
      <c r="J1574">
        <f>0</f>
        <v>0</v>
      </c>
    </row>
    <row r="1575" spans="1:10" x14ac:dyDescent="0.25">
      <c r="A1575" t="s">
        <v>1584</v>
      </c>
      <c r="B1575" t="s">
        <v>11</v>
      </c>
      <c r="C1575">
        <v>115.68938281300001</v>
      </c>
      <c r="D1575">
        <f>0</f>
        <v>0</v>
      </c>
      <c r="E1575">
        <f>681057312/10^6</f>
        <v>681.05731200000002</v>
      </c>
      <c r="F1575">
        <f>0</f>
        <v>0</v>
      </c>
      <c r="G1575">
        <f>231187302/10^6</f>
        <v>231.18730199999999</v>
      </c>
      <c r="H1575">
        <f>0</f>
        <v>0</v>
      </c>
      <c r="I1575">
        <f>-42377808/10^6</f>
        <v>-42.377808000000002</v>
      </c>
      <c r="J1575">
        <f>0</f>
        <v>0</v>
      </c>
    </row>
    <row r="1576" spans="1:10" x14ac:dyDescent="0.25">
      <c r="A1576" t="s">
        <v>1585</v>
      </c>
      <c r="B1576" t="s">
        <v>11</v>
      </c>
      <c r="C1576">
        <v>115.66330468800001</v>
      </c>
      <c r="D1576">
        <f>0</f>
        <v>0</v>
      </c>
      <c r="E1576">
        <f>681453491/10^6</f>
        <v>681.45349099999999</v>
      </c>
      <c r="F1576">
        <f>0</f>
        <v>0</v>
      </c>
      <c r="G1576">
        <f>231240158/10^6</f>
        <v>231.24015800000001</v>
      </c>
      <c r="H1576">
        <f>0</f>
        <v>0</v>
      </c>
      <c r="I1576">
        <f>-42561665/10^6</f>
        <v>-42.561664999999998</v>
      </c>
      <c r="J1576">
        <f>0</f>
        <v>0</v>
      </c>
    </row>
    <row r="1577" spans="1:10" x14ac:dyDescent="0.25">
      <c r="A1577" t="s">
        <v>1586</v>
      </c>
      <c r="B1577" t="s">
        <v>11</v>
      </c>
      <c r="C1577">
        <v>115.62309375</v>
      </c>
      <c r="D1577">
        <f>0</f>
        <v>0</v>
      </c>
      <c r="E1577">
        <f>681623779/10^6</f>
        <v>681.62377900000001</v>
      </c>
      <c r="F1577">
        <f>0</f>
        <v>0</v>
      </c>
      <c r="G1577">
        <f>231230225/10^6</f>
        <v>231.23022499999999</v>
      </c>
      <c r="H1577">
        <f>0</f>
        <v>0</v>
      </c>
      <c r="I1577">
        <f>-42464382/10^6</f>
        <v>-42.464382000000001</v>
      </c>
      <c r="J1577">
        <f>0</f>
        <v>0</v>
      </c>
    </row>
    <row r="1578" spans="1:10" x14ac:dyDescent="0.25">
      <c r="A1578" t="s">
        <v>1587</v>
      </c>
      <c r="B1578" t="s">
        <v>11</v>
      </c>
      <c r="C1578">
        <v>115.582609375</v>
      </c>
      <c r="D1578">
        <f>0</f>
        <v>0</v>
      </c>
      <c r="E1578">
        <f>681668518/10^6</f>
        <v>681.66851799999995</v>
      </c>
      <c r="F1578">
        <f>0</f>
        <v>0</v>
      </c>
      <c r="G1578">
        <f>231141968/10^6</f>
        <v>231.14196799999999</v>
      </c>
      <c r="H1578">
        <f>0</f>
        <v>0</v>
      </c>
      <c r="I1578">
        <f>-42509476/10^6</f>
        <v>-42.509475999999999</v>
      </c>
      <c r="J1578">
        <f>0</f>
        <v>0</v>
      </c>
    </row>
    <row r="1579" spans="1:10" x14ac:dyDescent="0.25">
      <c r="A1579" t="s">
        <v>1588</v>
      </c>
      <c r="B1579" t="s">
        <v>11</v>
      </c>
      <c r="C1579">
        <v>115.585921875</v>
      </c>
      <c r="D1579">
        <f>0</f>
        <v>0</v>
      </c>
      <c r="E1579">
        <f>681660583/10^6</f>
        <v>681.66058299999997</v>
      </c>
      <c r="F1579">
        <f>0</f>
        <v>0</v>
      </c>
      <c r="G1579">
        <f>231112854/10^6</f>
        <v>231.112854</v>
      </c>
      <c r="H1579">
        <f>0</f>
        <v>0</v>
      </c>
      <c r="I1579">
        <f>-4275317/10^5</f>
        <v>-42.753169999999997</v>
      </c>
      <c r="J1579">
        <f>0</f>
        <v>0</v>
      </c>
    </row>
    <row r="1580" spans="1:10" x14ac:dyDescent="0.25">
      <c r="A1580" t="s">
        <v>1589</v>
      </c>
      <c r="B1580" t="s">
        <v>11</v>
      </c>
      <c r="C1580">
        <v>115.649179688</v>
      </c>
      <c r="D1580">
        <f>0</f>
        <v>0</v>
      </c>
      <c r="E1580">
        <f>681427124/10^6</f>
        <v>681.42712400000005</v>
      </c>
      <c r="F1580">
        <f>0</f>
        <v>0</v>
      </c>
      <c r="G1580">
        <f>231191162/10^6</f>
        <v>231.19116199999999</v>
      </c>
      <c r="H1580">
        <f>0</f>
        <v>0</v>
      </c>
      <c r="I1580">
        <f>-42628208/10^6</f>
        <v>-42.628208000000001</v>
      </c>
      <c r="J1580">
        <f>0</f>
        <v>0</v>
      </c>
    </row>
    <row r="1581" spans="1:10" x14ac:dyDescent="0.25">
      <c r="A1581" t="s">
        <v>1590</v>
      </c>
      <c r="B1581" t="s">
        <v>11</v>
      </c>
      <c r="C1581">
        <v>115.742765625</v>
      </c>
      <c r="D1581">
        <f>0</f>
        <v>0</v>
      </c>
      <c r="E1581">
        <f>681024475/10^6</f>
        <v>681.02447500000005</v>
      </c>
      <c r="F1581">
        <f>0</f>
        <v>0</v>
      </c>
      <c r="G1581">
        <f>231217758/10^6</f>
        <v>231.217758</v>
      </c>
      <c r="H1581">
        <f>0</f>
        <v>0</v>
      </c>
      <c r="I1581">
        <f>-42588024/10^6</f>
        <v>-42.588023999999997</v>
      </c>
      <c r="J1581">
        <f>0</f>
        <v>0</v>
      </c>
    </row>
    <row r="1582" spans="1:10" x14ac:dyDescent="0.25">
      <c r="A1582" t="s">
        <v>1591</v>
      </c>
      <c r="B1582" t="s">
        <v>11</v>
      </c>
      <c r="C1582">
        <v>115.89244531300001</v>
      </c>
      <c r="D1582">
        <f>0</f>
        <v>0</v>
      </c>
      <c r="E1582">
        <f>680181702/10^6</f>
        <v>680.18170199999997</v>
      </c>
      <c r="F1582">
        <f>0</f>
        <v>0</v>
      </c>
      <c r="G1582">
        <f>231215302/10^6</f>
        <v>231.21530200000001</v>
      </c>
      <c r="H1582">
        <f>0</f>
        <v>0</v>
      </c>
      <c r="I1582">
        <f>-4267844/10^5</f>
        <v>-42.678440000000002</v>
      </c>
      <c r="J1582">
        <f>0</f>
        <v>0</v>
      </c>
    </row>
    <row r="1583" spans="1:10" x14ac:dyDescent="0.25">
      <c r="A1583" t="s">
        <v>1592</v>
      </c>
      <c r="B1583" t="s">
        <v>11</v>
      </c>
      <c r="C1583">
        <v>116.14146093800001</v>
      </c>
      <c r="D1583">
        <f>0</f>
        <v>0</v>
      </c>
      <c r="E1583">
        <f>678764648/10^6</f>
        <v>678.76464799999997</v>
      </c>
      <c r="F1583">
        <f>0</f>
        <v>0</v>
      </c>
      <c r="G1583">
        <f>231291748/10^6</f>
        <v>231.29174800000001</v>
      </c>
      <c r="H1583">
        <f>0</f>
        <v>0</v>
      </c>
      <c r="I1583">
        <f>-42423634/10^6</f>
        <v>-42.423634</v>
      </c>
      <c r="J1583">
        <f>0</f>
        <v>0</v>
      </c>
    </row>
    <row r="1584" spans="1:10" x14ac:dyDescent="0.25">
      <c r="A1584" t="s">
        <v>1593</v>
      </c>
      <c r="B1584" t="s">
        <v>11</v>
      </c>
      <c r="C1584">
        <v>116.47859375</v>
      </c>
      <c r="D1584">
        <f>0</f>
        <v>0</v>
      </c>
      <c r="E1584">
        <f>676959595/10^6</f>
        <v>676.95959500000004</v>
      </c>
      <c r="F1584">
        <f>0</f>
        <v>0</v>
      </c>
      <c r="G1584">
        <f>23138147/10^5</f>
        <v>231.38147000000001</v>
      </c>
      <c r="H1584">
        <f>0</f>
        <v>0</v>
      </c>
      <c r="I1584">
        <f>-42222363/10^6</f>
        <v>-42.222363000000001</v>
      </c>
      <c r="J1584">
        <f>0</f>
        <v>0</v>
      </c>
    </row>
    <row r="1585" spans="1:10" x14ac:dyDescent="0.25">
      <c r="A1585" t="s">
        <v>1594</v>
      </c>
      <c r="B1585" t="s">
        <v>11</v>
      </c>
      <c r="C1585">
        <v>116.88763281300001</v>
      </c>
      <c r="D1585">
        <f>0</f>
        <v>0</v>
      </c>
      <c r="E1585">
        <f>674640869/10^6</f>
        <v>674.64086899999995</v>
      </c>
      <c r="F1585">
        <f>0</f>
        <v>0</v>
      </c>
      <c r="G1585">
        <f>231447617/10^6</f>
        <v>231.44761700000001</v>
      </c>
      <c r="H1585">
        <f>0</f>
        <v>0</v>
      </c>
      <c r="I1585">
        <f>-42089714/10^6</f>
        <v>-42.089714000000001</v>
      </c>
      <c r="J1585">
        <f>0</f>
        <v>0</v>
      </c>
    </row>
    <row r="1586" spans="1:10" x14ac:dyDescent="0.25">
      <c r="A1586" t="s">
        <v>1595</v>
      </c>
      <c r="B1586" t="s">
        <v>11</v>
      </c>
      <c r="C1586">
        <v>117.41290625000001</v>
      </c>
      <c r="D1586">
        <f>0</f>
        <v>0</v>
      </c>
      <c r="E1586">
        <f>67164917/10^5</f>
        <v>671.64917000000003</v>
      </c>
      <c r="F1586">
        <f>0</f>
        <v>0</v>
      </c>
      <c r="G1586">
        <f>231525146/10^6</f>
        <v>231.52514600000001</v>
      </c>
      <c r="H1586">
        <f>0</f>
        <v>0</v>
      </c>
      <c r="I1586">
        <f>-41802494/10^6</f>
        <v>-41.802494000000003</v>
      </c>
      <c r="J1586">
        <f>0</f>
        <v>0</v>
      </c>
    </row>
    <row r="1587" spans="1:10" x14ac:dyDescent="0.25">
      <c r="A1587" t="s">
        <v>1596</v>
      </c>
      <c r="B1587" t="s">
        <v>11</v>
      </c>
      <c r="C1587">
        <v>118.073429688</v>
      </c>
      <c r="D1587">
        <f>0</f>
        <v>0</v>
      </c>
      <c r="E1587">
        <f>667966614/10^6</f>
        <v>667.96661400000005</v>
      </c>
      <c r="F1587">
        <f>0</f>
        <v>0</v>
      </c>
      <c r="G1587">
        <f>231609756/10^6</f>
        <v>231.609756</v>
      </c>
      <c r="H1587">
        <f>0</f>
        <v>0</v>
      </c>
      <c r="I1587">
        <f>-41511719/10^6</f>
        <v>-41.511718999999999</v>
      </c>
      <c r="J1587">
        <f>0</f>
        <v>0</v>
      </c>
    </row>
    <row r="1588" spans="1:10" x14ac:dyDescent="0.25">
      <c r="A1588" t="s">
        <v>1597</v>
      </c>
      <c r="B1588" t="s">
        <v>11</v>
      </c>
      <c r="C1588">
        <v>118.831101563</v>
      </c>
      <c r="D1588">
        <f>0</f>
        <v>0</v>
      </c>
      <c r="E1588">
        <f>663576294/10^6</f>
        <v>663.57629399999996</v>
      </c>
      <c r="F1588">
        <f>0</f>
        <v>0</v>
      </c>
      <c r="G1588">
        <f>231684021/10^6</f>
        <v>231.684021</v>
      </c>
      <c r="H1588">
        <f>0</f>
        <v>0</v>
      </c>
      <c r="I1588">
        <f>-41046062/10^6</f>
        <v>-41.046061999999999</v>
      </c>
      <c r="J1588">
        <f>0</f>
        <v>0</v>
      </c>
    </row>
    <row r="1589" spans="1:10" x14ac:dyDescent="0.25">
      <c r="A1589" t="s">
        <v>1598</v>
      </c>
      <c r="B1589" t="s">
        <v>11</v>
      </c>
      <c r="C1589">
        <v>119.664492188</v>
      </c>
      <c r="D1589">
        <f>0</f>
        <v>0</v>
      </c>
      <c r="E1589">
        <f>658751587/10^6</f>
        <v>658.75158699999997</v>
      </c>
      <c r="F1589">
        <f>0</f>
        <v>0</v>
      </c>
      <c r="G1589">
        <f>23176442/10^5</f>
        <v>231.76442</v>
      </c>
      <c r="H1589">
        <f>0</f>
        <v>0</v>
      </c>
      <c r="I1589">
        <f>-40343887/10^6</f>
        <v>-40.343887000000002</v>
      </c>
      <c r="J1589">
        <f>0</f>
        <v>0</v>
      </c>
    </row>
    <row r="1590" spans="1:10" x14ac:dyDescent="0.25">
      <c r="A1590" t="s">
        <v>1599</v>
      </c>
      <c r="B1590" t="s">
        <v>11</v>
      </c>
      <c r="C1590">
        <v>120.54125000000001</v>
      </c>
      <c r="D1590">
        <f>0</f>
        <v>0</v>
      </c>
      <c r="E1590">
        <f>653755371/10^6</f>
        <v>653.75537099999997</v>
      </c>
      <c r="F1590">
        <f>0</f>
        <v>0</v>
      </c>
      <c r="G1590">
        <f>23183667/10^5</f>
        <v>231.83667</v>
      </c>
      <c r="H1590">
        <f>0</f>
        <v>0</v>
      </c>
      <c r="I1590">
        <f>-39738106/10^6</f>
        <v>-39.738106000000002</v>
      </c>
      <c r="J1590">
        <f>0</f>
        <v>0</v>
      </c>
    </row>
    <row r="1591" spans="1:10" x14ac:dyDescent="0.25">
      <c r="A1591" t="s">
        <v>1600</v>
      </c>
      <c r="B1591" t="s">
        <v>11</v>
      </c>
      <c r="C1591">
        <v>121.35010156300001</v>
      </c>
      <c r="D1591">
        <f>0</f>
        <v>0</v>
      </c>
      <c r="E1591">
        <f>649171326/10^6</f>
        <v>649.17132600000002</v>
      </c>
      <c r="F1591">
        <f>0</f>
        <v>0</v>
      </c>
      <c r="G1591">
        <f>231864929/10^6</f>
        <v>231.86492899999999</v>
      </c>
      <c r="H1591">
        <f>0</f>
        <v>0</v>
      </c>
      <c r="I1591">
        <f>-39386909/10^6</f>
        <v>-39.386909000000003</v>
      </c>
      <c r="J1591">
        <f>0</f>
        <v>0</v>
      </c>
    </row>
    <row r="1592" spans="1:10" x14ac:dyDescent="0.25">
      <c r="A1592" t="s">
        <v>1601</v>
      </c>
      <c r="B1592" t="s">
        <v>11</v>
      </c>
      <c r="C1592">
        <v>121.943242188</v>
      </c>
      <c r="D1592">
        <f>0</f>
        <v>0</v>
      </c>
      <c r="E1592">
        <f>645748352/10^6</f>
        <v>645.74835199999995</v>
      </c>
      <c r="F1592">
        <f>0</f>
        <v>0</v>
      </c>
      <c r="G1592">
        <f>231886612/10^6</f>
        <v>231.88661200000001</v>
      </c>
      <c r="H1592">
        <f>0</f>
        <v>0</v>
      </c>
      <c r="I1592">
        <f>-38995049/10^6</f>
        <v>-38.995049000000002</v>
      </c>
      <c r="J1592">
        <f>0</f>
        <v>0</v>
      </c>
    </row>
    <row r="1593" spans="1:10" x14ac:dyDescent="0.25">
      <c r="A1593" t="s">
        <v>1602</v>
      </c>
      <c r="B1593" t="s">
        <v>11</v>
      </c>
      <c r="C1593">
        <v>122.27817968800001</v>
      </c>
      <c r="D1593">
        <f>0</f>
        <v>0</v>
      </c>
      <c r="E1593">
        <f>643657715/10^6</f>
        <v>643.65771500000005</v>
      </c>
      <c r="F1593">
        <f>0</f>
        <v>0</v>
      </c>
      <c r="G1593">
        <f>231920761/10^6</f>
        <v>231.920761</v>
      </c>
      <c r="H1593">
        <f>0</f>
        <v>0</v>
      </c>
      <c r="I1593">
        <f>-3856736/10^5</f>
        <v>-38.567360000000001</v>
      </c>
      <c r="J1593">
        <f>0</f>
        <v>0</v>
      </c>
    </row>
    <row r="1594" spans="1:10" x14ac:dyDescent="0.25">
      <c r="A1594" t="s">
        <v>1603</v>
      </c>
      <c r="B1594" t="s">
        <v>11</v>
      </c>
      <c r="C1594">
        <v>122.416140625</v>
      </c>
      <c r="D1594">
        <f>0</f>
        <v>0</v>
      </c>
      <c r="E1594">
        <f>643082886/10^6</f>
        <v>643.08288600000003</v>
      </c>
      <c r="F1594">
        <f>0</f>
        <v>0</v>
      </c>
      <c r="G1594">
        <f>231962234/10^6</f>
        <v>231.962234</v>
      </c>
      <c r="H1594">
        <f>0</f>
        <v>0</v>
      </c>
      <c r="I1594">
        <f>-38584057/10^6</f>
        <v>-38.584057000000001</v>
      </c>
      <c r="J1594">
        <f>0</f>
        <v>0</v>
      </c>
    </row>
    <row r="1595" spans="1:10" x14ac:dyDescent="0.25">
      <c r="A1595" t="s">
        <v>1604</v>
      </c>
      <c r="B1595" t="s">
        <v>11</v>
      </c>
      <c r="C1595">
        <v>122.455335938</v>
      </c>
      <c r="D1595">
        <f>0</f>
        <v>0</v>
      </c>
      <c r="E1595">
        <f>643237976/10^6</f>
        <v>643.237976</v>
      </c>
      <c r="F1595">
        <f>0</f>
        <v>0</v>
      </c>
      <c r="G1595">
        <f>232021667/10^6</f>
        <v>232.02166700000001</v>
      </c>
      <c r="H1595">
        <f>0</f>
        <v>0</v>
      </c>
      <c r="I1595">
        <f>-38833744/10^6</f>
        <v>-38.833744000000003</v>
      </c>
      <c r="J1595">
        <f>0</f>
        <v>0</v>
      </c>
    </row>
    <row r="1596" spans="1:10" x14ac:dyDescent="0.25">
      <c r="A1596" t="s">
        <v>1605</v>
      </c>
      <c r="B1596" t="s">
        <v>11</v>
      </c>
      <c r="C1596">
        <v>122.470820313</v>
      </c>
      <c r="D1596">
        <f>0</f>
        <v>0</v>
      </c>
      <c r="E1596">
        <f>643138123/10^6</f>
        <v>643.13812299999995</v>
      </c>
      <c r="F1596">
        <f>0</f>
        <v>0</v>
      </c>
      <c r="G1596">
        <f>232079422/10^6</f>
        <v>232.07942199999999</v>
      </c>
      <c r="H1596">
        <f>0</f>
        <v>0</v>
      </c>
      <c r="I1596">
        <f>-38685036/10^6</f>
        <v>-38.685035999999997</v>
      </c>
      <c r="J1596">
        <f>0</f>
        <v>0</v>
      </c>
    </row>
    <row r="1597" spans="1:10" x14ac:dyDescent="0.25">
      <c r="A1597" t="s">
        <v>1606</v>
      </c>
      <c r="B1597" t="s">
        <v>11</v>
      </c>
      <c r="C1597">
        <v>122.482296875</v>
      </c>
      <c r="D1597">
        <f>0</f>
        <v>0</v>
      </c>
      <c r="E1597">
        <f>643176086/10^6</f>
        <v>643.17608600000005</v>
      </c>
      <c r="F1597">
        <f>0</f>
        <v>0</v>
      </c>
      <c r="G1597">
        <f>232123428/10^6</f>
        <v>232.12342799999999</v>
      </c>
      <c r="H1597">
        <f>0</f>
        <v>0</v>
      </c>
      <c r="I1597">
        <f>-38517586/10^6</f>
        <v>-38.517586000000001</v>
      </c>
      <c r="J1597">
        <f>0</f>
        <v>0</v>
      </c>
    </row>
    <row r="1598" spans="1:10" x14ac:dyDescent="0.25">
      <c r="A1598" t="s">
        <v>1607</v>
      </c>
      <c r="B1598" t="s">
        <v>11</v>
      </c>
      <c r="C1598">
        <v>122.46534375</v>
      </c>
      <c r="D1598">
        <f>0</f>
        <v>0</v>
      </c>
      <c r="E1598">
        <f>643362549/10^6</f>
        <v>643.36254899999994</v>
      </c>
      <c r="F1598">
        <f>0</f>
        <v>0</v>
      </c>
      <c r="G1598">
        <f>232155777/10^6</f>
        <v>232.155777</v>
      </c>
      <c r="H1598">
        <f>0</f>
        <v>0</v>
      </c>
      <c r="I1598">
        <f>-38474522/10^6</f>
        <v>-38.474522</v>
      </c>
      <c r="J1598">
        <f>0</f>
        <v>0</v>
      </c>
    </row>
    <row r="1599" spans="1:10" x14ac:dyDescent="0.25">
      <c r="A1599" t="s">
        <v>1608</v>
      </c>
      <c r="B1599" t="s">
        <v>11</v>
      </c>
      <c r="C1599">
        <v>122.384101563</v>
      </c>
      <c r="D1599">
        <f>0</f>
        <v>0</v>
      </c>
      <c r="E1599">
        <f>643766357/10^6</f>
        <v>643.76635699999997</v>
      </c>
      <c r="F1599">
        <f>0</f>
        <v>0</v>
      </c>
      <c r="G1599">
        <f>232170685/10^6</f>
        <v>232.17068499999999</v>
      </c>
      <c r="H1599">
        <f>0</f>
        <v>0</v>
      </c>
      <c r="I1599">
        <f>-38360027/10^6</f>
        <v>-38.360027000000002</v>
      </c>
      <c r="J1599">
        <f>0</f>
        <v>0</v>
      </c>
    </row>
    <row r="1600" spans="1:10" x14ac:dyDescent="0.25">
      <c r="A1600" t="s">
        <v>1609</v>
      </c>
      <c r="B1600" t="s">
        <v>11</v>
      </c>
      <c r="C1600">
        <v>122.232945313</v>
      </c>
      <c r="D1600">
        <f>0</f>
        <v>0</v>
      </c>
      <c r="E1600">
        <f>644758728/10^6</f>
        <v>644.75872800000002</v>
      </c>
      <c r="F1600">
        <f>0</f>
        <v>0</v>
      </c>
      <c r="G1600">
        <f>232175781/10^6</f>
        <v>232.175781</v>
      </c>
      <c r="H1600">
        <f>0</f>
        <v>0</v>
      </c>
      <c r="I1600">
        <f>-3851836/10^5</f>
        <v>-38.518360000000001</v>
      </c>
      <c r="J1600">
        <f>0</f>
        <v>0</v>
      </c>
    </row>
    <row r="1601" spans="1:10" x14ac:dyDescent="0.25">
      <c r="A1601" t="s">
        <v>1610</v>
      </c>
      <c r="B1601" t="s">
        <v>11</v>
      </c>
      <c r="C1601">
        <v>122.02753125</v>
      </c>
      <c r="D1601">
        <f>0</f>
        <v>0</v>
      </c>
      <c r="E1601">
        <f>645843262/10^6</f>
        <v>645.84326199999998</v>
      </c>
      <c r="F1601">
        <f>0</f>
        <v>0</v>
      </c>
      <c r="G1601">
        <f>232171295/10^6</f>
        <v>232.17129499999999</v>
      </c>
      <c r="H1601">
        <f>0</f>
        <v>0</v>
      </c>
      <c r="I1601">
        <f>-38460968/10^6</f>
        <v>-38.460968000000001</v>
      </c>
      <c r="J1601">
        <f>0</f>
        <v>0</v>
      </c>
    </row>
    <row r="1602" spans="1:10" x14ac:dyDescent="0.25">
      <c r="A1602" t="s">
        <v>1611</v>
      </c>
      <c r="B1602" t="s">
        <v>11</v>
      </c>
      <c r="C1602">
        <v>121.77650781300001</v>
      </c>
      <c r="D1602">
        <f>0</f>
        <v>0</v>
      </c>
      <c r="E1602">
        <f>647150208/10^6</f>
        <v>647.15020800000002</v>
      </c>
      <c r="F1602">
        <f>0</f>
        <v>0</v>
      </c>
      <c r="G1602">
        <f>232145935/10^6</f>
        <v>232.14593500000001</v>
      </c>
      <c r="H1602">
        <f>0</f>
        <v>0</v>
      </c>
      <c r="I1602">
        <f>-38425232/10^6</f>
        <v>-38.425232000000001</v>
      </c>
      <c r="J1602">
        <f>0</f>
        <v>0</v>
      </c>
    </row>
    <row r="1603" spans="1:10" x14ac:dyDescent="0.25">
      <c r="A1603" t="s">
        <v>1612</v>
      </c>
      <c r="B1603" t="s">
        <v>11</v>
      </c>
      <c r="C1603">
        <v>121.4923125</v>
      </c>
      <c r="D1603">
        <f>0</f>
        <v>0</v>
      </c>
      <c r="E1603">
        <f>648808777/10^6</f>
        <v>648.80877699999996</v>
      </c>
      <c r="F1603">
        <f>0</f>
        <v>0</v>
      </c>
      <c r="G1603">
        <f>232110352/10^6</f>
        <v>232.11035200000001</v>
      </c>
      <c r="H1603">
        <f>0</f>
        <v>0</v>
      </c>
      <c r="I1603">
        <f>-38797432/10^6</f>
        <v>-38.797432000000001</v>
      </c>
      <c r="J1603">
        <f>0</f>
        <v>0</v>
      </c>
    </row>
    <row r="1604" spans="1:10" x14ac:dyDescent="0.25">
      <c r="A1604" t="s">
        <v>1613</v>
      </c>
      <c r="B1604" t="s">
        <v>11</v>
      </c>
      <c r="C1604">
        <v>121.19278906300001</v>
      </c>
      <c r="D1604">
        <f>0</f>
        <v>0</v>
      </c>
      <c r="E1604">
        <f>650368225/10^6</f>
        <v>650.36822500000005</v>
      </c>
      <c r="F1604">
        <f>0</f>
        <v>0</v>
      </c>
      <c r="G1604">
        <f>232073868/10^6</f>
        <v>232.073868</v>
      </c>
      <c r="H1604">
        <f>0</f>
        <v>0</v>
      </c>
      <c r="I1604">
        <f>-38868561/10^6</f>
        <v>-38.868561</v>
      </c>
      <c r="J1604">
        <f>0</f>
        <v>0</v>
      </c>
    </row>
    <row r="1605" spans="1:10" x14ac:dyDescent="0.25">
      <c r="A1605" t="s">
        <v>1614</v>
      </c>
      <c r="B1605" t="s">
        <v>11</v>
      </c>
      <c r="C1605">
        <v>120.88312500000001</v>
      </c>
      <c r="D1605">
        <f>0</f>
        <v>0</v>
      </c>
      <c r="E1605">
        <f>651989258/10^6</f>
        <v>651.98925799999995</v>
      </c>
      <c r="F1605">
        <f>0</f>
        <v>0</v>
      </c>
      <c r="G1605">
        <f>232028824/10^6</f>
        <v>232.02882399999999</v>
      </c>
      <c r="H1605">
        <f>0</f>
        <v>0</v>
      </c>
      <c r="I1605">
        <f>-38792671/10^6</f>
        <v>-38.792670999999999</v>
      </c>
      <c r="J1605">
        <f>0</f>
        <v>0</v>
      </c>
    </row>
    <row r="1606" spans="1:10" x14ac:dyDescent="0.25">
      <c r="A1606" t="s">
        <v>1615</v>
      </c>
      <c r="B1606" t="s">
        <v>11</v>
      </c>
      <c r="C1606">
        <v>120.57217968800001</v>
      </c>
      <c r="D1606">
        <f>0</f>
        <v>0</v>
      </c>
      <c r="E1606">
        <f>653710754/10^6</f>
        <v>653.71075399999995</v>
      </c>
      <c r="F1606">
        <f>0</f>
        <v>0</v>
      </c>
      <c r="G1606">
        <f>231975571/10^6</f>
        <v>231.975571</v>
      </c>
      <c r="H1606">
        <f>0</f>
        <v>0</v>
      </c>
      <c r="I1606">
        <f>-39014587/10^6</f>
        <v>-39.014586999999999</v>
      </c>
      <c r="J1606">
        <f>0</f>
        <v>0</v>
      </c>
    </row>
    <row r="1607" spans="1:10" x14ac:dyDescent="0.25">
      <c r="A1607" t="s">
        <v>1616</v>
      </c>
      <c r="B1607" t="s">
        <v>11</v>
      </c>
      <c r="C1607">
        <v>120.27139843800001</v>
      </c>
      <c r="D1607">
        <f>0</f>
        <v>0</v>
      </c>
      <c r="E1607">
        <f>655332336/10^6</f>
        <v>655.33233600000005</v>
      </c>
      <c r="F1607">
        <f>0</f>
        <v>0</v>
      </c>
      <c r="G1607">
        <f>231925507/10^6</f>
        <v>231.92550700000001</v>
      </c>
      <c r="H1607">
        <f>0</f>
        <v>0</v>
      </c>
      <c r="I1607">
        <f>-39276215/10^6</f>
        <v>-39.276215000000001</v>
      </c>
      <c r="J1607">
        <f>0</f>
        <v>0</v>
      </c>
    </row>
    <row r="1608" spans="1:10" x14ac:dyDescent="0.25">
      <c r="A1608" t="s">
        <v>1617</v>
      </c>
      <c r="B1608" t="s">
        <v>11</v>
      </c>
      <c r="C1608">
        <v>119.979234375</v>
      </c>
      <c r="D1608">
        <f>0</f>
        <v>0</v>
      </c>
      <c r="E1608">
        <f>656932373/10^6</f>
        <v>656.93237299999998</v>
      </c>
      <c r="F1608">
        <f>0</f>
        <v>0</v>
      </c>
      <c r="G1608">
        <f>23187233/10^5</f>
        <v>231.87233000000001</v>
      </c>
      <c r="H1608">
        <f>0</f>
        <v>0</v>
      </c>
      <c r="I1608">
        <f>-3951086/10^5</f>
        <v>-39.510860000000001</v>
      </c>
      <c r="J1608">
        <f>0</f>
        <v>0</v>
      </c>
    </row>
    <row r="1609" spans="1:10" x14ac:dyDescent="0.25">
      <c r="A1609" t="s">
        <v>1618</v>
      </c>
      <c r="B1609" t="s">
        <v>11</v>
      </c>
      <c r="C1609">
        <v>119.67138281300001</v>
      </c>
      <c r="D1609">
        <f>0</f>
        <v>0</v>
      </c>
      <c r="E1609">
        <f>658526062/10^6</f>
        <v>658.52606200000002</v>
      </c>
      <c r="F1609">
        <f>0</f>
        <v>0</v>
      </c>
      <c r="G1609">
        <f>231813568/10^6</f>
        <v>231.813568</v>
      </c>
      <c r="H1609">
        <f>0</f>
        <v>0</v>
      </c>
      <c r="I1609">
        <f>-39696926/10^6</f>
        <v>-39.696925999999998</v>
      </c>
      <c r="J1609">
        <f>0</f>
        <v>0</v>
      </c>
    </row>
    <row r="1610" spans="1:10" x14ac:dyDescent="0.25">
      <c r="A1610" t="s">
        <v>1619</v>
      </c>
      <c r="B1610" t="s">
        <v>11</v>
      </c>
      <c r="C1610">
        <v>119.385515625</v>
      </c>
      <c r="D1610">
        <f>0</f>
        <v>0</v>
      </c>
      <c r="E1610">
        <f>660054199/10^6</f>
        <v>660.05419900000004</v>
      </c>
      <c r="F1610">
        <f>0</f>
        <v>0</v>
      </c>
      <c r="G1610">
        <f>231763321/10^6</f>
        <v>231.76332099999999</v>
      </c>
      <c r="H1610">
        <f>0</f>
        <v>0</v>
      </c>
      <c r="I1610">
        <f>-39828384/10^6</f>
        <v>-39.828384</v>
      </c>
      <c r="J1610">
        <f>0</f>
        <v>0</v>
      </c>
    </row>
    <row r="1611" spans="1:10" x14ac:dyDescent="0.25">
      <c r="A1611" t="s">
        <v>1620</v>
      </c>
      <c r="B1611" t="s">
        <v>11</v>
      </c>
      <c r="C1611">
        <v>0</v>
      </c>
      <c r="D1611">
        <f>2</f>
        <v>2</v>
      </c>
      <c r="F1611">
        <f>2</f>
        <v>2</v>
      </c>
      <c r="H1611">
        <f>2</f>
        <v>2</v>
      </c>
      <c r="J1611">
        <f>2</f>
        <v>2</v>
      </c>
    </row>
    <row r="1612" spans="1:10" x14ac:dyDescent="0.25">
      <c r="A1612" t="s">
        <v>1621</v>
      </c>
      <c r="B1612" t="s">
        <v>11</v>
      </c>
      <c r="C1612">
        <v>118.84678125000001</v>
      </c>
      <c r="D1612">
        <f>0</f>
        <v>0</v>
      </c>
      <c r="E1612">
        <f>663043091/10^6</f>
        <v>663.043091</v>
      </c>
      <c r="F1612">
        <f>0</f>
        <v>0</v>
      </c>
      <c r="G1612">
        <f>231672455/10^6</f>
        <v>231.67245500000001</v>
      </c>
      <c r="H1612">
        <f>0</f>
        <v>0</v>
      </c>
      <c r="I1612">
        <f>-40173962/10^6</f>
        <v>-40.173962000000003</v>
      </c>
      <c r="J1612">
        <f>0</f>
        <v>0</v>
      </c>
    </row>
    <row r="1613" spans="1:10" x14ac:dyDescent="0.25">
      <c r="A1613" t="s">
        <v>1622</v>
      </c>
      <c r="B1613" t="s">
        <v>11</v>
      </c>
      <c r="C1613">
        <v>118.570375</v>
      </c>
      <c r="D1613">
        <f>0</f>
        <v>0</v>
      </c>
      <c r="E1613">
        <f>664649536/10^6</f>
        <v>664.64953600000001</v>
      </c>
      <c r="F1613">
        <f>0</f>
        <v>0</v>
      </c>
      <c r="G1613">
        <f>231628113/10^6</f>
        <v>231.62811300000001</v>
      </c>
      <c r="H1613">
        <f>0</f>
        <v>0</v>
      </c>
      <c r="I1613">
        <f>-40404209/10^6</f>
        <v>-40.404209000000002</v>
      </c>
      <c r="J1613">
        <f>0</f>
        <v>0</v>
      </c>
    </row>
    <row r="1614" spans="1:10" x14ac:dyDescent="0.25">
      <c r="A1614" t="s">
        <v>1623</v>
      </c>
      <c r="B1614" t="s">
        <v>11</v>
      </c>
      <c r="C1614">
        <v>0</v>
      </c>
      <c r="D1614">
        <f>2</f>
        <v>2</v>
      </c>
      <c r="F1614">
        <f>2</f>
        <v>2</v>
      </c>
      <c r="H1614">
        <f>2</f>
        <v>2</v>
      </c>
      <c r="J1614">
        <f>2</f>
        <v>2</v>
      </c>
    </row>
    <row r="1615" spans="1:10" x14ac:dyDescent="0.25">
      <c r="A1615" t="s">
        <v>1624</v>
      </c>
      <c r="B1615" t="s">
        <v>11</v>
      </c>
      <c r="C1615">
        <v>118.093734375</v>
      </c>
      <c r="D1615">
        <f>0</f>
        <v>0</v>
      </c>
      <c r="E1615">
        <f>667206299/10^6</f>
        <v>667.20629899999994</v>
      </c>
      <c r="F1615">
        <f>0</f>
        <v>0</v>
      </c>
      <c r="G1615">
        <f>231556732/10^6</f>
        <v>231.55673200000001</v>
      </c>
      <c r="H1615">
        <f>0</f>
        <v>0</v>
      </c>
      <c r="I1615">
        <f>-40621506/10^6</f>
        <v>-40.621505999999997</v>
      </c>
      <c r="J1615">
        <f>0</f>
        <v>0</v>
      </c>
    </row>
    <row r="1616" spans="1:10" x14ac:dyDescent="0.25">
      <c r="A1616" t="s">
        <v>1625</v>
      </c>
      <c r="B1616" t="s">
        <v>11</v>
      </c>
      <c r="C1616">
        <v>0</v>
      </c>
      <c r="D1616">
        <f>2</f>
        <v>2</v>
      </c>
      <c r="F1616">
        <f>2</f>
        <v>2</v>
      </c>
      <c r="H1616">
        <f>2</f>
        <v>2</v>
      </c>
      <c r="J1616">
        <f>2</f>
        <v>2</v>
      </c>
    </row>
    <row r="1617" spans="1:10" x14ac:dyDescent="0.25">
      <c r="A1617" t="s">
        <v>1626</v>
      </c>
      <c r="B1617" t="s">
        <v>11</v>
      </c>
      <c r="C1617">
        <v>117.708101563</v>
      </c>
      <c r="D1617">
        <f>0</f>
        <v>0</v>
      </c>
      <c r="E1617">
        <f>66954248/10^5</f>
        <v>669.54247999999995</v>
      </c>
      <c r="F1617">
        <f>0</f>
        <v>0</v>
      </c>
      <c r="G1617">
        <f>231514938/10^6</f>
        <v>231.514938</v>
      </c>
      <c r="H1617">
        <f>0</f>
        <v>0</v>
      </c>
      <c r="I1617">
        <f>-41084816/10^6</f>
        <v>-41.084815999999996</v>
      </c>
      <c r="J1617">
        <f>0</f>
        <v>0</v>
      </c>
    </row>
    <row r="1618" spans="1:10" x14ac:dyDescent="0.25">
      <c r="A1618" t="s">
        <v>1627</v>
      </c>
      <c r="B1618" t="s">
        <v>11</v>
      </c>
      <c r="C1618">
        <v>117.54159375</v>
      </c>
      <c r="D1618">
        <f>0</f>
        <v>0</v>
      </c>
      <c r="E1618">
        <f>670413696/10^6</f>
        <v>670.41369599999996</v>
      </c>
      <c r="F1618">
        <f>0</f>
        <v>0</v>
      </c>
      <c r="G1618">
        <f>231482162/10^6</f>
        <v>231.48216199999999</v>
      </c>
      <c r="H1618">
        <f>0</f>
        <v>0</v>
      </c>
      <c r="I1618">
        <f>-41127701/10^6</f>
        <v>-41.127701000000002</v>
      </c>
      <c r="J1618">
        <f>0</f>
        <v>0</v>
      </c>
    </row>
    <row r="1619" spans="1:10" x14ac:dyDescent="0.25">
      <c r="A1619" t="s">
        <v>1628</v>
      </c>
      <c r="B1619" t="s">
        <v>11</v>
      </c>
      <c r="C1619">
        <v>117.355515625</v>
      </c>
      <c r="D1619">
        <f>0</f>
        <v>0</v>
      </c>
      <c r="E1619">
        <f>671506104/10^6</f>
        <v>671.50610400000005</v>
      </c>
      <c r="F1619">
        <f>0</f>
        <v>0</v>
      </c>
      <c r="G1619">
        <f>231457016/10^6</f>
        <v>231.45701600000001</v>
      </c>
      <c r="H1619">
        <f>0</f>
        <v>0</v>
      </c>
      <c r="I1619">
        <f>-4116494/10^5</f>
        <v>-41.164940000000001</v>
      </c>
      <c r="J1619">
        <f>0</f>
        <v>0</v>
      </c>
    </row>
    <row r="1620" spans="1:10" x14ac:dyDescent="0.25">
      <c r="A1620" t="s">
        <v>1629</v>
      </c>
      <c r="B1620" t="s">
        <v>11</v>
      </c>
      <c r="C1620">
        <v>117.12416406300001</v>
      </c>
      <c r="D1620">
        <f>0</f>
        <v>0</v>
      </c>
      <c r="E1620">
        <f>672852295/10^6</f>
        <v>672.85229500000003</v>
      </c>
      <c r="F1620">
        <f>0</f>
        <v>0</v>
      </c>
      <c r="G1620">
        <f>231427353/10^6</f>
        <v>231.42735300000001</v>
      </c>
      <c r="H1620">
        <f>0</f>
        <v>0</v>
      </c>
      <c r="I1620">
        <f>-41369087/10^6</f>
        <v>-41.369087</v>
      </c>
      <c r="J1620">
        <f>0</f>
        <v>0</v>
      </c>
    </row>
    <row r="1621" spans="1:10" x14ac:dyDescent="0.25">
      <c r="A1621" t="s">
        <v>1630</v>
      </c>
      <c r="B1621" t="s">
        <v>11</v>
      </c>
      <c r="C1621">
        <v>0</v>
      </c>
      <c r="D1621">
        <f>2</f>
        <v>2</v>
      </c>
      <c r="F1621">
        <f>2</f>
        <v>2</v>
      </c>
      <c r="H1621">
        <f>2</f>
        <v>2</v>
      </c>
      <c r="J1621">
        <f>2</f>
        <v>2</v>
      </c>
    </row>
    <row r="1622" spans="1:10" x14ac:dyDescent="0.25">
      <c r="A1622" t="s">
        <v>1631</v>
      </c>
      <c r="B1622" t="s">
        <v>11</v>
      </c>
      <c r="C1622">
        <v>116.64324999999999</v>
      </c>
      <c r="D1622">
        <f>0</f>
        <v>0</v>
      </c>
      <c r="E1622">
        <f>675522949/10^6</f>
        <v>675.52294900000004</v>
      </c>
      <c r="F1622">
        <f>0</f>
        <v>0</v>
      </c>
      <c r="G1622">
        <f>231373795/10^6</f>
        <v>231.373795</v>
      </c>
      <c r="H1622">
        <f>0</f>
        <v>0</v>
      </c>
      <c r="I1622">
        <f>-41459015/10^6</f>
        <v>-41.459015000000001</v>
      </c>
      <c r="J1622">
        <f>0</f>
        <v>0</v>
      </c>
    </row>
    <row r="1623" spans="1:10" x14ac:dyDescent="0.25">
      <c r="A1623" t="s">
        <v>1632</v>
      </c>
      <c r="B1623" t="s">
        <v>11</v>
      </c>
      <c r="C1623">
        <v>116.37877343800001</v>
      </c>
      <c r="D1623">
        <f>0</f>
        <v>0</v>
      </c>
      <c r="E1623">
        <f>677174622/10^6</f>
        <v>677.174622</v>
      </c>
      <c r="F1623">
        <f>0</f>
        <v>0</v>
      </c>
      <c r="G1623">
        <f>231329895/10^6</f>
        <v>231.32989499999999</v>
      </c>
      <c r="H1623">
        <f>0</f>
        <v>0</v>
      </c>
      <c r="I1623">
        <f>-41775658/10^6</f>
        <v>-41.775658</v>
      </c>
      <c r="J1623">
        <f>0</f>
        <v>0</v>
      </c>
    </row>
    <row r="1624" spans="1:10" x14ac:dyDescent="0.25">
      <c r="A1624" t="s">
        <v>1633</v>
      </c>
      <c r="B1624" t="s">
        <v>11</v>
      </c>
      <c r="C1624">
        <v>116.089203125</v>
      </c>
      <c r="D1624">
        <f>0</f>
        <v>0</v>
      </c>
      <c r="E1624">
        <f>678991211/10^6</f>
        <v>678.99121100000002</v>
      </c>
      <c r="F1624">
        <f>0</f>
        <v>0</v>
      </c>
      <c r="G1624">
        <f>231289337/10^6</f>
        <v>231.28933699999999</v>
      </c>
      <c r="H1624">
        <f>0</f>
        <v>0</v>
      </c>
      <c r="I1624">
        <f>-42177273/10^6</f>
        <v>-42.177273</v>
      </c>
      <c r="J1624">
        <f>0</f>
        <v>0</v>
      </c>
    </row>
    <row r="1625" spans="1:10" x14ac:dyDescent="0.25">
      <c r="A1625" t="s">
        <v>1634</v>
      </c>
      <c r="B1625" t="s">
        <v>11</v>
      </c>
      <c r="C1625">
        <v>115.8159375</v>
      </c>
      <c r="D1625">
        <f>0</f>
        <v>0</v>
      </c>
      <c r="E1625">
        <f>6803396/10^4</f>
        <v>680.33960000000002</v>
      </c>
      <c r="F1625">
        <f>0</f>
        <v>0</v>
      </c>
      <c r="G1625">
        <f>231205505/10^6</f>
        <v>231.20550499999999</v>
      </c>
      <c r="H1625">
        <f>0</f>
        <v>0</v>
      </c>
      <c r="I1625">
        <f>-42254337/10^6</f>
        <v>-42.254337</v>
      </c>
      <c r="J1625">
        <f>0</f>
        <v>0</v>
      </c>
    </row>
    <row r="1626" spans="1:10" x14ac:dyDescent="0.25">
      <c r="A1626" t="s">
        <v>1635</v>
      </c>
      <c r="B1626" t="s">
        <v>11</v>
      </c>
      <c r="C1626">
        <v>115.585273438</v>
      </c>
      <c r="D1626">
        <f>0</f>
        <v>0</v>
      </c>
      <c r="E1626">
        <f>681399231/10^6</f>
        <v>681.39923099999999</v>
      </c>
      <c r="F1626">
        <f>0</f>
        <v>0</v>
      </c>
      <c r="G1626">
        <f>231053528/10^6</f>
        <v>231.053528</v>
      </c>
      <c r="H1626">
        <f>0</f>
        <v>0</v>
      </c>
      <c r="I1626">
        <f>-42423138/10^6</f>
        <v>-42.423138000000002</v>
      </c>
      <c r="J1626">
        <f>0</f>
        <v>0</v>
      </c>
    </row>
    <row r="1627" spans="1:10" x14ac:dyDescent="0.25">
      <c r="A1627" t="s">
        <v>1636</v>
      </c>
      <c r="B1627" t="s">
        <v>11</v>
      </c>
      <c r="C1627">
        <v>115.416453125</v>
      </c>
      <c r="D1627">
        <f>0</f>
        <v>0</v>
      </c>
      <c r="E1627">
        <f>682425537/10^6</f>
        <v>682.42553699999996</v>
      </c>
      <c r="F1627">
        <f>0</f>
        <v>0</v>
      </c>
      <c r="G1627">
        <f>231004868/10^6</f>
        <v>231.00486799999999</v>
      </c>
      <c r="H1627">
        <f>0</f>
        <v>0</v>
      </c>
      <c r="I1627">
        <f>-42699207/10^6</f>
        <v>-42.699207000000001</v>
      </c>
      <c r="J1627">
        <f>0</f>
        <v>0</v>
      </c>
    </row>
    <row r="1628" spans="1:10" x14ac:dyDescent="0.25">
      <c r="A1628" t="s">
        <v>1637</v>
      </c>
      <c r="B1628" t="s">
        <v>11</v>
      </c>
      <c r="C1628">
        <v>115.2811875</v>
      </c>
      <c r="D1628">
        <f>0</f>
        <v>0</v>
      </c>
      <c r="E1628">
        <f>683314636/10^6</f>
        <v>683.31463599999995</v>
      </c>
      <c r="F1628">
        <f>0</f>
        <v>0</v>
      </c>
      <c r="G1628">
        <f>231042328/10^6</f>
        <v>231.042328</v>
      </c>
      <c r="H1628">
        <f>0</f>
        <v>0</v>
      </c>
      <c r="I1628">
        <f>-427262/10^4</f>
        <v>-42.726199999999999</v>
      </c>
      <c r="J1628">
        <f>0</f>
        <v>0</v>
      </c>
    </row>
    <row r="1629" spans="1:10" x14ac:dyDescent="0.25">
      <c r="A1629" t="s">
        <v>1638</v>
      </c>
      <c r="B1629" t="s">
        <v>11</v>
      </c>
      <c r="C1629">
        <v>115.12190624999999</v>
      </c>
      <c r="D1629">
        <f>0</f>
        <v>0</v>
      </c>
      <c r="E1629">
        <f>684059937/10^6</f>
        <v>684.05993699999999</v>
      </c>
      <c r="F1629">
        <f>0</f>
        <v>0</v>
      </c>
      <c r="G1629">
        <f>230937836/10^6</f>
        <v>230.937836</v>
      </c>
      <c r="H1629">
        <f>0</f>
        <v>0</v>
      </c>
      <c r="I1629">
        <f>-42840504/10^6</f>
        <v>-42.840504000000003</v>
      </c>
      <c r="J1629">
        <f>0</f>
        <v>0</v>
      </c>
    </row>
    <row r="1630" spans="1:10" x14ac:dyDescent="0.25">
      <c r="A1630" t="s">
        <v>1639</v>
      </c>
      <c r="B1630" t="s">
        <v>11</v>
      </c>
      <c r="C1630">
        <v>0</v>
      </c>
      <c r="D1630">
        <f>2</f>
        <v>2</v>
      </c>
      <c r="F1630">
        <f>2</f>
        <v>2</v>
      </c>
      <c r="H1630">
        <f>2</f>
        <v>2</v>
      </c>
      <c r="J1630">
        <f>2</f>
        <v>2</v>
      </c>
    </row>
    <row r="1631" spans="1:10" x14ac:dyDescent="0.25">
      <c r="A1631" t="s">
        <v>1640</v>
      </c>
      <c r="B1631" t="s">
        <v>11</v>
      </c>
      <c r="C1631">
        <v>114.93615625</v>
      </c>
      <c r="D1631">
        <f>0</f>
        <v>0</v>
      </c>
      <c r="E1631">
        <f>684822449/10^6</f>
        <v>684.82244900000001</v>
      </c>
      <c r="F1631">
        <f>0</f>
        <v>0</v>
      </c>
      <c r="G1631">
        <f>230812332/10^6</f>
        <v>230.812332</v>
      </c>
      <c r="H1631">
        <f>0</f>
        <v>0</v>
      </c>
      <c r="I1631">
        <f>-42925777/10^6</f>
        <v>-42.925776999999997</v>
      </c>
      <c r="J1631">
        <f>0</f>
        <v>0</v>
      </c>
    </row>
    <row r="1632" spans="1:10" x14ac:dyDescent="0.25">
      <c r="A1632" t="s">
        <v>1641</v>
      </c>
      <c r="B1632" t="s">
        <v>11</v>
      </c>
      <c r="C1632">
        <v>114.84430468800001</v>
      </c>
      <c r="D1632">
        <f>0</f>
        <v>0</v>
      </c>
      <c r="E1632">
        <f>685572021/10^6</f>
        <v>685.57202099999995</v>
      </c>
      <c r="F1632">
        <f>0</f>
        <v>0</v>
      </c>
      <c r="G1632">
        <f>230843338/10^6</f>
        <v>230.84333799999999</v>
      </c>
      <c r="H1632">
        <f>0</f>
        <v>0</v>
      </c>
      <c r="I1632">
        <f>-43066696/10^6</f>
        <v>-43.066696</v>
      </c>
      <c r="J1632">
        <f>0</f>
        <v>0</v>
      </c>
    </row>
    <row r="1633" spans="1:10" x14ac:dyDescent="0.25">
      <c r="A1633" t="s">
        <v>1642</v>
      </c>
      <c r="B1633" t="s">
        <v>11</v>
      </c>
      <c r="C1633">
        <v>114.767960938</v>
      </c>
      <c r="D1633">
        <f>0</f>
        <v>0</v>
      </c>
      <c r="E1633">
        <f>686008118/10^6</f>
        <v>686.00811799999997</v>
      </c>
      <c r="F1633">
        <f>0</f>
        <v>0</v>
      </c>
      <c r="G1633">
        <f>230803528/10^6</f>
        <v>230.803528</v>
      </c>
      <c r="H1633">
        <f>0</f>
        <v>0</v>
      </c>
      <c r="I1633">
        <f>-4326757/10^5</f>
        <v>-43.267569999999999</v>
      </c>
      <c r="J1633">
        <f>0</f>
        <v>0</v>
      </c>
    </row>
    <row r="1634" spans="1:10" x14ac:dyDescent="0.25">
      <c r="A1634" t="s">
        <v>1643</v>
      </c>
      <c r="B1634" t="s">
        <v>11</v>
      </c>
      <c r="C1634">
        <v>114.8125</v>
      </c>
      <c r="D1634">
        <f>0</f>
        <v>0</v>
      </c>
      <c r="E1634">
        <f>685661682/10^6</f>
        <v>685.66168200000004</v>
      </c>
      <c r="F1634">
        <f>0</f>
        <v>0</v>
      </c>
      <c r="G1634">
        <f>230789627/10^6</f>
        <v>230.789627</v>
      </c>
      <c r="H1634">
        <f>0</f>
        <v>0</v>
      </c>
      <c r="I1634">
        <f>-43229897/10^6</f>
        <v>-43.229897000000001</v>
      </c>
      <c r="J1634">
        <f>0</f>
        <v>0</v>
      </c>
    </row>
    <row r="1635" spans="1:10" x14ac:dyDescent="0.25">
      <c r="A1635" t="s">
        <v>1644</v>
      </c>
      <c r="B1635" t="s">
        <v>11</v>
      </c>
      <c r="C1635">
        <v>114.89983593800001</v>
      </c>
      <c r="D1635">
        <f>0</f>
        <v>0</v>
      </c>
      <c r="E1635">
        <f>685262573/10^6</f>
        <v>685.26257299999997</v>
      </c>
      <c r="F1635">
        <f>0</f>
        <v>0</v>
      </c>
      <c r="G1635">
        <f>230874527/10^6</f>
        <v>230.874527</v>
      </c>
      <c r="H1635">
        <f>0</f>
        <v>0</v>
      </c>
      <c r="I1635">
        <f>-43097969/10^6</f>
        <v>-43.097968999999999</v>
      </c>
      <c r="J1635">
        <f>0</f>
        <v>0</v>
      </c>
    </row>
    <row r="1636" spans="1:10" x14ac:dyDescent="0.25">
      <c r="A1636" t="s">
        <v>1645</v>
      </c>
      <c r="B1636" t="s">
        <v>11</v>
      </c>
      <c r="C1636">
        <v>114.97339062499999</v>
      </c>
      <c r="D1636">
        <f>0</f>
        <v>0</v>
      </c>
      <c r="E1636">
        <f>684987549/10^6</f>
        <v>684.98754899999994</v>
      </c>
      <c r="F1636">
        <f>0</f>
        <v>0</v>
      </c>
      <c r="G1636">
        <f>230930954/10^6</f>
        <v>230.93095400000001</v>
      </c>
      <c r="H1636">
        <f>0</f>
        <v>0</v>
      </c>
      <c r="I1636">
        <f>-43092911/10^6</f>
        <v>-43.092911000000001</v>
      </c>
      <c r="J1636">
        <f>0</f>
        <v>0</v>
      </c>
    </row>
    <row r="1637" spans="1:10" x14ac:dyDescent="0.25">
      <c r="A1637" t="s">
        <v>1646</v>
      </c>
      <c r="B1637" t="s">
        <v>11</v>
      </c>
      <c r="C1637">
        <v>115.04408593800001</v>
      </c>
      <c r="D1637">
        <f>0</f>
        <v>0</v>
      </c>
      <c r="E1637">
        <f>684597107/10^6</f>
        <v>684.59710700000005</v>
      </c>
      <c r="F1637">
        <f>0</f>
        <v>0</v>
      </c>
      <c r="G1637">
        <f>230940079/10^6</f>
        <v>230.940079</v>
      </c>
      <c r="H1637">
        <f>0</f>
        <v>0</v>
      </c>
      <c r="I1637">
        <f>-42968365/10^6</f>
        <v>-42.968364999999999</v>
      </c>
      <c r="J1637">
        <f>0</f>
        <v>0</v>
      </c>
    </row>
    <row r="1638" spans="1:10" x14ac:dyDescent="0.25">
      <c r="A1638" t="s">
        <v>1647</v>
      </c>
      <c r="B1638" t="s">
        <v>11</v>
      </c>
      <c r="C1638">
        <v>115.102414063</v>
      </c>
      <c r="D1638">
        <f>0</f>
        <v>0</v>
      </c>
      <c r="E1638">
        <f>684271545/10^6</f>
        <v>684.27154499999995</v>
      </c>
      <c r="F1638">
        <f>0</f>
        <v>0</v>
      </c>
      <c r="G1638">
        <f>230985474/10^6</f>
        <v>230.98547400000001</v>
      </c>
      <c r="H1638">
        <f>0</f>
        <v>0</v>
      </c>
      <c r="I1638">
        <f>-42791985/10^6</f>
        <v>-42.791984999999997</v>
      </c>
      <c r="J1638">
        <f>0</f>
        <v>0</v>
      </c>
    </row>
    <row r="1639" spans="1:10" x14ac:dyDescent="0.25">
      <c r="A1639" t="s">
        <v>1648</v>
      </c>
      <c r="B1639" t="s">
        <v>11</v>
      </c>
      <c r="C1639">
        <v>115.17100000000001</v>
      </c>
      <c r="D1639">
        <f>0</f>
        <v>0</v>
      </c>
      <c r="E1639">
        <f>683800354/10^6</f>
        <v>683.80035399999997</v>
      </c>
      <c r="F1639">
        <f>0</f>
        <v>0</v>
      </c>
      <c r="G1639">
        <f>230978958/10^6</f>
        <v>230.97895800000001</v>
      </c>
      <c r="H1639">
        <f>0</f>
        <v>0</v>
      </c>
      <c r="I1639">
        <f>-42800327/10^6</f>
        <v>-42.800327000000003</v>
      </c>
      <c r="J1639">
        <f>0</f>
        <v>0</v>
      </c>
    </row>
    <row r="1640" spans="1:10" x14ac:dyDescent="0.25">
      <c r="A1640" t="s">
        <v>1649</v>
      </c>
      <c r="B1640" t="s">
        <v>11</v>
      </c>
      <c r="C1640">
        <v>115.281914063</v>
      </c>
      <c r="D1640">
        <f>0</f>
        <v>0</v>
      </c>
      <c r="E1640">
        <f>683292236/10^6</f>
        <v>683.292236</v>
      </c>
      <c r="F1640">
        <f>0</f>
        <v>0</v>
      </c>
      <c r="G1640">
        <f>231014526/10^6</f>
        <v>231.01452599999999</v>
      </c>
      <c r="H1640">
        <f>0</f>
        <v>0</v>
      </c>
      <c r="I1640">
        <f>-42910492/10^6</f>
        <v>-42.910491999999998</v>
      </c>
      <c r="J1640">
        <f>0</f>
        <v>0</v>
      </c>
    </row>
    <row r="1641" spans="1:10" x14ac:dyDescent="0.25">
      <c r="A1641" t="s">
        <v>1650</v>
      </c>
      <c r="B1641" t="s">
        <v>11</v>
      </c>
      <c r="C1641">
        <v>115.46926562500001</v>
      </c>
      <c r="D1641">
        <f>0</f>
        <v>0</v>
      </c>
      <c r="E1641">
        <f>682539124/10^6</f>
        <v>682.53912400000002</v>
      </c>
      <c r="F1641">
        <f>0</f>
        <v>0</v>
      </c>
      <c r="G1641">
        <f>231134277/10^6</f>
        <v>231.134277</v>
      </c>
      <c r="H1641">
        <f>0</f>
        <v>0</v>
      </c>
      <c r="I1641">
        <f>-42939995/10^6</f>
        <v>-42.939995000000003</v>
      </c>
      <c r="J1641">
        <f>0</f>
        <v>0</v>
      </c>
    </row>
    <row r="1642" spans="1:10" x14ac:dyDescent="0.25">
      <c r="A1642" t="s">
        <v>1651</v>
      </c>
      <c r="B1642" t="s">
        <v>11</v>
      </c>
      <c r="C1642">
        <v>115.73263281300001</v>
      </c>
      <c r="D1642">
        <f>0</f>
        <v>0</v>
      </c>
      <c r="E1642">
        <f>681083252/10^6</f>
        <v>681.08325200000002</v>
      </c>
      <c r="F1642">
        <f>0</f>
        <v>0</v>
      </c>
      <c r="G1642">
        <f>231204285/10^6</f>
        <v>231.204285</v>
      </c>
      <c r="H1642">
        <f>0</f>
        <v>0</v>
      </c>
      <c r="I1642">
        <f>-42703327/10^6</f>
        <v>-42.703327000000002</v>
      </c>
      <c r="J1642">
        <f>0</f>
        <v>0</v>
      </c>
    </row>
    <row r="1643" spans="1:10" x14ac:dyDescent="0.25">
      <c r="A1643" t="s">
        <v>1652</v>
      </c>
      <c r="B1643" t="s">
        <v>11</v>
      </c>
      <c r="C1643">
        <v>116.03687499999999</v>
      </c>
      <c r="D1643">
        <f>0</f>
        <v>0</v>
      </c>
      <c r="E1643">
        <f>67939032/10^5</f>
        <v>679.39031999999997</v>
      </c>
      <c r="F1643">
        <f>0</f>
        <v>0</v>
      </c>
      <c r="G1643">
        <f>231249008/10^6</f>
        <v>231.249008</v>
      </c>
      <c r="H1643">
        <f>0</f>
        <v>0</v>
      </c>
      <c r="I1643">
        <f>-42582169/10^6</f>
        <v>-42.582169</v>
      </c>
      <c r="J1643">
        <f>0</f>
        <v>0</v>
      </c>
    </row>
    <row r="1644" spans="1:10" x14ac:dyDescent="0.25">
      <c r="A1644" t="s">
        <v>1653</v>
      </c>
      <c r="B1644" t="s">
        <v>11</v>
      </c>
      <c r="C1644">
        <v>116.37754687499999</v>
      </c>
      <c r="D1644">
        <f>0</f>
        <v>0</v>
      </c>
      <c r="E1644">
        <f>677505554/10^6</f>
        <v>677.50555399999996</v>
      </c>
      <c r="F1644">
        <f>0</f>
        <v>0</v>
      </c>
      <c r="G1644">
        <f>231326233/10^6</f>
        <v>231.326233</v>
      </c>
      <c r="H1644">
        <f>0</f>
        <v>0</v>
      </c>
      <c r="I1644">
        <f>-4240596/10^5</f>
        <v>-42.40596</v>
      </c>
      <c r="J1644">
        <f>0</f>
        <v>0</v>
      </c>
    </row>
    <row r="1645" spans="1:10" x14ac:dyDescent="0.25">
      <c r="A1645" t="s">
        <v>1654</v>
      </c>
      <c r="B1645" t="s">
        <v>11</v>
      </c>
      <c r="C1645">
        <v>116.809335938</v>
      </c>
      <c r="D1645">
        <f>0</f>
        <v>0</v>
      </c>
      <c r="E1645">
        <f>674987671/10^6</f>
        <v>674.98767099999998</v>
      </c>
      <c r="F1645">
        <f>0</f>
        <v>0</v>
      </c>
      <c r="G1645">
        <f>231415894/10^6</f>
        <v>231.41589400000001</v>
      </c>
      <c r="H1645">
        <f>0</f>
        <v>0</v>
      </c>
      <c r="I1645">
        <f>-42040943/10^6</f>
        <v>-42.040942999999999</v>
      </c>
      <c r="J1645">
        <f>0</f>
        <v>0</v>
      </c>
    </row>
    <row r="1646" spans="1:10" x14ac:dyDescent="0.25">
      <c r="A1646" t="s">
        <v>1655</v>
      </c>
      <c r="B1646" t="s">
        <v>11</v>
      </c>
      <c r="C1646">
        <v>117.374140625</v>
      </c>
      <c r="D1646">
        <f>0</f>
        <v>0</v>
      </c>
      <c r="E1646">
        <f>671816833/10^6</f>
        <v>671.81683299999997</v>
      </c>
      <c r="F1646">
        <f>0</f>
        <v>0</v>
      </c>
      <c r="G1646">
        <f>231512497/10^6</f>
        <v>231.512497</v>
      </c>
      <c r="H1646">
        <f>0</f>
        <v>0</v>
      </c>
      <c r="I1646">
        <f>-41762062/10^6</f>
        <v>-41.762062</v>
      </c>
      <c r="J1646">
        <f>0</f>
        <v>0</v>
      </c>
    </row>
    <row r="1647" spans="1:10" x14ac:dyDescent="0.25">
      <c r="A1647" t="s">
        <v>1656</v>
      </c>
      <c r="B1647" t="s">
        <v>11</v>
      </c>
      <c r="C1647">
        <v>0</v>
      </c>
      <c r="D1647">
        <f>2</f>
        <v>2</v>
      </c>
      <c r="F1647">
        <f>2</f>
        <v>2</v>
      </c>
      <c r="H1647">
        <f>2</f>
        <v>2</v>
      </c>
      <c r="J1647">
        <f>2</f>
        <v>2</v>
      </c>
    </row>
    <row r="1648" spans="1:10" x14ac:dyDescent="0.25">
      <c r="A1648" t="s">
        <v>1657</v>
      </c>
      <c r="B1648" t="s">
        <v>11</v>
      </c>
      <c r="C1648">
        <v>118.77434375</v>
      </c>
      <c r="D1648">
        <f>0</f>
        <v>0</v>
      </c>
      <c r="E1648">
        <f>663907593/10^6</f>
        <v>663.90759300000002</v>
      </c>
      <c r="F1648">
        <f>0</f>
        <v>0</v>
      </c>
      <c r="G1648">
        <f>231683716/10^6</f>
        <v>231.683716</v>
      </c>
      <c r="H1648">
        <f>0</f>
        <v>0</v>
      </c>
      <c r="I1648">
        <f>-41027554/10^6</f>
        <v>-41.027554000000002</v>
      </c>
      <c r="J1648">
        <f>0</f>
        <v>0</v>
      </c>
    </row>
    <row r="1649" spans="1:10" x14ac:dyDescent="0.25">
      <c r="A1649" t="s">
        <v>1658</v>
      </c>
      <c r="B1649" t="s">
        <v>11</v>
      </c>
      <c r="C1649">
        <v>119.53521093800001</v>
      </c>
      <c r="D1649">
        <f>0</f>
        <v>0</v>
      </c>
      <c r="E1649">
        <f>659445618/10^6</f>
        <v>659.44561799999997</v>
      </c>
      <c r="F1649">
        <f>0</f>
        <v>0</v>
      </c>
      <c r="G1649">
        <f>231758713/10^6</f>
        <v>231.758713</v>
      </c>
      <c r="H1649">
        <f>0</f>
        <v>0</v>
      </c>
      <c r="I1649">
        <f>-40519409/10^6</f>
        <v>-40.519409000000003</v>
      </c>
      <c r="J1649">
        <f>0</f>
        <v>0</v>
      </c>
    </row>
    <row r="1650" spans="1:10" x14ac:dyDescent="0.25">
      <c r="A1650" t="s">
        <v>1659</v>
      </c>
      <c r="B1650" t="s">
        <v>11</v>
      </c>
      <c r="C1650">
        <v>120.291398438</v>
      </c>
      <c r="D1650">
        <f>0</f>
        <v>0</v>
      </c>
      <c r="E1650">
        <f>655075867/10^6</f>
        <v>655.07586700000002</v>
      </c>
      <c r="F1650">
        <f>0</f>
        <v>0</v>
      </c>
      <c r="G1650">
        <f>231822693/10^6</f>
        <v>231.82269299999999</v>
      </c>
      <c r="H1650">
        <f>0</f>
        <v>0</v>
      </c>
      <c r="I1650">
        <f>-3989045/10^5</f>
        <v>-39.890450000000001</v>
      </c>
      <c r="J1650">
        <f>0</f>
        <v>0</v>
      </c>
    </row>
    <row r="1651" spans="1:10" x14ac:dyDescent="0.25">
      <c r="A1651" t="s">
        <v>1660</v>
      </c>
      <c r="B1651" t="s">
        <v>11</v>
      </c>
      <c r="C1651">
        <v>120.96487500000001</v>
      </c>
      <c r="D1651">
        <f>0</f>
        <v>0</v>
      </c>
      <c r="E1651">
        <f>651325867/10^6</f>
        <v>651.32586700000002</v>
      </c>
      <c r="F1651">
        <f>0</f>
        <v>0</v>
      </c>
      <c r="G1651">
        <f>231859894/10^6</f>
        <v>231.859894</v>
      </c>
      <c r="H1651">
        <f>0</f>
        <v>0</v>
      </c>
      <c r="I1651">
        <f>-39549496/10^6</f>
        <v>-39.549495999999998</v>
      </c>
      <c r="J1651">
        <f>0</f>
        <v>0</v>
      </c>
    </row>
    <row r="1652" spans="1:10" x14ac:dyDescent="0.25">
      <c r="A1652" t="s">
        <v>1661</v>
      </c>
      <c r="B1652" t="s">
        <v>11</v>
      </c>
      <c r="C1652">
        <v>121.489898438</v>
      </c>
      <c r="D1652">
        <f>0</f>
        <v>0</v>
      </c>
      <c r="E1652">
        <f>648303772/10^6</f>
        <v>648.30377199999998</v>
      </c>
      <c r="F1652">
        <f>0</f>
        <v>0</v>
      </c>
      <c r="G1652">
        <f>231892975/10^6</f>
        <v>231.89297500000001</v>
      </c>
      <c r="H1652">
        <f>0</f>
        <v>0</v>
      </c>
      <c r="I1652">
        <f>-39260353/10^6</f>
        <v>-39.260353000000002</v>
      </c>
      <c r="J1652">
        <f>0</f>
        <v>0</v>
      </c>
    </row>
    <row r="1653" spans="1:10" x14ac:dyDescent="0.25">
      <c r="A1653" t="s">
        <v>1662</v>
      </c>
      <c r="B1653" t="s">
        <v>11</v>
      </c>
      <c r="C1653">
        <v>121.873234375</v>
      </c>
      <c r="D1653">
        <f>0</f>
        <v>0</v>
      </c>
      <c r="E1653">
        <f>646148132/10^6</f>
        <v>646.14813200000003</v>
      </c>
      <c r="F1653">
        <f>0</f>
        <v>0</v>
      </c>
      <c r="G1653">
        <f>231938354/10^6</f>
        <v>231.938354</v>
      </c>
      <c r="H1653">
        <f>0</f>
        <v>0</v>
      </c>
      <c r="I1653">
        <f>-38859657/10^6</f>
        <v>-38.859656999999999</v>
      </c>
      <c r="J1653">
        <f>0</f>
        <v>0</v>
      </c>
    </row>
    <row r="1654" spans="1:10" x14ac:dyDescent="0.25">
      <c r="A1654" t="s">
        <v>1663</v>
      </c>
      <c r="B1654" t="s">
        <v>11</v>
      </c>
      <c r="C1654">
        <v>122.11395312499999</v>
      </c>
      <c r="D1654">
        <f>0</f>
        <v>0</v>
      </c>
      <c r="E1654">
        <f>644858276/10^6</f>
        <v>644.85827600000005</v>
      </c>
      <c r="F1654">
        <f>0</f>
        <v>0</v>
      </c>
      <c r="G1654">
        <f>231985474/10^6</f>
        <v>231.98547400000001</v>
      </c>
      <c r="H1654">
        <f>0</f>
        <v>0</v>
      </c>
      <c r="I1654">
        <f>-38583916/10^6</f>
        <v>-38.583916000000002</v>
      </c>
      <c r="J1654">
        <f>0</f>
        <v>0</v>
      </c>
    </row>
    <row r="1655" spans="1:10" x14ac:dyDescent="0.25">
      <c r="A1655" t="s">
        <v>1664</v>
      </c>
      <c r="B1655" t="s">
        <v>11</v>
      </c>
      <c r="C1655">
        <v>122.247929688</v>
      </c>
      <c r="D1655">
        <f>0</f>
        <v>0</v>
      </c>
      <c r="E1655">
        <f>644290344/10^6</f>
        <v>644.290344</v>
      </c>
      <c r="F1655">
        <f>0</f>
        <v>0</v>
      </c>
      <c r="G1655">
        <f>232035675/10^6</f>
        <v>232.035675</v>
      </c>
      <c r="H1655">
        <f>0</f>
        <v>0</v>
      </c>
      <c r="I1655">
        <f>-3865873/10^5</f>
        <v>-38.658729999999998</v>
      </c>
      <c r="J1655">
        <f>0</f>
        <v>0</v>
      </c>
    </row>
    <row r="1656" spans="1:10" x14ac:dyDescent="0.25">
      <c r="A1656" t="s">
        <v>1665</v>
      </c>
      <c r="B1656" t="s">
        <v>11</v>
      </c>
      <c r="C1656">
        <v>0</v>
      </c>
      <c r="D1656">
        <f>2</f>
        <v>2</v>
      </c>
      <c r="F1656">
        <f>2</f>
        <v>2</v>
      </c>
      <c r="H1656">
        <f>2</f>
        <v>2</v>
      </c>
      <c r="J1656">
        <f>2</f>
        <v>2</v>
      </c>
    </row>
    <row r="1657" spans="1:10" x14ac:dyDescent="0.25">
      <c r="A1657" t="s">
        <v>1666</v>
      </c>
      <c r="B1657" t="s">
        <v>11</v>
      </c>
      <c r="C1657">
        <v>122.46428125</v>
      </c>
      <c r="D1657">
        <f>0</f>
        <v>0</v>
      </c>
      <c r="E1657">
        <f>643381958/10^6</f>
        <v>643.38195800000005</v>
      </c>
      <c r="F1657">
        <f>0</f>
        <v>0</v>
      </c>
      <c r="G1657">
        <f>232137741/10^6</f>
        <v>232.13774100000001</v>
      </c>
      <c r="H1657">
        <f>0</f>
        <v>0</v>
      </c>
      <c r="I1657">
        <f>-38654938/10^6</f>
        <v>-38.654938000000001</v>
      </c>
      <c r="J1657">
        <f>0</f>
        <v>0</v>
      </c>
    </row>
    <row r="1658" spans="1:10" x14ac:dyDescent="0.25">
      <c r="A1658" t="s">
        <v>1667</v>
      </c>
      <c r="B1658" t="s">
        <v>11</v>
      </c>
      <c r="C1658">
        <v>122.53088281300001</v>
      </c>
      <c r="D1658">
        <f>0</f>
        <v>0</v>
      </c>
      <c r="E1658">
        <f>643037964/10^6</f>
        <v>643.03796399999999</v>
      </c>
      <c r="F1658">
        <f>0</f>
        <v>0</v>
      </c>
      <c r="G1658">
        <f>232165604/10^6</f>
        <v>232.165604</v>
      </c>
      <c r="H1658">
        <f>0</f>
        <v>0</v>
      </c>
      <c r="I1658">
        <f>-38504345/10^6</f>
        <v>-38.504345000000001</v>
      </c>
      <c r="J1658">
        <f>0</f>
        <v>0</v>
      </c>
    </row>
    <row r="1659" spans="1:10" x14ac:dyDescent="0.25">
      <c r="A1659" t="s">
        <v>1668</v>
      </c>
      <c r="B1659" t="s">
        <v>11</v>
      </c>
      <c r="C1659">
        <v>122.522125</v>
      </c>
      <c r="D1659">
        <f>0</f>
        <v>0</v>
      </c>
      <c r="E1659">
        <f>643239136/10^6</f>
        <v>643.23913600000003</v>
      </c>
      <c r="F1659">
        <f>0</f>
        <v>0</v>
      </c>
      <c r="G1659">
        <f>232187988/10^6</f>
        <v>232.18798799999999</v>
      </c>
      <c r="H1659">
        <f>0</f>
        <v>0</v>
      </c>
      <c r="I1659">
        <f>-38570042/10^6</f>
        <v>-38.570042000000001</v>
      </c>
      <c r="J1659">
        <f>0</f>
        <v>0</v>
      </c>
    </row>
    <row r="1660" spans="1:10" x14ac:dyDescent="0.25">
      <c r="A1660" t="s">
        <v>1669</v>
      </c>
      <c r="B1660" t="s">
        <v>11</v>
      </c>
      <c r="C1660">
        <v>122.422421875</v>
      </c>
      <c r="D1660">
        <f>0</f>
        <v>0</v>
      </c>
      <c r="E1660">
        <f>643759277/10^6</f>
        <v>643.759277</v>
      </c>
      <c r="F1660">
        <f>0</f>
        <v>0</v>
      </c>
      <c r="G1660">
        <f>232196671/10^6</f>
        <v>232.19667100000001</v>
      </c>
      <c r="H1660">
        <f>0</f>
        <v>0</v>
      </c>
      <c r="I1660">
        <f>-384856/10^4</f>
        <v>-38.485599999999998</v>
      </c>
      <c r="J1660">
        <f>0</f>
        <v>0</v>
      </c>
    </row>
    <row r="1661" spans="1:10" x14ac:dyDescent="0.25">
      <c r="A1661" t="s">
        <v>1670</v>
      </c>
      <c r="B1661" t="s">
        <v>11</v>
      </c>
      <c r="C1661">
        <v>122.25263281300001</v>
      </c>
      <c r="D1661">
        <f>0</f>
        <v>0</v>
      </c>
      <c r="E1661">
        <f>644684753/10^6</f>
        <v>644.684753</v>
      </c>
      <c r="F1661">
        <f>0</f>
        <v>0</v>
      </c>
      <c r="G1661">
        <f>232189758/10^6</f>
        <v>232.18975800000001</v>
      </c>
      <c r="H1661">
        <f>0</f>
        <v>0</v>
      </c>
      <c r="I1661">
        <f>-38477287/10^6</f>
        <v>-38.477286999999997</v>
      </c>
      <c r="J1661">
        <f>0</f>
        <v>0</v>
      </c>
    </row>
    <row r="1662" spans="1:10" x14ac:dyDescent="0.25">
      <c r="A1662" t="s">
        <v>1671</v>
      </c>
      <c r="B1662" t="s">
        <v>11</v>
      </c>
      <c r="C1662">
        <v>122.04769531300001</v>
      </c>
      <c r="D1662">
        <f>0</f>
        <v>0</v>
      </c>
      <c r="E1662">
        <f>645813293/10^6</f>
        <v>645.81329300000004</v>
      </c>
      <c r="F1662">
        <f>0</f>
        <v>0</v>
      </c>
      <c r="G1662">
        <f>232179276/10^6</f>
        <v>232.17927599999999</v>
      </c>
      <c r="H1662">
        <f>0</f>
        <v>0</v>
      </c>
      <c r="I1662">
        <f>-38513172/10^6</f>
        <v>-38.513171999999997</v>
      </c>
      <c r="J1662">
        <f>0</f>
        <v>0</v>
      </c>
    </row>
    <row r="1663" spans="1:10" x14ac:dyDescent="0.25">
      <c r="A1663" t="s">
        <v>1672</v>
      </c>
      <c r="B1663" t="s">
        <v>11</v>
      </c>
      <c r="C1663">
        <v>121.833015625</v>
      </c>
      <c r="D1663">
        <f>0</f>
        <v>0</v>
      </c>
      <c r="E1663">
        <f>646933411/10^6</f>
        <v>646.93341099999998</v>
      </c>
      <c r="F1663">
        <f>0</f>
        <v>0</v>
      </c>
      <c r="G1663">
        <f>232156372/10^6</f>
        <v>232.156372</v>
      </c>
      <c r="H1663">
        <f>0</f>
        <v>0</v>
      </c>
      <c r="I1663">
        <f>-38496532/10^6</f>
        <v>-38.496532000000002</v>
      </c>
      <c r="J1663">
        <f>0</f>
        <v>0</v>
      </c>
    </row>
    <row r="1664" spans="1:10" x14ac:dyDescent="0.25">
      <c r="A1664" t="s">
        <v>1673</v>
      </c>
      <c r="B1664" t="s">
        <v>11</v>
      </c>
      <c r="C1664">
        <v>0</v>
      </c>
      <c r="D1664">
        <f>2</f>
        <v>2</v>
      </c>
      <c r="F1664">
        <f>2</f>
        <v>2</v>
      </c>
      <c r="H1664">
        <f>2</f>
        <v>2</v>
      </c>
      <c r="J1664">
        <f>2</f>
        <v>2</v>
      </c>
    </row>
    <row r="1665" spans="1:10" x14ac:dyDescent="0.25">
      <c r="A1665" t="s">
        <v>1674</v>
      </c>
      <c r="B1665" t="s">
        <v>11</v>
      </c>
      <c r="C1665">
        <v>121.361507813</v>
      </c>
      <c r="D1665">
        <f>0</f>
        <v>0</v>
      </c>
      <c r="E1665">
        <f>64956189/10^5</f>
        <v>649.56188999999995</v>
      </c>
      <c r="F1665">
        <f>0</f>
        <v>0</v>
      </c>
      <c r="G1665">
        <f>232084229/10^6</f>
        <v>232.08422899999999</v>
      </c>
      <c r="H1665">
        <f>0</f>
        <v>0</v>
      </c>
      <c r="I1665">
        <f>-38896832/10^6</f>
        <v>-38.896832000000003</v>
      </c>
      <c r="J1665">
        <f>0</f>
        <v>0</v>
      </c>
    </row>
    <row r="1666" spans="1:10" x14ac:dyDescent="0.25">
      <c r="A1666" t="s">
        <v>1675</v>
      </c>
      <c r="B1666" t="s">
        <v>11</v>
      </c>
      <c r="C1666">
        <v>121.114851563</v>
      </c>
      <c r="D1666">
        <f>0</f>
        <v>0</v>
      </c>
      <c r="E1666">
        <f>650772705/10^6</f>
        <v>650.77270499999997</v>
      </c>
      <c r="F1666">
        <f>0</f>
        <v>0</v>
      </c>
      <c r="G1666">
        <f>232046204/10^6</f>
        <v>232.04620399999999</v>
      </c>
      <c r="H1666">
        <f>0</f>
        <v>0</v>
      </c>
      <c r="I1666">
        <f>-38859436/10^6</f>
        <v>-38.859436000000002</v>
      </c>
      <c r="J1666">
        <f>0</f>
        <v>0</v>
      </c>
    </row>
    <row r="1667" spans="1:10" x14ac:dyDescent="0.25">
      <c r="A1667" t="s">
        <v>1676</v>
      </c>
      <c r="B1667" t="s">
        <v>11</v>
      </c>
      <c r="C1667">
        <v>120.877132813</v>
      </c>
      <c r="D1667">
        <f>0</f>
        <v>0</v>
      </c>
      <c r="E1667">
        <f>652108704/10^6</f>
        <v>652.10870399999999</v>
      </c>
      <c r="F1667">
        <f>0</f>
        <v>0</v>
      </c>
      <c r="G1667">
        <f>232008255/10^6</f>
        <v>232.00825499999999</v>
      </c>
      <c r="H1667">
        <f>0</f>
        <v>0</v>
      </c>
      <c r="I1667">
        <f>-3900856/10^5</f>
        <v>-39.008560000000003</v>
      </c>
      <c r="J1667">
        <f>0</f>
        <v>0</v>
      </c>
    </row>
    <row r="1668" spans="1:10" x14ac:dyDescent="0.25">
      <c r="A1668" t="s">
        <v>1677</v>
      </c>
      <c r="B1668" t="s">
        <v>11</v>
      </c>
      <c r="C1668">
        <v>120.646742188</v>
      </c>
      <c r="D1668">
        <f>0</f>
        <v>0</v>
      </c>
      <c r="E1668">
        <f>653277222/10^6</f>
        <v>653.27722200000005</v>
      </c>
      <c r="F1668">
        <f>0</f>
        <v>0</v>
      </c>
      <c r="G1668">
        <f>231966736/10^6</f>
        <v>231.966736</v>
      </c>
      <c r="H1668">
        <f>0</f>
        <v>0</v>
      </c>
      <c r="I1668">
        <f>-39144249/10^6</f>
        <v>-39.144249000000002</v>
      </c>
      <c r="J1668">
        <f>0</f>
        <v>0</v>
      </c>
    </row>
    <row r="1669" spans="1:10" x14ac:dyDescent="0.25">
      <c r="A1669" t="s">
        <v>1678</v>
      </c>
      <c r="B1669" t="s">
        <v>11</v>
      </c>
      <c r="C1669">
        <v>120.429851563</v>
      </c>
      <c r="D1669">
        <f>0</f>
        <v>0</v>
      </c>
      <c r="E1669">
        <f>654405762/10^6</f>
        <v>654.40576199999998</v>
      </c>
      <c r="F1669">
        <f>0</f>
        <v>0</v>
      </c>
      <c r="G1669">
        <f>231926971/10^6</f>
        <v>231.92697100000001</v>
      </c>
      <c r="H1669">
        <f>0</f>
        <v>0</v>
      </c>
      <c r="I1669">
        <f>-39197132/10^6</f>
        <v>-39.197132000000003</v>
      </c>
      <c r="J1669">
        <f>0</f>
        <v>0</v>
      </c>
    </row>
    <row r="1670" spans="1:10" x14ac:dyDescent="0.25">
      <c r="A1670" t="s">
        <v>1679</v>
      </c>
      <c r="B1670" t="s">
        <v>11</v>
      </c>
      <c r="C1670">
        <v>0</v>
      </c>
      <c r="D1670">
        <f>2</f>
        <v>2</v>
      </c>
      <c r="F1670">
        <f>2</f>
        <v>2</v>
      </c>
      <c r="H1670">
        <f>2</f>
        <v>2</v>
      </c>
      <c r="J1670">
        <f>2</f>
        <v>2</v>
      </c>
    </row>
    <row r="1671" spans="1:10" x14ac:dyDescent="0.25">
      <c r="A1671" t="s">
        <v>1680</v>
      </c>
      <c r="B1671" t="s">
        <v>11</v>
      </c>
      <c r="C1671">
        <v>120.03021875</v>
      </c>
      <c r="D1671">
        <f>0</f>
        <v>0</v>
      </c>
      <c r="E1671">
        <f>656523438/10^6</f>
        <v>656.52343800000006</v>
      </c>
      <c r="F1671">
        <f>0</f>
        <v>0</v>
      </c>
      <c r="G1671">
        <f>231861191/10^6</f>
        <v>231.86119099999999</v>
      </c>
      <c r="H1671">
        <f>0</f>
        <v>0</v>
      </c>
      <c r="I1671">
        <f>-39354481/10^6</f>
        <v>-39.354481</v>
      </c>
      <c r="J1671">
        <f>0</f>
        <v>0</v>
      </c>
    </row>
    <row r="1672" spans="1:10" x14ac:dyDescent="0.25">
      <c r="A1672" t="s">
        <v>1681</v>
      </c>
      <c r="B1672" t="s">
        <v>11</v>
      </c>
      <c r="C1672">
        <v>119.83715625000001</v>
      </c>
      <c r="D1672">
        <f>0</f>
        <v>0</v>
      </c>
      <c r="E1672">
        <f>65767627/10^5</f>
        <v>657.67627000000005</v>
      </c>
      <c r="F1672">
        <f>0</f>
        <v>0</v>
      </c>
      <c r="G1672">
        <f>231833038/10^6</f>
        <v>231.83303799999999</v>
      </c>
      <c r="H1672">
        <f>0</f>
        <v>0</v>
      </c>
      <c r="I1672">
        <f>-39633675/10^6</f>
        <v>-39.633674999999997</v>
      </c>
      <c r="J1672">
        <f>0</f>
        <v>0</v>
      </c>
    </row>
    <row r="1673" spans="1:10" x14ac:dyDescent="0.25">
      <c r="A1673" t="s">
        <v>1682</v>
      </c>
      <c r="B1673" t="s">
        <v>11</v>
      </c>
      <c r="C1673">
        <v>119.7325625</v>
      </c>
      <c r="D1673">
        <f>0</f>
        <v>0</v>
      </c>
      <c r="E1673">
        <f>658295959/10^6</f>
        <v>658.29595900000004</v>
      </c>
      <c r="F1673">
        <f>0</f>
        <v>0</v>
      </c>
      <c r="G1673">
        <f>231809723/10^6</f>
        <v>231.80972299999999</v>
      </c>
      <c r="H1673">
        <f>0</f>
        <v>0</v>
      </c>
      <c r="I1673">
        <f>-39733364/10^6</f>
        <v>-39.733364000000002</v>
      </c>
      <c r="J1673">
        <f>0</f>
        <v>0</v>
      </c>
    </row>
    <row r="1674" spans="1:10" x14ac:dyDescent="0.25">
      <c r="A1674" t="s">
        <v>1683</v>
      </c>
      <c r="B1674" t="s">
        <v>11</v>
      </c>
      <c r="C1674">
        <v>119.631257813</v>
      </c>
      <c r="D1674">
        <f>0</f>
        <v>0</v>
      </c>
      <c r="E1674">
        <f>658783691/10^6</f>
        <v>658.78369099999998</v>
      </c>
      <c r="F1674">
        <f>0</f>
        <v>0</v>
      </c>
      <c r="G1674">
        <f>2317939/10^4</f>
        <v>231.79390000000001</v>
      </c>
      <c r="H1674">
        <f>0</f>
        <v>0</v>
      </c>
      <c r="I1674">
        <f>-39658985/10^6</f>
        <v>-39.658985000000001</v>
      </c>
      <c r="J1674">
        <f>0</f>
        <v>0</v>
      </c>
    </row>
    <row r="1675" spans="1:10" x14ac:dyDescent="0.25">
      <c r="A1675" t="s">
        <v>1684</v>
      </c>
      <c r="B1675" t="s">
        <v>11</v>
      </c>
      <c r="C1675">
        <v>119.533992188</v>
      </c>
      <c r="D1675">
        <f>0</f>
        <v>0</v>
      </c>
      <c r="E1675">
        <f>659437134/10^6</f>
        <v>659.43713400000001</v>
      </c>
      <c r="F1675">
        <f>0</f>
        <v>0</v>
      </c>
      <c r="G1675">
        <f>231792206/10^6</f>
        <v>231.79220599999999</v>
      </c>
      <c r="H1675">
        <f>0</f>
        <v>0</v>
      </c>
      <c r="I1675">
        <f>-39956718/10^6</f>
        <v>-39.956718000000002</v>
      </c>
      <c r="J1675">
        <f>0</f>
        <v>0</v>
      </c>
    </row>
    <row r="1676" spans="1:10" x14ac:dyDescent="0.25">
      <c r="A1676" t="s">
        <v>1685</v>
      </c>
      <c r="B1676" t="s">
        <v>11</v>
      </c>
      <c r="C1676">
        <v>119.48551562500001</v>
      </c>
      <c r="D1676">
        <f>0</f>
        <v>0</v>
      </c>
      <c r="E1676">
        <f>659754395/10^6</f>
        <v>659.75439500000005</v>
      </c>
      <c r="F1676">
        <f>0</f>
        <v>0</v>
      </c>
      <c r="G1676">
        <f>231797409/10^6</f>
        <v>231.79740899999999</v>
      </c>
      <c r="H1676">
        <f>0</f>
        <v>0</v>
      </c>
      <c r="I1676">
        <f>-40078804/10^6</f>
        <v>-40.078803999999998</v>
      </c>
      <c r="J1676">
        <f>0</f>
        <v>0</v>
      </c>
    </row>
    <row r="1677" spans="1:10" x14ac:dyDescent="0.25">
      <c r="A1677" t="s">
        <v>1686</v>
      </c>
      <c r="B1677" t="s">
        <v>11</v>
      </c>
      <c r="C1677">
        <v>119.467515625</v>
      </c>
      <c r="D1677">
        <f>0</f>
        <v>0</v>
      </c>
      <c r="E1677">
        <f>659826233/10^6</f>
        <v>659.826233</v>
      </c>
      <c r="F1677">
        <f>0</f>
        <v>0</v>
      </c>
      <c r="G1677">
        <f>231801849/10^6</f>
        <v>231.801849</v>
      </c>
      <c r="H1677">
        <f>0</f>
        <v>0</v>
      </c>
      <c r="I1677">
        <f>-40005436/10^6</f>
        <v>-40.005436000000003</v>
      </c>
      <c r="J1677">
        <f>0</f>
        <v>0</v>
      </c>
    </row>
    <row r="1678" spans="1:10" x14ac:dyDescent="0.25">
      <c r="A1678" t="s">
        <v>1687</v>
      </c>
      <c r="B1678" t="s">
        <v>11</v>
      </c>
      <c r="C1678">
        <v>119.451078125</v>
      </c>
      <c r="D1678">
        <f>0</f>
        <v>0</v>
      </c>
      <c r="E1678">
        <f>659976624/10^6</f>
        <v>659.97662400000002</v>
      </c>
      <c r="F1678">
        <f>0</f>
        <v>0</v>
      </c>
      <c r="G1678">
        <f>231814148/10^6</f>
        <v>231.81414799999999</v>
      </c>
      <c r="H1678">
        <f>0</f>
        <v>0</v>
      </c>
      <c r="I1678">
        <f>-39988201/10^6</f>
        <v>-39.988200999999997</v>
      </c>
      <c r="J1678">
        <f>0</f>
        <v>0</v>
      </c>
    </row>
    <row r="1679" spans="1:10" x14ac:dyDescent="0.25">
      <c r="A1679" t="s">
        <v>1688</v>
      </c>
      <c r="B1679" t="s">
        <v>11</v>
      </c>
      <c r="C1679">
        <v>119.442640625</v>
      </c>
      <c r="D1679">
        <f>0</f>
        <v>0</v>
      </c>
      <c r="E1679">
        <f>660110779/10^6</f>
        <v>660.11077899999998</v>
      </c>
      <c r="F1679">
        <f>0</f>
        <v>0</v>
      </c>
      <c r="G1679">
        <f>231828384/10^6</f>
        <v>231.828384</v>
      </c>
      <c r="H1679">
        <f>0</f>
        <v>0</v>
      </c>
      <c r="I1679">
        <f>-39988487/10^6</f>
        <v>-39.988486999999999</v>
      </c>
      <c r="J1679">
        <f>0</f>
        <v>0</v>
      </c>
    </row>
    <row r="1680" spans="1:10" x14ac:dyDescent="0.25">
      <c r="A1680" t="s">
        <v>1689</v>
      </c>
      <c r="B1680" t="s">
        <v>11</v>
      </c>
      <c r="C1680">
        <v>119.453140625</v>
      </c>
      <c r="D1680">
        <f>0</f>
        <v>0</v>
      </c>
      <c r="E1680">
        <f>660173157/10^6</f>
        <v>660.17315699999995</v>
      </c>
      <c r="F1680">
        <f>0</f>
        <v>0</v>
      </c>
      <c r="G1680">
        <f>231845566/10^6</f>
        <v>231.84556599999999</v>
      </c>
      <c r="H1680">
        <f>0</f>
        <v>0</v>
      </c>
      <c r="I1680">
        <f>-40138786/10^6</f>
        <v>-40.138786000000003</v>
      </c>
      <c r="J1680">
        <f>0</f>
        <v>0</v>
      </c>
    </row>
    <row r="1681" spans="1:10" x14ac:dyDescent="0.25">
      <c r="A1681" t="s">
        <v>1690</v>
      </c>
      <c r="B1681" t="s">
        <v>11</v>
      </c>
      <c r="C1681">
        <v>119.46940625000001</v>
      </c>
      <c r="D1681">
        <f>0</f>
        <v>0</v>
      </c>
      <c r="E1681">
        <f>660085876/10^6</f>
        <v>660.08587599999998</v>
      </c>
      <c r="F1681">
        <f>0</f>
        <v>0</v>
      </c>
      <c r="G1681">
        <f>231858261/10^6</f>
        <v>231.858261</v>
      </c>
      <c r="H1681">
        <f>0</f>
        <v>0</v>
      </c>
      <c r="I1681">
        <f>-40100391/10^6</f>
        <v>-40.100391000000002</v>
      </c>
      <c r="J1681">
        <f>0</f>
        <v>0</v>
      </c>
    </row>
    <row r="1682" spans="1:10" x14ac:dyDescent="0.25">
      <c r="A1682" t="s">
        <v>1691</v>
      </c>
      <c r="B1682" t="s">
        <v>11</v>
      </c>
      <c r="C1682">
        <v>119.48067968800001</v>
      </c>
      <c r="D1682">
        <f>0</f>
        <v>0</v>
      </c>
      <c r="E1682">
        <f>659954834/10^6</f>
        <v>659.95483400000001</v>
      </c>
      <c r="F1682">
        <f>0</f>
        <v>0</v>
      </c>
      <c r="G1682">
        <f>231860886/10^6</f>
        <v>231.86088599999999</v>
      </c>
      <c r="H1682">
        <f>0</f>
        <v>0</v>
      </c>
      <c r="I1682">
        <f>-39972496/10^6</f>
        <v>-39.972496</v>
      </c>
      <c r="J1682">
        <f>0</f>
        <v>0</v>
      </c>
    </row>
    <row r="1683" spans="1:10" x14ac:dyDescent="0.25">
      <c r="A1683" t="s">
        <v>1692</v>
      </c>
      <c r="B1683" t="s">
        <v>11</v>
      </c>
      <c r="C1683">
        <v>119.491039063</v>
      </c>
      <c r="D1683">
        <f>0</f>
        <v>0</v>
      </c>
      <c r="E1683">
        <f>659919495/10^6</f>
        <v>659.91949499999998</v>
      </c>
      <c r="F1683">
        <f>0</f>
        <v>0</v>
      </c>
      <c r="G1683">
        <f>231874466/10^6</f>
        <v>231.87446600000001</v>
      </c>
      <c r="H1683">
        <f>0</f>
        <v>0</v>
      </c>
      <c r="I1683">
        <f>-40017693/10^6</f>
        <v>-40.017693000000001</v>
      </c>
      <c r="J1683">
        <f>0</f>
        <v>0</v>
      </c>
    </row>
    <row r="1684" spans="1:10" x14ac:dyDescent="0.25">
      <c r="A1684" t="s">
        <v>1693</v>
      </c>
      <c r="B1684" t="s">
        <v>11</v>
      </c>
      <c r="C1684">
        <v>119.50023437500001</v>
      </c>
      <c r="D1684">
        <f>0</f>
        <v>0</v>
      </c>
      <c r="E1684">
        <f>659847107/10^6</f>
        <v>659.84710700000005</v>
      </c>
      <c r="F1684">
        <f>0</f>
        <v>0</v>
      </c>
      <c r="G1684">
        <f>231889877/10^6</f>
        <v>231.88987700000001</v>
      </c>
      <c r="H1684">
        <f>0</f>
        <v>0</v>
      </c>
      <c r="I1684">
        <f>-39892216/10^6</f>
        <v>-39.892215999999998</v>
      </c>
      <c r="J1684">
        <f>0</f>
        <v>0</v>
      </c>
    </row>
    <row r="1685" spans="1:10" x14ac:dyDescent="0.25">
      <c r="A1685" t="s">
        <v>1694</v>
      </c>
      <c r="B1685" t="s">
        <v>11</v>
      </c>
      <c r="C1685">
        <v>119.502820313</v>
      </c>
      <c r="D1685">
        <f>0</f>
        <v>0</v>
      </c>
      <c r="E1685">
        <f>65985968/10^5</f>
        <v>659.85968000000003</v>
      </c>
      <c r="F1685">
        <f>0</f>
        <v>0</v>
      </c>
      <c r="G1685">
        <f>231895126/10^6</f>
        <v>231.895126</v>
      </c>
      <c r="H1685">
        <f>0</f>
        <v>0</v>
      </c>
      <c r="I1685">
        <f>-3978228/10^5</f>
        <v>-39.78228</v>
      </c>
      <c r="J1685">
        <f>0</f>
        <v>0</v>
      </c>
    </row>
    <row r="1686" spans="1:10" x14ac:dyDescent="0.25">
      <c r="A1686" t="s">
        <v>1695</v>
      </c>
      <c r="B1686" t="s">
        <v>11</v>
      </c>
      <c r="C1686">
        <v>119.502414063</v>
      </c>
      <c r="D1686">
        <f>0</f>
        <v>0</v>
      </c>
      <c r="E1686">
        <f>659905029/10^6</f>
        <v>659.90502900000001</v>
      </c>
      <c r="F1686">
        <f>0</f>
        <v>0</v>
      </c>
      <c r="G1686">
        <f>231904251/10^6</f>
        <v>231.90425099999999</v>
      </c>
      <c r="H1686">
        <f>0</f>
        <v>0</v>
      </c>
      <c r="I1686">
        <f>-39837288/10^6</f>
        <v>-39.837288000000001</v>
      </c>
      <c r="J1686">
        <f>0</f>
        <v>0</v>
      </c>
    </row>
    <row r="1687" spans="1:10" x14ac:dyDescent="0.25">
      <c r="A1687" t="s">
        <v>1696</v>
      </c>
      <c r="B1687" t="s">
        <v>11</v>
      </c>
      <c r="C1687">
        <v>119.484117188</v>
      </c>
      <c r="D1687">
        <f>0</f>
        <v>0</v>
      </c>
      <c r="E1687">
        <f>660023132/10^6</f>
        <v>660.02313200000003</v>
      </c>
      <c r="F1687">
        <f>0</f>
        <v>0</v>
      </c>
      <c r="G1687">
        <f>231911514/10^6</f>
        <v>231.91151400000001</v>
      </c>
      <c r="H1687">
        <f>0</f>
        <v>0</v>
      </c>
      <c r="I1687">
        <f>-39878044/10^6</f>
        <v>-39.878044000000003</v>
      </c>
      <c r="J1687">
        <f>0</f>
        <v>0</v>
      </c>
    </row>
    <row r="1688" spans="1:10" x14ac:dyDescent="0.25">
      <c r="A1688" t="s">
        <v>1697</v>
      </c>
      <c r="B1688" t="s">
        <v>11</v>
      </c>
      <c r="C1688">
        <v>119.41078125</v>
      </c>
      <c r="D1688">
        <f>0</f>
        <v>0</v>
      </c>
      <c r="E1688">
        <f>660525269/10^6</f>
        <v>660.52526899999998</v>
      </c>
      <c r="F1688">
        <f>0</f>
        <v>0</v>
      </c>
      <c r="G1688">
        <f>23190509/10^5</f>
        <v>231.90509</v>
      </c>
      <c r="H1688">
        <f>0</f>
        <v>0</v>
      </c>
      <c r="I1688">
        <f>-40083733/10^6</f>
        <v>-40.083733000000002</v>
      </c>
      <c r="J1688">
        <f>0</f>
        <v>0</v>
      </c>
    </row>
    <row r="1689" spans="1:10" x14ac:dyDescent="0.25">
      <c r="A1689" t="s">
        <v>1698</v>
      </c>
      <c r="B1689" t="s">
        <v>11</v>
      </c>
      <c r="C1689">
        <v>119.28446093800001</v>
      </c>
      <c r="D1689">
        <f>0</f>
        <v>0</v>
      </c>
      <c r="E1689">
        <f>66115094/10^5</f>
        <v>661.15093999999999</v>
      </c>
      <c r="F1689">
        <f>0</f>
        <v>0</v>
      </c>
      <c r="G1689">
        <f>231885483/10^6</f>
        <v>231.88548299999999</v>
      </c>
      <c r="H1689">
        <f>0</f>
        <v>0</v>
      </c>
      <c r="I1689">
        <f>-40101521/10^6</f>
        <v>-40.101520999999998</v>
      </c>
      <c r="J1689">
        <f>0</f>
        <v>0</v>
      </c>
    </row>
    <row r="1690" spans="1:10" x14ac:dyDescent="0.25">
      <c r="A1690" t="s">
        <v>1699</v>
      </c>
      <c r="B1690" t="s">
        <v>11</v>
      </c>
      <c r="C1690">
        <v>119.13477343800001</v>
      </c>
      <c r="D1690">
        <f>0</f>
        <v>0</v>
      </c>
      <c r="E1690">
        <f>661786133/10^6</f>
        <v>661.78613299999995</v>
      </c>
      <c r="F1690">
        <f>0</f>
        <v>0</v>
      </c>
      <c r="G1690">
        <f>231861801/10^6</f>
        <v>231.86180100000001</v>
      </c>
      <c r="H1690">
        <f>0</f>
        <v>0</v>
      </c>
      <c r="I1690">
        <f>-39922401/10^6</f>
        <v>-39.922401000000001</v>
      </c>
      <c r="J1690">
        <f>0</f>
        <v>0</v>
      </c>
    </row>
    <row r="1691" spans="1:10" x14ac:dyDescent="0.25">
      <c r="A1691" t="s">
        <v>1700</v>
      </c>
      <c r="B1691" t="s">
        <v>11</v>
      </c>
      <c r="C1691">
        <v>118.95786718800001</v>
      </c>
      <c r="D1691">
        <f>0</f>
        <v>0</v>
      </c>
      <c r="E1691">
        <f>662894287/10^6</f>
        <v>662.89428699999996</v>
      </c>
      <c r="F1691">
        <f>0</f>
        <v>0</v>
      </c>
      <c r="G1691">
        <f>231850937/10^6</f>
        <v>231.85093699999999</v>
      </c>
      <c r="H1691">
        <f>0</f>
        <v>0</v>
      </c>
      <c r="I1691">
        <f>-40158222/10^6</f>
        <v>-40.158222000000002</v>
      </c>
      <c r="J1691">
        <f>0</f>
        <v>0</v>
      </c>
    </row>
    <row r="1692" spans="1:10" x14ac:dyDescent="0.25">
      <c r="A1692" t="s">
        <v>1701</v>
      </c>
      <c r="B1692" t="s">
        <v>11</v>
      </c>
      <c r="C1692">
        <v>118.75240625000001</v>
      </c>
      <c r="D1692">
        <f>0</f>
        <v>0</v>
      </c>
      <c r="E1692">
        <f>664213379/10^6</f>
        <v>664.21337900000003</v>
      </c>
      <c r="F1692">
        <f>0</f>
        <v>0</v>
      </c>
      <c r="G1692">
        <f>231831482/10^6</f>
        <v>231.83148199999999</v>
      </c>
      <c r="H1692">
        <f>0</f>
        <v>0</v>
      </c>
      <c r="I1692">
        <f>-4048008/10^5</f>
        <v>-40.480080000000001</v>
      </c>
      <c r="J1692">
        <f>0</f>
        <v>0</v>
      </c>
    </row>
    <row r="1693" spans="1:10" x14ac:dyDescent="0.25">
      <c r="A1693" t="s">
        <v>1702</v>
      </c>
      <c r="B1693" t="s">
        <v>11</v>
      </c>
      <c r="C1693">
        <v>118.538820313</v>
      </c>
      <c r="D1693">
        <f>0</f>
        <v>0</v>
      </c>
      <c r="E1693">
        <f>665344971/10^6</f>
        <v>665.34497099999999</v>
      </c>
      <c r="F1693">
        <f>0</f>
        <v>0</v>
      </c>
      <c r="G1693">
        <f>231797226/10^6</f>
        <v>231.79722599999999</v>
      </c>
      <c r="H1693">
        <f>0</f>
        <v>0</v>
      </c>
      <c r="I1693">
        <f>-40578472/10^6</f>
        <v>-40.578471999999998</v>
      </c>
      <c r="J1693">
        <f>0</f>
        <v>0</v>
      </c>
    </row>
    <row r="1694" spans="1:10" x14ac:dyDescent="0.25">
      <c r="A1694" t="s">
        <v>1703</v>
      </c>
      <c r="B1694" t="s">
        <v>11</v>
      </c>
      <c r="C1694">
        <v>118.337773438</v>
      </c>
      <c r="D1694">
        <f>0</f>
        <v>0</v>
      </c>
      <c r="E1694">
        <f>666484436/10^6</f>
        <v>666.48443599999996</v>
      </c>
      <c r="F1694">
        <f>0</f>
        <v>0</v>
      </c>
      <c r="G1694">
        <f>231774841/10^6</f>
        <v>231.77484100000001</v>
      </c>
      <c r="H1694">
        <f>0</f>
        <v>0</v>
      </c>
      <c r="I1694">
        <f>-40691425/10^6</f>
        <v>-40.691425000000002</v>
      </c>
      <c r="J1694">
        <f>0</f>
        <v>0</v>
      </c>
    </row>
    <row r="1695" spans="1:10" x14ac:dyDescent="0.25">
      <c r="A1695" t="s">
        <v>1704</v>
      </c>
      <c r="B1695" t="s">
        <v>11</v>
      </c>
      <c r="C1695">
        <v>118.16560156300001</v>
      </c>
      <c r="D1695">
        <f>0</f>
        <v>0</v>
      </c>
      <c r="E1695">
        <f>667469299/10^6</f>
        <v>667.46929899999998</v>
      </c>
      <c r="F1695">
        <f>0</f>
        <v>0</v>
      </c>
      <c r="G1695">
        <f>231756195/10^6</f>
        <v>231.75619499999999</v>
      </c>
      <c r="H1695">
        <f>0</f>
        <v>0</v>
      </c>
      <c r="I1695">
        <f>-40708889/10^6</f>
        <v>-40.708888999999999</v>
      </c>
      <c r="J1695">
        <f>0</f>
        <v>0</v>
      </c>
    </row>
    <row r="1696" spans="1:10" x14ac:dyDescent="0.25">
      <c r="A1696" t="s">
        <v>1705</v>
      </c>
      <c r="B1696" t="s">
        <v>11</v>
      </c>
      <c r="C1696">
        <v>118.00139843800001</v>
      </c>
      <c r="D1696">
        <f>0</f>
        <v>0</v>
      </c>
      <c r="E1696">
        <f>668263306/10^6</f>
        <v>668.26330599999994</v>
      </c>
      <c r="F1696">
        <f>0</f>
        <v>0</v>
      </c>
      <c r="G1696">
        <f>231714478/10^6</f>
        <v>231.71447800000001</v>
      </c>
      <c r="H1696">
        <f>0</f>
        <v>0</v>
      </c>
      <c r="I1696">
        <f>-40744896/10^6</f>
        <v>-40.744895999999997</v>
      </c>
      <c r="J1696">
        <f>0</f>
        <v>0</v>
      </c>
    </row>
    <row r="1697" spans="1:10" x14ac:dyDescent="0.25">
      <c r="A1697" t="s">
        <v>1706</v>
      </c>
      <c r="B1697" t="s">
        <v>11</v>
      </c>
      <c r="C1697">
        <v>117.82585937499999</v>
      </c>
      <c r="D1697">
        <f>0</f>
        <v>0</v>
      </c>
      <c r="E1697">
        <f>669247864/10^6</f>
        <v>669.24786400000005</v>
      </c>
      <c r="F1697">
        <f>0</f>
        <v>0</v>
      </c>
      <c r="G1697">
        <f>231671326/10^6</f>
        <v>231.67132599999999</v>
      </c>
      <c r="H1697">
        <f>0</f>
        <v>0</v>
      </c>
      <c r="I1697">
        <f>-41007008/10^6</f>
        <v>-41.007007999999999</v>
      </c>
      <c r="J1697">
        <f>0</f>
        <v>0</v>
      </c>
    </row>
    <row r="1698" spans="1:10" x14ac:dyDescent="0.25">
      <c r="A1698" t="s">
        <v>1707</v>
      </c>
      <c r="B1698" t="s">
        <v>11</v>
      </c>
      <c r="C1698">
        <v>117.65803124999999</v>
      </c>
      <c r="D1698">
        <f>0</f>
        <v>0</v>
      </c>
      <c r="E1698">
        <f>670302002/10^6</f>
        <v>670.30200200000002</v>
      </c>
      <c r="F1698">
        <f>0</f>
        <v>0</v>
      </c>
      <c r="G1698">
        <f>231657059/10^6</f>
        <v>231.657059</v>
      </c>
      <c r="H1698">
        <f>0</f>
        <v>0</v>
      </c>
      <c r="I1698">
        <f>-41098866/10^6</f>
        <v>-41.098866000000001</v>
      </c>
      <c r="J1698">
        <f>0</f>
        <v>0</v>
      </c>
    </row>
    <row r="1699" spans="1:10" x14ac:dyDescent="0.25">
      <c r="A1699" t="s">
        <v>1708</v>
      </c>
      <c r="B1699" t="s">
        <v>11</v>
      </c>
      <c r="C1699">
        <v>117.4839375</v>
      </c>
      <c r="D1699">
        <f>0</f>
        <v>0</v>
      </c>
      <c r="E1699">
        <f>671328796/10^6</f>
        <v>671.32879600000001</v>
      </c>
      <c r="F1699">
        <f>0</f>
        <v>0</v>
      </c>
      <c r="G1699">
        <f>231639053/10^6</f>
        <v>231.63905299999999</v>
      </c>
      <c r="H1699">
        <f>0</f>
        <v>0</v>
      </c>
      <c r="I1699">
        <f>-41210049/10^6</f>
        <v>-41.210048999999998</v>
      </c>
      <c r="J1699">
        <f>0</f>
        <v>0</v>
      </c>
    </row>
    <row r="1700" spans="1:10" x14ac:dyDescent="0.25">
      <c r="A1700" t="s">
        <v>1709</v>
      </c>
      <c r="B1700" t="s">
        <v>11</v>
      </c>
      <c r="C1700">
        <v>117.286148438</v>
      </c>
      <c r="D1700">
        <f>0</f>
        <v>0</v>
      </c>
      <c r="E1700">
        <f>672443359/10^6</f>
        <v>672.44335899999999</v>
      </c>
      <c r="F1700">
        <f>0</f>
        <v>0</v>
      </c>
      <c r="G1700">
        <f>231611053/10^6</f>
        <v>231.611053</v>
      </c>
      <c r="H1700">
        <f>0</f>
        <v>0</v>
      </c>
      <c r="I1700">
        <f>-4139484/10^5</f>
        <v>-41.394840000000002</v>
      </c>
      <c r="J1700">
        <f>0</f>
        <v>0</v>
      </c>
    </row>
    <row r="1701" spans="1:10" x14ac:dyDescent="0.25">
      <c r="A1701" t="s">
        <v>1710</v>
      </c>
      <c r="B1701" t="s">
        <v>11</v>
      </c>
      <c r="C1701">
        <v>117.078984375</v>
      </c>
      <c r="D1701">
        <f>0</f>
        <v>0</v>
      </c>
      <c r="E1701">
        <f>673526428/10^6</f>
        <v>673.52642800000001</v>
      </c>
      <c r="F1701">
        <f>0</f>
        <v>0</v>
      </c>
      <c r="G1701">
        <f>231577042/10^6</f>
        <v>231.57704200000001</v>
      </c>
      <c r="H1701">
        <f>0</f>
        <v>0</v>
      </c>
      <c r="I1701">
        <f>-4133466/10^5</f>
        <v>-41.33466</v>
      </c>
      <c r="J1701">
        <f>0</f>
        <v>0</v>
      </c>
    </row>
    <row r="1702" spans="1:10" x14ac:dyDescent="0.25">
      <c r="A1702" t="s">
        <v>1711</v>
      </c>
      <c r="B1702" t="s">
        <v>11</v>
      </c>
      <c r="C1702">
        <v>116.86305468800001</v>
      </c>
      <c r="D1702">
        <f>0</f>
        <v>0</v>
      </c>
      <c r="E1702">
        <f>67471167/10^5</f>
        <v>674.71167000000003</v>
      </c>
      <c r="F1702">
        <f>0</f>
        <v>0</v>
      </c>
      <c r="G1702">
        <f>231541382/10^6</f>
        <v>231.541382</v>
      </c>
      <c r="H1702">
        <f>0</f>
        <v>0</v>
      </c>
      <c r="I1702">
        <f>-41400558/10^6</f>
        <v>-41.400557999999997</v>
      </c>
      <c r="J1702">
        <f>0</f>
        <v>0</v>
      </c>
    </row>
    <row r="1703" spans="1:10" x14ac:dyDescent="0.25">
      <c r="A1703" t="s">
        <v>1712</v>
      </c>
      <c r="B1703" t="s">
        <v>11</v>
      </c>
      <c r="C1703">
        <v>116.637320313</v>
      </c>
      <c r="D1703">
        <f>0</f>
        <v>0</v>
      </c>
      <c r="E1703">
        <f>676010864/10^6</f>
        <v>676.01086399999997</v>
      </c>
      <c r="F1703">
        <f>0</f>
        <v>0</v>
      </c>
      <c r="G1703">
        <f>231510361/10^6</f>
        <v>231.51036099999999</v>
      </c>
      <c r="H1703">
        <f>0</f>
        <v>0</v>
      </c>
      <c r="I1703">
        <f>-41539272/10^6</f>
        <v>-41.539271999999997</v>
      </c>
      <c r="J1703">
        <f>0</f>
        <v>0</v>
      </c>
    </row>
    <row r="1704" spans="1:10" x14ac:dyDescent="0.25">
      <c r="A1704" t="s">
        <v>1713</v>
      </c>
      <c r="B1704" t="s">
        <v>11</v>
      </c>
      <c r="C1704">
        <v>116.38928906300001</v>
      </c>
      <c r="D1704">
        <f>0</f>
        <v>0</v>
      </c>
      <c r="E1704">
        <f>677457764/10^6</f>
        <v>677.457764</v>
      </c>
      <c r="F1704">
        <f>0</f>
        <v>0</v>
      </c>
      <c r="G1704">
        <f>231461243/10^6</f>
        <v>231.461243</v>
      </c>
      <c r="H1704">
        <f>0</f>
        <v>0</v>
      </c>
      <c r="I1704">
        <f>-41878975/10^6</f>
        <v>-41.878974999999997</v>
      </c>
      <c r="J1704">
        <f>0</f>
        <v>0</v>
      </c>
    </row>
    <row r="1705" spans="1:10" x14ac:dyDescent="0.25">
      <c r="A1705" t="s">
        <v>1714</v>
      </c>
      <c r="B1705" t="s">
        <v>11</v>
      </c>
      <c r="C1705">
        <v>116.12696875</v>
      </c>
      <c r="D1705">
        <f>0</f>
        <v>0</v>
      </c>
      <c r="E1705">
        <f>679109802/10^6</f>
        <v>679.10980199999995</v>
      </c>
      <c r="F1705">
        <f>0</f>
        <v>0</v>
      </c>
      <c r="G1705">
        <f>231418884/10^6</f>
        <v>231.41888399999999</v>
      </c>
      <c r="H1705">
        <f>0</f>
        <v>0</v>
      </c>
      <c r="I1705">
        <f>-42291801/10^6</f>
        <v>-42.291801</v>
      </c>
      <c r="J1705">
        <f>0</f>
        <v>0</v>
      </c>
    </row>
    <row r="1706" spans="1:10" x14ac:dyDescent="0.25">
      <c r="A1706" t="s">
        <v>1715</v>
      </c>
      <c r="B1706" t="s">
        <v>11</v>
      </c>
      <c r="C1706">
        <v>115.887710938</v>
      </c>
      <c r="D1706">
        <f>0</f>
        <v>0</v>
      </c>
      <c r="E1706">
        <f>680435364/10^6</f>
        <v>680.43536400000005</v>
      </c>
      <c r="F1706">
        <f>0</f>
        <v>0</v>
      </c>
      <c r="G1706">
        <f>231362198/10^6</f>
        <v>231.36219800000001</v>
      </c>
      <c r="H1706">
        <f>0</f>
        <v>0</v>
      </c>
      <c r="I1706">
        <f>-42361298/10^6</f>
        <v>-42.361297999999998</v>
      </c>
      <c r="J1706">
        <f>0</f>
        <v>0</v>
      </c>
    </row>
    <row r="1707" spans="1:10" x14ac:dyDescent="0.25">
      <c r="A1707" t="s">
        <v>1716</v>
      </c>
      <c r="B1707" t="s">
        <v>11</v>
      </c>
      <c r="C1707">
        <v>115.661359375</v>
      </c>
      <c r="D1707">
        <f>0</f>
        <v>0</v>
      </c>
      <c r="E1707">
        <f>68146698/10^5</f>
        <v>681.46698000000004</v>
      </c>
      <c r="F1707">
        <f>0</f>
        <v>0</v>
      </c>
      <c r="G1707">
        <f>231238571/10^6</f>
        <v>231.23857100000001</v>
      </c>
      <c r="H1707">
        <f>0</f>
        <v>0</v>
      </c>
      <c r="I1707">
        <f>-42519104/10^6</f>
        <v>-42.519103999999999</v>
      </c>
      <c r="J1707">
        <f>0</f>
        <v>0</v>
      </c>
    </row>
    <row r="1708" spans="1:10" x14ac:dyDescent="0.25">
      <c r="A1708" t="s">
        <v>1717</v>
      </c>
      <c r="B1708" t="s">
        <v>11</v>
      </c>
      <c r="C1708">
        <v>115.49390624999999</v>
      </c>
      <c r="D1708">
        <f>0</f>
        <v>0</v>
      </c>
      <c r="E1708">
        <f>682268005/10^6</f>
        <v>682.26800500000002</v>
      </c>
      <c r="F1708">
        <f>0</f>
        <v>0</v>
      </c>
      <c r="G1708">
        <f>231112427/10^6</f>
        <v>231.112427</v>
      </c>
      <c r="H1708">
        <f>0</f>
        <v>0</v>
      </c>
      <c r="I1708">
        <f>-42781799/10^6</f>
        <v>-42.781798999999999</v>
      </c>
      <c r="J1708">
        <f>0</f>
        <v>0</v>
      </c>
    </row>
    <row r="1709" spans="1:10" x14ac:dyDescent="0.25">
      <c r="A1709" t="s">
        <v>1718</v>
      </c>
      <c r="B1709" t="s">
        <v>11</v>
      </c>
      <c r="C1709">
        <v>115.427695313</v>
      </c>
      <c r="D1709">
        <f>0</f>
        <v>0</v>
      </c>
      <c r="E1709">
        <f>682668823/10^6</f>
        <v>682.66882299999997</v>
      </c>
      <c r="F1709">
        <f>0</f>
        <v>0</v>
      </c>
      <c r="G1709">
        <f>231113831/10^6</f>
        <v>231.113831</v>
      </c>
      <c r="H1709">
        <f>0</f>
        <v>0</v>
      </c>
      <c r="I1709">
        <f>-42756874/10^6</f>
        <v>-42.756874000000003</v>
      </c>
      <c r="J1709">
        <f>0</f>
        <v>0</v>
      </c>
    </row>
    <row r="1710" spans="1:10" x14ac:dyDescent="0.25">
      <c r="A1710" t="s">
        <v>1719</v>
      </c>
      <c r="B1710" t="s">
        <v>11</v>
      </c>
      <c r="C1710">
        <v>115.3845</v>
      </c>
      <c r="D1710">
        <f>0</f>
        <v>0</v>
      </c>
      <c r="E1710">
        <f>683077942/10^6</f>
        <v>683.07794200000001</v>
      </c>
      <c r="F1710">
        <f>0</f>
        <v>0</v>
      </c>
      <c r="G1710">
        <f>231169724/10^6</f>
        <v>231.169724</v>
      </c>
      <c r="H1710">
        <f>0</f>
        <v>0</v>
      </c>
      <c r="I1710">
        <f>-42730968/10^6</f>
        <v>-42.730967999999997</v>
      </c>
      <c r="J1710">
        <f>0</f>
        <v>0</v>
      </c>
    </row>
    <row r="1711" spans="1:10" x14ac:dyDescent="0.25">
      <c r="A1711" t="s">
        <v>1720</v>
      </c>
      <c r="B1711" t="s">
        <v>11</v>
      </c>
      <c r="C1711">
        <v>115.33389843800001</v>
      </c>
      <c r="D1711">
        <f>0</f>
        <v>0</v>
      </c>
      <c r="E1711">
        <f>683337891/10^6</f>
        <v>683.33789100000001</v>
      </c>
      <c r="F1711">
        <f>0</f>
        <v>0</v>
      </c>
      <c r="G1711">
        <f>231149078/10^6</f>
        <v>231.149078</v>
      </c>
      <c r="H1711">
        <f>0</f>
        <v>0</v>
      </c>
      <c r="I1711">
        <f>-42820774/10^6</f>
        <v>-42.820774</v>
      </c>
      <c r="J1711">
        <f>0</f>
        <v>0</v>
      </c>
    </row>
    <row r="1712" spans="1:10" x14ac:dyDescent="0.25">
      <c r="A1712" t="s">
        <v>1721</v>
      </c>
      <c r="B1712" t="s">
        <v>11</v>
      </c>
      <c r="C1712">
        <v>0</v>
      </c>
      <c r="D1712">
        <f>2</f>
        <v>2</v>
      </c>
      <c r="F1712">
        <f>2</f>
        <v>2</v>
      </c>
      <c r="H1712">
        <f>2</f>
        <v>2</v>
      </c>
      <c r="J1712">
        <f>2</f>
        <v>2</v>
      </c>
    </row>
    <row r="1713" spans="1:10" x14ac:dyDescent="0.25">
      <c r="A1713" t="s">
        <v>1722</v>
      </c>
      <c r="B1713" t="s">
        <v>11</v>
      </c>
      <c r="C1713">
        <v>115.21875781300001</v>
      </c>
      <c r="D1713">
        <f>0</f>
        <v>0</v>
      </c>
      <c r="E1713">
        <f>683852234/10^6</f>
        <v>683.85223399999995</v>
      </c>
      <c r="F1713">
        <f>0</f>
        <v>0</v>
      </c>
      <c r="G1713">
        <f>231055267/10^6</f>
        <v>231.05526699999999</v>
      </c>
      <c r="H1713">
        <f>0</f>
        <v>0</v>
      </c>
      <c r="I1713">
        <f>-42954575/10^6</f>
        <v>-42.954574999999998</v>
      </c>
      <c r="J1713">
        <f>0</f>
        <v>0</v>
      </c>
    </row>
    <row r="1714" spans="1:10" x14ac:dyDescent="0.25">
      <c r="A1714" t="s">
        <v>1723</v>
      </c>
      <c r="B1714" t="s">
        <v>11</v>
      </c>
      <c r="C1714">
        <v>115.18571875000001</v>
      </c>
      <c r="D1714">
        <f>0</f>
        <v>0</v>
      </c>
      <c r="E1714">
        <f>684141846/10^6</f>
        <v>684.14184599999999</v>
      </c>
      <c r="F1714">
        <f>0</f>
        <v>0</v>
      </c>
      <c r="G1714">
        <f>231055969/10^6</f>
        <v>231.055969</v>
      </c>
      <c r="H1714">
        <f>0</f>
        <v>0</v>
      </c>
      <c r="I1714">
        <f>-43085777/10^6</f>
        <v>-43.085777</v>
      </c>
      <c r="J1714">
        <f>0</f>
        <v>0</v>
      </c>
    </row>
    <row r="1715" spans="1:10" x14ac:dyDescent="0.25">
      <c r="A1715" t="s">
        <v>1724</v>
      </c>
      <c r="B1715" t="s">
        <v>11</v>
      </c>
      <c r="C1715">
        <v>115.17746875</v>
      </c>
      <c r="D1715">
        <f>0</f>
        <v>0</v>
      </c>
      <c r="E1715">
        <f>683974182/10^6</f>
        <v>683.97418200000004</v>
      </c>
      <c r="F1715">
        <f>0</f>
        <v>0</v>
      </c>
      <c r="G1715">
        <f>231025421/10^6</f>
        <v>231.02542099999999</v>
      </c>
      <c r="H1715">
        <f>0</f>
        <v>0</v>
      </c>
      <c r="I1715">
        <f>-4289122/10^5</f>
        <v>-42.891219999999997</v>
      </c>
      <c r="J1715">
        <f>0</f>
        <v>0</v>
      </c>
    </row>
    <row r="1716" spans="1:10" x14ac:dyDescent="0.25">
      <c r="A1716" t="s">
        <v>1725</v>
      </c>
      <c r="B1716" t="s">
        <v>11</v>
      </c>
      <c r="C1716">
        <v>115.18734375</v>
      </c>
      <c r="D1716">
        <f>0</f>
        <v>0</v>
      </c>
      <c r="E1716">
        <f>683870728/10^6</f>
        <v>683.87072799999999</v>
      </c>
      <c r="F1716">
        <f>0</f>
        <v>0</v>
      </c>
      <c r="G1716">
        <f>230987091/10^6</f>
        <v>230.98709099999999</v>
      </c>
      <c r="H1716">
        <f>0</f>
        <v>0</v>
      </c>
      <c r="I1716">
        <f>-42929115/10^6</f>
        <v>-42.929115000000003</v>
      </c>
      <c r="J1716">
        <f>0</f>
        <v>0</v>
      </c>
    </row>
    <row r="1717" spans="1:10" x14ac:dyDescent="0.25">
      <c r="A1717" t="s">
        <v>1726</v>
      </c>
      <c r="B1717" t="s">
        <v>11</v>
      </c>
      <c r="C1717">
        <v>115.217382813</v>
      </c>
      <c r="D1717">
        <f>0</f>
        <v>0</v>
      </c>
      <c r="E1717">
        <f>683801819/10^6</f>
        <v>683.80181900000002</v>
      </c>
      <c r="F1717">
        <f>0</f>
        <v>0</v>
      </c>
      <c r="G1717">
        <f>231039825/10^6</f>
        <v>231.03982500000001</v>
      </c>
      <c r="H1717">
        <f>0</f>
        <v>0</v>
      </c>
      <c r="I1717">
        <f>-42932209/10^6</f>
        <v>-42.932209</v>
      </c>
      <c r="J1717">
        <f>0</f>
        <v>0</v>
      </c>
    </row>
    <row r="1718" spans="1:10" x14ac:dyDescent="0.25">
      <c r="A1718" t="s">
        <v>1727</v>
      </c>
      <c r="B1718" t="s">
        <v>11</v>
      </c>
      <c r="C1718">
        <v>115.27133593800001</v>
      </c>
      <c r="D1718">
        <f>0</f>
        <v>0</v>
      </c>
      <c r="E1718">
        <f>683488159/10^6</f>
        <v>683.488159</v>
      </c>
      <c r="F1718">
        <f>0</f>
        <v>0</v>
      </c>
      <c r="G1718">
        <f>23108783/10^5</f>
        <v>231.08783</v>
      </c>
      <c r="H1718">
        <f>0</f>
        <v>0</v>
      </c>
      <c r="I1718">
        <f>-42733395/10^6</f>
        <v>-42.733395000000002</v>
      </c>
      <c r="J1718">
        <f>0</f>
        <v>0</v>
      </c>
    </row>
    <row r="1719" spans="1:10" x14ac:dyDescent="0.25">
      <c r="A1719" t="s">
        <v>1728</v>
      </c>
      <c r="B1719" t="s">
        <v>11</v>
      </c>
      <c r="C1719">
        <v>115.349609375</v>
      </c>
      <c r="D1719">
        <f>0</f>
        <v>0</v>
      </c>
      <c r="E1719">
        <f>682889038/10^6</f>
        <v>682.88903800000003</v>
      </c>
      <c r="F1719">
        <f>0</f>
        <v>0</v>
      </c>
      <c r="G1719">
        <f>231065933/10^6</f>
        <v>231.065933</v>
      </c>
      <c r="H1719">
        <f>0</f>
        <v>0</v>
      </c>
      <c r="I1719">
        <f>-42557304/10^6</f>
        <v>-42.557304000000002</v>
      </c>
      <c r="J1719">
        <f>0</f>
        <v>0</v>
      </c>
    </row>
    <row r="1720" spans="1:10" x14ac:dyDescent="0.25">
      <c r="A1720" t="s">
        <v>1729</v>
      </c>
      <c r="B1720" t="s">
        <v>11</v>
      </c>
      <c r="C1720">
        <v>115.454148438</v>
      </c>
      <c r="D1720">
        <f>0</f>
        <v>0</v>
      </c>
      <c r="E1720">
        <f>682456726/10^6</f>
        <v>682.456726</v>
      </c>
      <c r="F1720">
        <f>0</f>
        <v>0</v>
      </c>
      <c r="G1720">
        <f>231098679/10^6</f>
        <v>231.098679</v>
      </c>
      <c r="H1720">
        <f>0</f>
        <v>0</v>
      </c>
      <c r="I1720">
        <f>-42686928/10^6</f>
        <v>-42.686928000000002</v>
      </c>
      <c r="J1720">
        <f>0</f>
        <v>0</v>
      </c>
    </row>
    <row r="1721" spans="1:10" x14ac:dyDescent="0.25">
      <c r="A1721" t="s">
        <v>1730</v>
      </c>
      <c r="B1721" t="s">
        <v>11</v>
      </c>
      <c r="C1721">
        <v>115.605726563</v>
      </c>
      <c r="D1721">
        <f>0</f>
        <v>0</v>
      </c>
      <c r="E1721">
        <f>681945007/10^6</f>
        <v>681.94500700000003</v>
      </c>
      <c r="F1721">
        <f>0</f>
        <v>0</v>
      </c>
      <c r="G1721">
        <f>231188293/10^6</f>
        <v>231.18829299999999</v>
      </c>
      <c r="H1721">
        <f>0</f>
        <v>0</v>
      </c>
      <c r="I1721">
        <f>-42945805/10^6</f>
        <v>-42.945805</v>
      </c>
      <c r="J1721">
        <f>0</f>
        <v>0</v>
      </c>
    </row>
    <row r="1722" spans="1:10" x14ac:dyDescent="0.25">
      <c r="A1722" t="s">
        <v>1731</v>
      </c>
      <c r="B1722" t="s">
        <v>11</v>
      </c>
      <c r="C1722">
        <v>115.81725</v>
      </c>
      <c r="D1722">
        <f>0</f>
        <v>0</v>
      </c>
      <c r="E1722">
        <f>680792542/10^6</f>
        <v>680.79254200000003</v>
      </c>
      <c r="F1722">
        <f>0</f>
        <v>0</v>
      </c>
      <c r="G1722">
        <f>231262482/10^6</f>
        <v>231.26248200000001</v>
      </c>
      <c r="H1722">
        <f>0</f>
        <v>0</v>
      </c>
      <c r="I1722">
        <f>-42812614/10^6</f>
        <v>-42.812614000000004</v>
      </c>
      <c r="J1722">
        <f>0</f>
        <v>0</v>
      </c>
    </row>
    <row r="1723" spans="1:10" x14ac:dyDescent="0.25">
      <c r="A1723" t="s">
        <v>1732</v>
      </c>
      <c r="B1723" t="s">
        <v>11</v>
      </c>
      <c r="C1723">
        <v>116.07640625000001</v>
      </c>
      <c r="D1723">
        <f>0</f>
        <v>0</v>
      </c>
      <c r="E1723">
        <f>67929895/10^5</f>
        <v>679.29894999999999</v>
      </c>
      <c r="F1723">
        <f>0</f>
        <v>0</v>
      </c>
      <c r="G1723">
        <f>231337418/10^6</f>
        <v>231.33741800000001</v>
      </c>
      <c r="H1723">
        <f>0</f>
        <v>0</v>
      </c>
      <c r="I1723">
        <f>-42457233/10^6</f>
        <v>-42.457233000000002</v>
      </c>
      <c r="J1723">
        <f>0</f>
        <v>0</v>
      </c>
    </row>
    <row r="1724" spans="1:10" x14ac:dyDescent="0.25">
      <c r="A1724" t="s">
        <v>1733</v>
      </c>
      <c r="B1724" t="s">
        <v>11</v>
      </c>
      <c r="C1724">
        <v>116.39786718800001</v>
      </c>
      <c r="D1724">
        <f>0</f>
        <v>0</v>
      </c>
      <c r="E1724">
        <f>67742041/10^5</f>
        <v>677.42040999999995</v>
      </c>
      <c r="F1724">
        <f>0</f>
        <v>0</v>
      </c>
      <c r="G1724">
        <f>231402985/10^6</f>
        <v>231.402985</v>
      </c>
      <c r="H1724">
        <f>0</f>
        <v>0</v>
      </c>
      <c r="I1724">
        <f>-42220112/10^6</f>
        <v>-42.220112</v>
      </c>
      <c r="J1724">
        <f>0</f>
        <v>0</v>
      </c>
    </row>
    <row r="1725" spans="1:10" x14ac:dyDescent="0.25">
      <c r="A1725" t="s">
        <v>1734</v>
      </c>
      <c r="B1725" t="s">
        <v>11</v>
      </c>
      <c r="C1725">
        <v>116.80249999999999</v>
      </c>
      <c r="D1725">
        <f>0</f>
        <v>0</v>
      </c>
      <c r="E1725">
        <f>675084778/10^6</f>
        <v>675.08477800000003</v>
      </c>
      <c r="F1725">
        <f>0</f>
        <v>0</v>
      </c>
      <c r="G1725">
        <f>231468765/10^6</f>
        <v>231.46876499999999</v>
      </c>
      <c r="H1725">
        <f>0</f>
        <v>0</v>
      </c>
      <c r="I1725">
        <f>-42055153/10^6</f>
        <v>-42.055152999999997</v>
      </c>
      <c r="J1725">
        <f>0</f>
        <v>0</v>
      </c>
    </row>
    <row r="1726" spans="1:10" x14ac:dyDescent="0.25">
      <c r="A1726" t="s">
        <v>1735</v>
      </c>
      <c r="B1726" t="s">
        <v>11</v>
      </c>
      <c r="C1726">
        <v>117.28416406300001</v>
      </c>
      <c r="D1726">
        <f>0</f>
        <v>0</v>
      </c>
      <c r="E1726">
        <f>672427185/10^6</f>
        <v>672.42718500000001</v>
      </c>
      <c r="F1726">
        <f>0</f>
        <v>0</v>
      </c>
      <c r="G1726">
        <f>231536713/10^6</f>
        <v>231.53671299999999</v>
      </c>
      <c r="H1726">
        <f>0</f>
        <v>0</v>
      </c>
      <c r="I1726">
        <f>-41822727/10^6</f>
        <v>-41.822727</v>
      </c>
      <c r="J1726">
        <f>0</f>
        <v>0</v>
      </c>
    </row>
    <row r="1727" spans="1:10" x14ac:dyDescent="0.25">
      <c r="A1727" t="s">
        <v>1736</v>
      </c>
      <c r="B1727" t="s">
        <v>11</v>
      </c>
      <c r="C1727">
        <v>117.84430468800001</v>
      </c>
      <c r="D1727">
        <f>0</f>
        <v>0</v>
      </c>
      <c r="E1727">
        <f>66927478/10^5</f>
        <v>669.27477999999996</v>
      </c>
      <c r="F1727">
        <f>0</f>
        <v>0</v>
      </c>
      <c r="G1727">
        <f>231613464/10^6</f>
        <v>231.61346399999999</v>
      </c>
      <c r="H1727">
        <f>0</f>
        <v>0</v>
      </c>
      <c r="I1727">
        <f>-415033/10^4</f>
        <v>-41.503300000000003</v>
      </c>
      <c r="J1727">
        <f>0</f>
        <v>0</v>
      </c>
    </row>
    <row r="1728" spans="1:10" x14ac:dyDescent="0.25">
      <c r="A1728" t="s">
        <v>1737</v>
      </c>
      <c r="B1728" t="s">
        <v>11</v>
      </c>
      <c r="C1728">
        <v>118.48805468800001</v>
      </c>
      <c r="D1728">
        <f>0</f>
        <v>0</v>
      </c>
      <c r="E1728">
        <f>665578125/10^6</f>
        <v>665.578125</v>
      </c>
      <c r="F1728">
        <f>0</f>
        <v>0</v>
      </c>
      <c r="G1728">
        <f>231689743/10^6</f>
        <v>231.68974299999999</v>
      </c>
      <c r="H1728">
        <f>0</f>
        <v>0</v>
      </c>
      <c r="I1728">
        <f>-41178471/10^6</f>
        <v>-41.178471000000002</v>
      </c>
      <c r="J1728">
        <f>0</f>
        <v>0</v>
      </c>
    </row>
    <row r="1729" spans="1:10" x14ac:dyDescent="0.25">
      <c r="A1729" t="s">
        <v>1738</v>
      </c>
      <c r="B1729" t="s">
        <v>11</v>
      </c>
      <c r="C1729">
        <v>119.18620312500001</v>
      </c>
      <c r="D1729">
        <f>0</f>
        <v>0</v>
      </c>
      <c r="E1729">
        <f>661614746/10^6</f>
        <v>661.61474599999997</v>
      </c>
      <c r="F1729">
        <f>0</f>
        <v>0</v>
      </c>
      <c r="G1729">
        <f>231756317/10^6</f>
        <v>231.756317</v>
      </c>
      <c r="H1729">
        <f>0</f>
        <v>0</v>
      </c>
      <c r="I1729">
        <f>-40801216/10^6</f>
        <v>-40.801215999999997</v>
      </c>
      <c r="J1729">
        <f>0</f>
        <v>0</v>
      </c>
    </row>
    <row r="1730" spans="1:10" x14ac:dyDescent="0.25">
      <c r="A1730" t="s">
        <v>1739</v>
      </c>
      <c r="B1730" t="s">
        <v>11</v>
      </c>
      <c r="C1730">
        <v>119.903085938</v>
      </c>
      <c r="D1730">
        <f>0</f>
        <v>0</v>
      </c>
      <c r="E1730">
        <f>65751532/10^5</f>
        <v>657.51531999999997</v>
      </c>
      <c r="F1730">
        <f>0</f>
        <v>0</v>
      </c>
      <c r="G1730">
        <f>231829178/10^6</f>
        <v>231.82917800000001</v>
      </c>
      <c r="H1730">
        <f>0</f>
        <v>0</v>
      </c>
      <c r="I1730">
        <f>-40357697/10^6</f>
        <v>-40.357697000000002</v>
      </c>
      <c r="J1730">
        <f>0</f>
        <v>0</v>
      </c>
    </row>
    <row r="1731" spans="1:10" x14ac:dyDescent="0.25">
      <c r="A1731" t="s">
        <v>1740</v>
      </c>
      <c r="B1731" t="s">
        <v>11</v>
      </c>
      <c r="C1731">
        <v>120.63139843800001</v>
      </c>
      <c r="D1731">
        <f>0</f>
        <v>0</v>
      </c>
      <c r="E1731">
        <f>653341431/10^6</f>
        <v>653.34143099999994</v>
      </c>
      <c r="F1731">
        <f>0</f>
        <v>0</v>
      </c>
      <c r="G1731">
        <f>231889297/10^6</f>
        <v>231.889297</v>
      </c>
      <c r="H1731">
        <f>0</f>
        <v>0</v>
      </c>
      <c r="I1731">
        <f>-39843296/10^6</f>
        <v>-39.843296000000002</v>
      </c>
      <c r="J1731">
        <f>0</f>
        <v>0</v>
      </c>
    </row>
    <row r="1732" spans="1:10" x14ac:dyDescent="0.25">
      <c r="A1732" t="s">
        <v>1741</v>
      </c>
      <c r="B1732" t="s">
        <v>11</v>
      </c>
      <c r="C1732">
        <v>121.24875</v>
      </c>
      <c r="D1732">
        <f>0</f>
        <v>0</v>
      </c>
      <c r="E1732">
        <f>649835693/10^6</f>
        <v>649.83569299999999</v>
      </c>
      <c r="F1732">
        <f>0</f>
        <v>0</v>
      </c>
      <c r="G1732">
        <f>231912384/10^6</f>
        <v>231.912384</v>
      </c>
      <c r="H1732">
        <f>0</f>
        <v>0</v>
      </c>
      <c r="I1732">
        <f>-39433105/10^6</f>
        <v>-39.433104999999998</v>
      </c>
      <c r="J1732">
        <f>0</f>
        <v>0</v>
      </c>
    </row>
    <row r="1733" spans="1:10" x14ac:dyDescent="0.25">
      <c r="A1733" t="s">
        <v>1742</v>
      </c>
      <c r="B1733" t="s">
        <v>11</v>
      </c>
      <c r="C1733">
        <v>0</v>
      </c>
      <c r="D1733">
        <f>2</f>
        <v>2</v>
      </c>
      <c r="F1733">
        <f>2</f>
        <v>2</v>
      </c>
      <c r="H1733">
        <f>2</f>
        <v>2</v>
      </c>
      <c r="J1733">
        <f>2</f>
        <v>2</v>
      </c>
    </row>
    <row r="1734" spans="1:10" x14ac:dyDescent="0.25">
      <c r="A1734" t="s">
        <v>1743</v>
      </c>
      <c r="B1734" t="s">
        <v>11</v>
      </c>
      <c r="C1734">
        <v>121.89349218800001</v>
      </c>
      <c r="D1734">
        <f>0</f>
        <v>0</v>
      </c>
      <c r="E1734">
        <f>646096741/10^6</f>
        <v>646.09674099999995</v>
      </c>
      <c r="F1734">
        <f>0</f>
        <v>0</v>
      </c>
      <c r="G1734">
        <f>231995712/10^6</f>
        <v>231.995712</v>
      </c>
      <c r="H1734">
        <f>0</f>
        <v>0</v>
      </c>
      <c r="I1734">
        <f>-38591686/10^6</f>
        <v>-38.591686000000003</v>
      </c>
      <c r="J1734">
        <f>0</f>
        <v>0</v>
      </c>
    </row>
    <row r="1735" spans="1:10" x14ac:dyDescent="0.25">
      <c r="A1735" t="s">
        <v>1744</v>
      </c>
      <c r="B1735" t="s">
        <v>11</v>
      </c>
      <c r="C1735">
        <v>0</v>
      </c>
      <c r="D1735">
        <f>2</f>
        <v>2</v>
      </c>
      <c r="F1735">
        <f>2</f>
        <v>2</v>
      </c>
      <c r="H1735">
        <f>2</f>
        <v>2</v>
      </c>
      <c r="J1735">
        <f>2</f>
        <v>2</v>
      </c>
    </row>
    <row r="1736" spans="1:10" x14ac:dyDescent="0.25">
      <c r="A1736" t="s">
        <v>1745</v>
      </c>
      <c r="B1736" t="s">
        <v>11</v>
      </c>
      <c r="C1736">
        <v>122.13064843800001</v>
      </c>
      <c r="D1736">
        <f>0</f>
        <v>0</v>
      </c>
      <c r="E1736">
        <f>6451427/10^4</f>
        <v>645.14269999999999</v>
      </c>
      <c r="F1736">
        <f>0</f>
        <v>0</v>
      </c>
      <c r="G1736">
        <f>232083145/10^6</f>
        <v>232.083145</v>
      </c>
      <c r="H1736">
        <f>0</f>
        <v>0</v>
      </c>
      <c r="I1736">
        <f>-38812748/10^6</f>
        <v>-38.812747999999999</v>
      </c>
      <c r="J1736">
        <f>0</f>
        <v>0</v>
      </c>
    </row>
    <row r="1737" spans="1:10" x14ac:dyDescent="0.25">
      <c r="A1737" t="s">
        <v>1746</v>
      </c>
      <c r="B1737" t="s">
        <v>11</v>
      </c>
      <c r="C1737">
        <v>122.20549218800001</v>
      </c>
      <c r="D1737">
        <f>0</f>
        <v>0</v>
      </c>
      <c r="E1737">
        <f>644849854/10^6</f>
        <v>644.84985400000005</v>
      </c>
      <c r="F1737">
        <f>0</f>
        <v>0</v>
      </c>
      <c r="G1737">
        <f>232122131/10^6</f>
        <v>232.122131</v>
      </c>
      <c r="H1737">
        <f>0</f>
        <v>0</v>
      </c>
      <c r="I1737">
        <f>-38781487/10^6</f>
        <v>-38.781486999999998</v>
      </c>
      <c r="J1737">
        <f>0</f>
        <v>0</v>
      </c>
    </row>
    <row r="1738" spans="1:10" x14ac:dyDescent="0.25">
      <c r="A1738" t="s">
        <v>1747</v>
      </c>
      <c r="B1738" t="s">
        <v>11</v>
      </c>
      <c r="C1738">
        <v>122.216898438</v>
      </c>
      <c r="D1738">
        <f>0</f>
        <v>0</v>
      </c>
      <c r="E1738">
        <f>64471637/10^5</f>
        <v>644.71636999999998</v>
      </c>
      <c r="F1738">
        <f>0</f>
        <v>0</v>
      </c>
      <c r="G1738">
        <f>232144577/10^6</f>
        <v>232.144577</v>
      </c>
      <c r="H1738">
        <f>0</f>
        <v>0</v>
      </c>
      <c r="I1738">
        <f>-38511375/10^6</f>
        <v>-38.511375000000001</v>
      </c>
      <c r="J1738">
        <f>0</f>
        <v>0</v>
      </c>
    </row>
    <row r="1739" spans="1:10" x14ac:dyDescent="0.25">
      <c r="A1739" t="s">
        <v>1748</v>
      </c>
      <c r="B1739" t="s">
        <v>11</v>
      </c>
      <c r="C1739">
        <v>122.12614062500001</v>
      </c>
      <c r="D1739">
        <f>0</f>
        <v>0</v>
      </c>
      <c r="E1739">
        <f>645230469/10^6</f>
        <v>645.23046899999997</v>
      </c>
      <c r="F1739">
        <f>0</f>
        <v>0</v>
      </c>
      <c r="G1739">
        <f>232153885/10^6</f>
        <v>232.153885</v>
      </c>
      <c r="H1739">
        <f>0</f>
        <v>0</v>
      </c>
      <c r="I1739">
        <f>-38566811/10^6</f>
        <v>-38.566811000000001</v>
      </c>
      <c r="J1739">
        <f>0</f>
        <v>0</v>
      </c>
    </row>
    <row r="1740" spans="1:10" x14ac:dyDescent="0.25">
      <c r="A1740" t="s">
        <v>1749</v>
      </c>
      <c r="B1740" t="s">
        <v>11</v>
      </c>
      <c r="C1740">
        <v>121.9729375</v>
      </c>
      <c r="D1740">
        <f>0</f>
        <v>0</v>
      </c>
      <c r="E1740">
        <f>646219482/10^6</f>
        <v>646.21948199999997</v>
      </c>
      <c r="F1740">
        <f>0</f>
        <v>0</v>
      </c>
      <c r="G1740">
        <f>232155731/10^6</f>
        <v>232.155731</v>
      </c>
      <c r="H1740">
        <f>0</f>
        <v>0</v>
      </c>
      <c r="I1740">
        <f>-38778324/10^6</f>
        <v>-38.778323999999998</v>
      </c>
      <c r="J1740">
        <f>0</f>
        <v>0</v>
      </c>
    </row>
    <row r="1741" spans="1:10" x14ac:dyDescent="0.25">
      <c r="A1741" t="s">
        <v>1750</v>
      </c>
      <c r="B1741" t="s">
        <v>11</v>
      </c>
      <c r="C1741">
        <v>121.792421875</v>
      </c>
      <c r="D1741">
        <f>0</f>
        <v>0</v>
      </c>
      <c r="E1741">
        <f>64713739/10^5</f>
        <v>647.13738999999998</v>
      </c>
      <c r="F1741">
        <f>0</f>
        <v>0</v>
      </c>
      <c r="G1741">
        <f>232141922/10^6</f>
        <v>232.14192199999999</v>
      </c>
      <c r="H1741">
        <f>0</f>
        <v>0</v>
      </c>
      <c r="I1741">
        <f>-38724369/10^6</f>
        <v>-38.724369000000003</v>
      </c>
      <c r="J1741">
        <f>0</f>
        <v>0</v>
      </c>
    </row>
    <row r="1742" spans="1:10" x14ac:dyDescent="0.25">
      <c r="A1742" t="s">
        <v>1751</v>
      </c>
      <c r="B1742" t="s">
        <v>11</v>
      </c>
      <c r="C1742">
        <v>121.593648438</v>
      </c>
      <c r="D1742">
        <f>0</f>
        <v>0</v>
      </c>
      <c r="E1742">
        <f>648230957/10^6</f>
        <v>648.23095699999999</v>
      </c>
      <c r="F1742">
        <f>0</f>
        <v>0</v>
      </c>
      <c r="G1742">
        <f>232116837/10^6</f>
        <v>232.116837</v>
      </c>
      <c r="H1742">
        <f>0</f>
        <v>0</v>
      </c>
      <c r="I1742">
        <f>-38738289/10^6</f>
        <v>-38.738289000000002</v>
      </c>
      <c r="J1742">
        <f>0</f>
        <v>0</v>
      </c>
    </row>
    <row r="1743" spans="1:10" x14ac:dyDescent="0.25">
      <c r="A1743" t="s">
        <v>1752</v>
      </c>
      <c r="B1743" t="s">
        <v>11</v>
      </c>
      <c r="C1743">
        <v>121.384671875</v>
      </c>
      <c r="D1743">
        <f>0</f>
        <v>0</v>
      </c>
      <c r="E1743">
        <f>649330994/10^6</f>
        <v>649.33099400000003</v>
      </c>
      <c r="F1743">
        <f>0</f>
        <v>0</v>
      </c>
      <c r="G1743">
        <f>232086487/10^6</f>
        <v>232.08648700000001</v>
      </c>
      <c r="H1743">
        <f>0</f>
        <v>0</v>
      </c>
      <c r="I1743">
        <f>-38790421/10^6</f>
        <v>-38.790421000000002</v>
      </c>
      <c r="J1743">
        <f>0</f>
        <v>0</v>
      </c>
    </row>
    <row r="1744" spans="1:10" x14ac:dyDescent="0.25">
      <c r="A1744" t="s">
        <v>1753</v>
      </c>
      <c r="B1744" t="s">
        <v>11</v>
      </c>
      <c r="C1744">
        <v>121.14361718800001</v>
      </c>
      <c r="D1744">
        <f>0</f>
        <v>0</v>
      </c>
      <c r="E1744">
        <f>650470581/10^6</f>
        <v>650.47058100000004</v>
      </c>
      <c r="F1744">
        <f>0</f>
        <v>0</v>
      </c>
      <c r="G1744">
        <f>232047211/10^6</f>
        <v>232.047211</v>
      </c>
      <c r="H1744">
        <f>0</f>
        <v>0</v>
      </c>
      <c r="I1744">
        <f>-38730721/10^6</f>
        <v>-38.730721000000003</v>
      </c>
      <c r="J1744">
        <f>0</f>
        <v>0</v>
      </c>
    </row>
    <row r="1745" spans="1:10" x14ac:dyDescent="0.25">
      <c r="A1745" t="s">
        <v>1754</v>
      </c>
      <c r="B1745" t="s">
        <v>11</v>
      </c>
      <c r="C1745">
        <v>120.866</v>
      </c>
      <c r="D1745">
        <f>0</f>
        <v>0</v>
      </c>
      <c r="E1745">
        <f>652136414/10^6</f>
        <v>652.13641399999995</v>
      </c>
      <c r="F1745">
        <f>0</f>
        <v>0</v>
      </c>
      <c r="G1745">
        <f>232008896/10^6</f>
        <v>232.00889599999999</v>
      </c>
      <c r="H1745">
        <f>0</f>
        <v>0</v>
      </c>
      <c r="I1745">
        <f>-39025467/10^6</f>
        <v>-39.025466999999999</v>
      </c>
      <c r="J1745">
        <f>0</f>
        <v>0</v>
      </c>
    </row>
    <row r="1746" spans="1:10" x14ac:dyDescent="0.25">
      <c r="A1746" t="s">
        <v>1755</v>
      </c>
      <c r="B1746" t="s">
        <v>11</v>
      </c>
      <c r="C1746">
        <v>120.574195313</v>
      </c>
      <c r="D1746">
        <f>0</f>
        <v>0</v>
      </c>
      <c r="E1746">
        <f>653815247/10^6</f>
        <v>653.815247</v>
      </c>
      <c r="F1746">
        <f>0</f>
        <v>0</v>
      </c>
      <c r="G1746">
        <f>231971558/10^6</f>
        <v>231.97155799999999</v>
      </c>
      <c r="H1746">
        <f>0</f>
        <v>0</v>
      </c>
      <c r="I1746">
        <f>-39342014/10^6</f>
        <v>-39.342013999999999</v>
      </c>
      <c r="J1746">
        <f>0</f>
        <v>0</v>
      </c>
    </row>
    <row r="1747" spans="1:10" x14ac:dyDescent="0.25">
      <c r="A1747" t="s">
        <v>1756</v>
      </c>
      <c r="B1747" t="s">
        <v>11</v>
      </c>
      <c r="C1747">
        <v>120.28125781300001</v>
      </c>
      <c r="D1747">
        <f>0</f>
        <v>0</v>
      </c>
      <c r="E1747">
        <f>65524231/10^5</f>
        <v>655.24230999999997</v>
      </c>
      <c r="F1747">
        <f>0</f>
        <v>0</v>
      </c>
      <c r="G1747">
        <f>231921829/10^6</f>
        <v>231.921829</v>
      </c>
      <c r="H1747">
        <f>0</f>
        <v>0</v>
      </c>
      <c r="I1747">
        <f>-39341087/10^6</f>
        <v>-39.341087000000002</v>
      </c>
      <c r="J1747">
        <f>0</f>
        <v>0</v>
      </c>
    </row>
    <row r="1748" spans="1:10" x14ac:dyDescent="0.25">
      <c r="A1748" t="s">
        <v>1757</v>
      </c>
      <c r="B1748" t="s">
        <v>11</v>
      </c>
      <c r="C1748">
        <v>119.973125</v>
      </c>
      <c r="D1748">
        <f>0</f>
        <v>0</v>
      </c>
      <c r="E1748">
        <f>656894653/10^6</f>
        <v>656.89465299999995</v>
      </c>
      <c r="F1748">
        <f>0</f>
        <v>0</v>
      </c>
      <c r="G1748">
        <f>23186113/10^5</f>
        <v>231.86113</v>
      </c>
      <c r="H1748">
        <f>0</f>
        <v>0</v>
      </c>
      <c r="I1748">
        <f>-39465961/10^6</f>
        <v>-39.465961</v>
      </c>
      <c r="J1748">
        <f>0</f>
        <v>0</v>
      </c>
    </row>
    <row r="1749" spans="1:10" x14ac:dyDescent="0.25">
      <c r="A1749" t="s">
        <v>1758</v>
      </c>
      <c r="B1749" t="s">
        <v>11</v>
      </c>
      <c r="C1749">
        <v>119.614992188</v>
      </c>
      <c r="D1749">
        <f>0</f>
        <v>0</v>
      </c>
      <c r="E1749">
        <f>65883136/10^5</f>
        <v>658.83136000000002</v>
      </c>
      <c r="F1749">
        <f>0</f>
        <v>0</v>
      </c>
      <c r="G1749">
        <f>231802094/10^6</f>
        <v>231.80209400000001</v>
      </c>
      <c r="H1749">
        <f>0</f>
        <v>0</v>
      </c>
      <c r="I1749">
        <f>-39708233/10^6</f>
        <v>-39.708233</v>
      </c>
      <c r="J1749">
        <f>0</f>
        <v>0</v>
      </c>
    </row>
    <row r="1750" spans="1:10" x14ac:dyDescent="0.25">
      <c r="A1750" t="s">
        <v>1759</v>
      </c>
      <c r="B1750" t="s">
        <v>11</v>
      </c>
      <c r="C1750">
        <v>119.301632813</v>
      </c>
      <c r="D1750">
        <f>0</f>
        <v>0</v>
      </c>
      <c r="E1750">
        <f>660467957/10^6</f>
        <v>660.46795699999996</v>
      </c>
      <c r="F1750">
        <f>0</f>
        <v>0</v>
      </c>
      <c r="G1750">
        <f>231756668/10^6</f>
        <v>231.75666799999999</v>
      </c>
      <c r="H1750">
        <f>0</f>
        <v>0</v>
      </c>
      <c r="I1750">
        <f>-39846344/10^6</f>
        <v>-39.846344000000002</v>
      </c>
      <c r="J1750">
        <f>0</f>
        <v>0</v>
      </c>
    </row>
    <row r="1751" spans="1:10" x14ac:dyDescent="0.25">
      <c r="A1751" t="s">
        <v>1760</v>
      </c>
      <c r="B1751" t="s">
        <v>11</v>
      </c>
      <c r="C1751">
        <v>119.07007812499999</v>
      </c>
      <c r="D1751">
        <f>0</f>
        <v>0</v>
      </c>
      <c r="E1751">
        <f>661666199/10^6</f>
        <v>661.66619900000001</v>
      </c>
      <c r="F1751">
        <f>0</f>
        <v>0</v>
      </c>
      <c r="G1751">
        <f>231705551/10^6</f>
        <v>231.70555100000001</v>
      </c>
      <c r="H1751">
        <f>0</f>
        <v>0</v>
      </c>
      <c r="I1751">
        <f>-39858715/10^6</f>
        <v>-39.858714999999997</v>
      </c>
      <c r="J1751">
        <f>0</f>
        <v>0</v>
      </c>
    </row>
    <row r="1752" spans="1:10" x14ac:dyDescent="0.25">
      <c r="A1752" t="s">
        <v>1761</v>
      </c>
      <c r="B1752" t="s">
        <v>11</v>
      </c>
      <c r="C1752">
        <v>118.80963281300001</v>
      </c>
      <c r="D1752">
        <f>0</f>
        <v>0</v>
      </c>
      <c r="E1752">
        <f>663025024/10^6</f>
        <v>663.02502400000003</v>
      </c>
      <c r="F1752">
        <f>0</f>
        <v>0</v>
      </c>
      <c r="G1752">
        <f>231642487/10^6</f>
        <v>231.64248699999999</v>
      </c>
      <c r="H1752">
        <f>0</f>
        <v>0</v>
      </c>
      <c r="I1752">
        <f>-39960926/10^6</f>
        <v>-39.960926000000001</v>
      </c>
      <c r="J1752">
        <f>0</f>
        <v>0</v>
      </c>
    </row>
    <row r="1753" spans="1:10" x14ac:dyDescent="0.25">
      <c r="A1753" t="s">
        <v>1762</v>
      </c>
      <c r="B1753" t="s">
        <v>11</v>
      </c>
      <c r="C1753">
        <v>118.507164063</v>
      </c>
      <c r="D1753">
        <f>0</f>
        <v>0</v>
      </c>
      <c r="E1753">
        <f>664869812/10^6</f>
        <v>664.86981200000002</v>
      </c>
      <c r="F1753">
        <f>0</f>
        <v>0</v>
      </c>
      <c r="G1753">
        <f>231610306/10^6</f>
        <v>231.61030600000001</v>
      </c>
      <c r="H1753">
        <f>0</f>
        <v>0</v>
      </c>
      <c r="I1753">
        <f>-40358646/10^6</f>
        <v>-40.358646</v>
      </c>
      <c r="J1753">
        <f>0</f>
        <v>0</v>
      </c>
    </row>
    <row r="1754" spans="1:10" x14ac:dyDescent="0.25">
      <c r="A1754" t="s">
        <v>1763</v>
      </c>
      <c r="B1754" t="s">
        <v>11</v>
      </c>
      <c r="C1754">
        <v>118.211601563</v>
      </c>
      <c r="D1754">
        <f>0</f>
        <v>0</v>
      </c>
      <c r="E1754">
        <f>666653259/10^6</f>
        <v>666.65325900000005</v>
      </c>
      <c r="F1754">
        <f>0</f>
        <v>0</v>
      </c>
      <c r="G1754">
        <f>231579056/10^6</f>
        <v>231.57905600000001</v>
      </c>
      <c r="H1754">
        <f>0</f>
        <v>0</v>
      </c>
      <c r="I1754">
        <f>-40672657/10^6</f>
        <v>-40.672657000000001</v>
      </c>
      <c r="J1754">
        <f>0</f>
        <v>0</v>
      </c>
    </row>
    <row r="1755" spans="1:10" x14ac:dyDescent="0.25">
      <c r="A1755" t="s">
        <v>1764</v>
      </c>
      <c r="B1755" t="s">
        <v>11</v>
      </c>
      <c r="C1755">
        <v>117.96165625</v>
      </c>
      <c r="D1755">
        <f>0</f>
        <v>0</v>
      </c>
      <c r="E1755">
        <f>66795874/10^5</f>
        <v>667.95874000000003</v>
      </c>
      <c r="F1755">
        <f>0</f>
        <v>0</v>
      </c>
      <c r="G1755">
        <f>231523804/10^6</f>
        <v>231.52380400000001</v>
      </c>
      <c r="H1755">
        <f>0</f>
        <v>0</v>
      </c>
      <c r="I1755">
        <f>-40817516/10^6</f>
        <v>-40.817515999999998</v>
      </c>
      <c r="J1755">
        <f>0</f>
        <v>0</v>
      </c>
    </row>
    <row r="1756" spans="1:10" x14ac:dyDescent="0.25">
      <c r="A1756" t="s">
        <v>1765</v>
      </c>
      <c r="B1756" t="s">
        <v>11</v>
      </c>
      <c r="C1756">
        <v>117.74149218800001</v>
      </c>
      <c r="D1756">
        <f>0</f>
        <v>0</v>
      </c>
      <c r="E1756">
        <f>669281494/10^6</f>
        <v>669.28149399999995</v>
      </c>
      <c r="F1756">
        <f>0</f>
        <v>0</v>
      </c>
      <c r="G1756">
        <f>231498596/10^6</f>
        <v>231.49859599999999</v>
      </c>
      <c r="H1756">
        <f>0</f>
        <v>0</v>
      </c>
      <c r="I1756">
        <f>-41065224/10^6</f>
        <v>-41.065224000000001</v>
      </c>
      <c r="J1756">
        <f>0</f>
        <v>0</v>
      </c>
    </row>
    <row r="1757" spans="1:10" x14ac:dyDescent="0.25">
      <c r="A1757" t="s">
        <v>1766</v>
      </c>
      <c r="B1757" t="s">
        <v>11</v>
      </c>
      <c r="C1757">
        <v>117.526195313</v>
      </c>
      <c r="D1757">
        <f>0</f>
        <v>0</v>
      </c>
      <c r="E1757">
        <f>670570801/10^6</f>
        <v>670.57080099999996</v>
      </c>
      <c r="F1757">
        <f>0</f>
        <v>0</v>
      </c>
      <c r="G1757">
        <f>231486359/10^6</f>
        <v>231.48635899999999</v>
      </c>
      <c r="H1757">
        <f>0</f>
        <v>0</v>
      </c>
      <c r="I1757">
        <f>-41169811/10^6</f>
        <v>-41.169811000000003</v>
      </c>
      <c r="J1757">
        <f>0</f>
        <v>0</v>
      </c>
    </row>
    <row r="1758" spans="1:10" x14ac:dyDescent="0.25">
      <c r="A1758" t="s">
        <v>1767</v>
      </c>
      <c r="B1758" t="s">
        <v>11</v>
      </c>
      <c r="C1758">
        <v>117.32196875</v>
      </c>
      <c r="D1758">
        <f>0</f>
        <v>0</v>
      </c>
      <c r="E1758">
        <f>67165387/10^5</f>
        <v>671.65386999999998</v>
      </c>
      <c r="F1758">
        <f>0</f>
        <v>0</v>
      </c>
      <c r="G1758">
        <f>231457596/10^6</f>
        <v>231.457596</v>
      </c>
      <c r="H1758">
        <f>0</f>
        <v>0</v>
      </c>
      <c r="I1758">
        <f>-41199928/10^6</f>
        <v>-41.199928</v>
      </c>
      <c r="J1758">
        <f>0</f>
        <v>0</v>
      </c>
    </row>
    <row r="1759" spans="1:10" x14ac:dyDescent="0.25">
      <c r="A1759" t="s">
        <v>1768</v>
      </c>
      <c r="B1759" t="s">
        <v>11</v>
      </c>
      <c r="C1759">
        <v>117.139414063</v>
      </c>
      <c r="D1759">
        <f>0</f>
        <v>0</v>
      </c>
      <c r="E1759">
        <f>672788513/10^6</f>
        <v>672.78851299999997</v>
      </c>
      <c r="F1759">
        <f>0</f>
        <v>0</v>
      </c>
      <c r="G1759">
        <f>231449036/10^6</f>
        <v>231.44903600000001</v>
      </c>
      <c r="H1759">
        <f>0</f>
        <v>0</v>
      </c>
      <c r="I1759">
        <f>-41410851/10^6</f>
        <v>-41.410851000000001</v>
      </c>
      <c r="J1759">
        <f>0</f>
        <v>0</v>
      </c>
    </row>
    <row r="1760" spans="1:10" x14ac:dyDescent="0.25">
      <c r="A1760" t="s">
        <v>1769</v>
      </c>
      <c r="B1760" t="s">
        <v>11</v>
      </c>
      <c r="C1760">
        <v>116.964515625</v>
      </c>
      <c r="D1760">
        <f>0</f>
        <v>0</v>
      </c>
      <c r="E1760">
        <f>673863647/10^6</f>
        <v>673.86364700000001</v>
      </c>
      <c r="F1760">
        <f>0</f>
        <v>0</v>
      </c>
      <c r="G1760">
        <f>231448029/10^6</f>
        <v>231.44802899999999</v>
      </c>
      <c r="H1760">
        <f>0</f>
        <v>0</v>
      </c>
      <c r="I1760">
        <f>-41483826/10^6</f>
        <v>-41.483826000000001</v>
      </c>
      <c r="J1760">
        <f>0</f>
        <v>0</v>
      </c>
    </row>
    <row r="1761" spans="1:10" x14ac:dyDescent="0.25">
      <c r="A1761" t="s">
        <v>1770</v>
      </c>
      <c r="B1761" t="s">
        <v>11</v>
      </c>
      <c r="C1761">
        <v>116.75669531300001</v>
      </c>
      <c r="D1761">
        <f>0</f>
        <v>0</v>
      </c>
      <c r="E1761">
        <f>675061829/10^6</f>
        <v>675.06182899999999</v>
      </c>
      <c r="F1761">
        <f>0</f>
        <v>0</v>
      </c>
      <c r="G1761">
        <f>231421799/10^6</f>
        <v>231.42179899999999</v>
      </c>
      <c r="H1761">
        <f>0</f>
        <v>0</v>
      </c>
      <c r="I1761">
        <f>-41639893/10^6</f>
        <v>-41.639893000000001</v>
      </c>
      <c r="J1761">
        <f>0</f>
        <v>0</v>
      </c>
    </row>
    <row r="1762" spans="1:10" x14ac:dyDescent="0.25">
      <c r="A1762" t="s">
        <v>1771</v>
      </c>
      <c r="B1762" t="s">
        <v>11</v>
      </c>
      <c r="C1762">
        <v>116.525234375</v>
      </c>
      <c r="D1762">
        <f>0</f>
        <v>0</v>
      </c>
      <c r="E1762">
        <f>676494324/10^6</f>
        <v>676.49432400000001</v>
      </c>
      <c r="F1762">
        <f>0</f>
        <v>0</v>
      </c>
      <c r="G1762">
        <f>231390366/10^6</f>
        <v>231.390366</v>
      </c>
      <c r="H1762">
        <f>0</f>
        <v>0</v>
      </c>
      <c r="I1762">
        <f>-41993507/10^6</f>
        <v>-41.993507000000001</v>
      </c>
      <c r="J1762">
        <f>0</f>
        <v>0</v>
      </c>
    </row>
    <row r="1763" spans="1:10" x14ac:dyDescent="0.25">
      <c r="A1763" t="s">
        <v>1772</v>
      </c>
      <c r="B1763" t="s">
        <v>11</v>
      </c>
      <c r="C1763">
        <v>116.2865</v>
      </c>
      <c r="D1763">
        <f>0</f>
        <v>0</v>
      </c>
      <c r="E1763">
        <f>677919067/10^6</f>
        <v>677.91906700000004</v>
      </c>
      <c r="F1763">
        <f>0</f>
        <v>0</v>
      </c>
      <c r="G1763">
        <f>231366623/10^6</f>
        <v>231.366623</v>
      </c>
      <c r="H1763">
        <f>0</f>
        <v>0</v>
      </c>
      <c r="I1763">
        <f>-42076633/10^6</f>
        <v>-42.076633000000001</v>
      </c>
      <c r="J1763">
        <f>0</f>
        <v>0</v>
      </c>
    </row>
    <row r="1764" spans="1:10" x14ac:dyDescent="0.25">
      <c r="A1764" t="s">
        <v>1773</v>
      </c>
      <c r="B1764" t="s">
        <v>11</v>
      </c>
      <c r="C1764">
        <v>116.04025781300001</v>
      </c>
      <c r="D1764">
        <f>0</f>
        <v>0</v>
      </c>
      <c r="E1764">
        <f>679296265/10^6</f>
        <v>679.29626499999995</v>
      </c>
      <c r="F1764">
        <f>0</f>
        <v>0</v>
      </c>
      <c r="G1764">
        <f>231330826/10^6</f>
        <v>231.330826</v>
      </c>
      <c r="H1764">
        <f>0</f>
        <v>0</v>
      </c>
      <c r="I1764">
        <f>-42169685/10^6</f>
        <v>-42.169685000000001</v>
      </c>
      <c r="J1764">
        <f>0</f>
        <v>0</v>
      </c>
    </row>
    <row r="1765" spans="1:10" x14ac:dyDescent="0.25">
      <c r="A1765" t="s">
        <v>1774</v>
      </c>
      <c r="B1765" t="s">
        <v>11</v>
      </c>
      <c r="C1765">
        <v>115.81182812500001</v>
      </c>
      <c r="D1765">
        <f>0</f>
        <v>0</v>
      </c>
      <c r="E1765">
        <f>680476563/10^6</f>
        <v>680.47656300000006</v>
      </c>
      <c r="F1765">
        <f>0</f>
        <v>0</v>
      </c>
      <c r="G1765">
        <f>231270462/10^6</f>
        <v>231.27046200000001</v>
      </c>
      <c r="H1765">
        <f>0</f>
        <v>0</v>
      </c>
      <c r="I1765">
        <f>-42304527/10^6</f>
        <v>-42.304527</v>
      </c>
      <c r="J1765">
        <f>0</f>
        <v>0</v>
      </c>
    </row>
    <row r="1766" spans="1:10" x14ac:dyDescent="0.25">
      <c r="A1766" t="s">
        <v>1775</v>
      </c>
      <c r="B1766" t="s">
        <v>11</v>
      </c>
      <c r="C1766">
        <v>115.59597656300001</v>
      </c>
      <c r="D1766">
        <f>0</f>
        <v>0</v>
      </c>
      <c r="E1766">
        <f>681685242/10^6</f>
        <v>681.68524200000002</v>
      </c>
      <c r="F1766">
        <f>0</f>
        <v>0</v>
      </c>
      <c r="G1766">
        <f>231201035/10^6</f>
        <v>231.20103499999999</v>
      </c>
      <c r="H1766">
        <f>0</f>
        <v>0</v>
      </c>
      <c r="I1766">
        <f>-42455513/10^6</f>
        <v>-42.455513000000003</v>
      </c>
      <c r="J1766">
        <f>0</f>
        <v>0</v>
      </c>
    </row>
    <row r="1767" spans="1:10" x14ac:dyDescent="0.25">
      <c r="A1767" t="s">
        <v>1776</v>
      </c>
      <c r="B1767" t="s">
        <v>11</v>
      </c>
      <c r="C1767">
        <v>115.388765625</v>
      </c>
      <c r="D1767">
        <f>0</f>
        <v>0</v>
      </c>
      <c r="E1767">
        <f>682933899/10^6</f>
        <v>682.933899</v>
      </c>
      <c r="F1767">
        <f>0</f>
        <v>0</v>
      </c>
      <c r="G1767">
        <f>231137726/10^6</f>
        <v>231.13772599999999</v>
      </c>
      <c r="H1767">
        <f>0</f>
        <v>0</v>
      </c>
      <c r="I1767">
        <f>-42666016/10^6</f>
        <v>-42.666015999999999</v>
      </c>
      <c r="J1767">
        <f>0</f>
        <v>0</v>
      </c>
    </row>
    <row r="1768" spans="1:10" x14ac:dyDescent="0.25">
      <c r="A1768" t="s">
        <v>1777</v>
      </c>
      <c r="B1768" t="s">
        <v>11</v>
      </c>
      <c r="C1768">
        <v>115.19027343800001</v>
      </c>
      <c r="D1768">
        <f>0</f>
        <v>0</v>
      </c>
      <c r="E1768">
        <f>683836365/10^6</f>
        <v>683.836365</v>
      </c>
      <c r="F1768">
        <f>0</f>
        <v>0</v>
      </c>
      <c r="G1768">
        <f>231045059/10^6</f>
        <v>231.04505900000001</v>
      </c>
      <c r="H1768">
        <f>0</f>
        <v>0</v>
      </c>
      <c r="I1768">
        <f>-4264875/10^5</f>
        <v>-42.64875</v>
      </c>
      <c r="J1768">
        <f>0</f>
        <v>0</v>
      </c>
    </row>
    <row r="1769" spans="1:10" x14ac:dyDescent="0.25">
      <c r="A1769" t="s">
        <v>1778</v>
      </c>
      <c r="B1769" t="s">
        <v>11</v>
      </c>
      <c r="C1769">
        <v>115.01559374999999</v>
      </c>
      <c r="D1769">
        <f>0</f>
        <v>0</v>
      </c>
      <c r="E1769">
        <f>684689575/10^6</f>
        <v>684.68957499999999</v>
      </c>
      <c r="F1769">
        <f>0</f>
        <v>0</v>
      </c>
      <c r="G1769">
        <f>230973221/10^6</f>
        <v>230.973221</v>
      </c>
      <c r="H1769">
        <f>0</f>
        <v>0</v>
      </c>
      <c r="I1769">
        <f>-42751953/10^6</f>
        <v>-42.751953</v>
      </c>
      <c r="J1769">
        <f>0</f>
        <v>0</v>
      </c>
    </row>
    <row r="1770" spans="1:10" x14ac:dyDescent="0.25">
      <c r="A1770" t="s">
        <v>1779</v>
      </c>
      <c r="B1770" t="s">
        <v>11</v>
      </c>
      <c r="C1770">
        <v>114.892054688</v>
      </c>
      <c r="D1770">
        <f>0</f>
        <v>0</v>
      </c>
      <c r="E1770">
        <f>68555603/10^5</f>
        <v>685.55602999999996</v>
      </c>
      <c r="F1770">
        <f>0</f>
        <v>0</v>
      </c>
      <c r="G1770">
        <f>230957855/10^6</f>
        <v>230.957855</v>
      </c>
      <c r="H1770">
        <f>0</f>
        <v>0</v>
      </c>
      <c r="I1770">
        <f>-43092793/10^6</f>
        <v>-43.092793</v>
      </c>
      <c r="J1770">
        <f>0</f>
        <v>0</v>
      </c>
    </row>
    <row r="1771" spans="1:10" x14ac:dyDescent="0.25">
      <c r="A1771" t="s">
        <v>1780</v>
      </c>
      <c r="B1771" t="s">
        <v>11</v>
      </c>
      <c r="C1771">
        <v>114.77353125</v>
      </c>
      <c r="D1771">
        <f>0</f>
        <v>0</v>
      </c>
      <c r="E1771">
        <f>686132568/10^6</f>
        <v>686.13256799999999</v>
      </c>
      <c r="F1771">
        <f>0</f>
        <v>0</v>
      </c>
      <c r="G1771">
        <f>230900391/10^6</f>
        <v>230.90039100000001</v>
      </c>
      <c r="H1771">
        <f>0</f>
        <v>0</v>
      </c>
      <c r="I1771">
        <f>-43182793/10^6</f>
        <v>-43.182792999999997</v>
      </c>
      <c r="J1771">
        <f>0</f>
        <v>0</v>
      </c>
    </row>
    <row r="1772" spans="1:10" x14ac:dyDescent="0.25">
      <c r="A1772" t="s">
        <v>1781</v>
      </c>
      <c r="B1772" t="s">
        <v>11</v>
      </c>
      <c r="C1772">
        <v>114.67752343800001</v>
      </c>
      <c r="D1772">
        <f>0</f>
        <v>0</v>
      </c>
      <c r="E1772">
        <f>686557129/10^6</f>
        <v>686.55712900000003</v>
      </c>
      <c r="F1772">
        <f>0</f>
        <v>0</v>
      </c>
      <c r="G1772">
        <f>23082341/10^5</f>
        <v>230.82341</v>
      </c>
      <c r="H1772">
        <f>0</f>
        <v>0</v>
      </c>
      <c r="I1772">
        <f>-43286617/10^6</f>
        <v>-43.286617</v>
      </c>
      <c r="J1772">
        <f>0</f>
        <v>0</v>
      </c>
    </row>
    <row r="1773" spans="1:10" x14ac:dyDescent="0.25">
      <c r="A1773" t="s">
        <v>1782</v>
      </c>
      <c r="B1773" t="s">
        <v>11</v>
      </c>
      <c r="C1773">
        <v>114.65412499999999</v>
      </c>
      <c r="D1773">
        <f>0</f>
        <v>0</v>
      </c>
      <c r="E1773">
        <f>686672974/10^6</f>
        <v>686.67297399999995</v>
      </c>
      <c r="F1773">
        <f>0</f>
        <v>0</v>
      </c>
      <c r="G1773">
        <f>230772842/10^6</f>
        <v>230.772842</v>
      </c>
      <c r="H1773">
        <f>0</f>
        <v>0</v>
      </c>
      <c r="I1773">
        <f>-43476158/10^6</f>
        <v>-43.476157999999998</v>
      </c>
      <c r="J1773">
        <f>0</f>
        <v>0</v>
      </c>
    </row>
    <row r="1774" spans="1:10" x14ac:dyDescent="0.25">
      <c r="A1774" t="s">
        <v>1783</v>
      </c>
      <c r="B1774" t="s">
        <v>11</v>
      </c>
      <c r="C1774">
        <v>114.65086718800001</v>
      </c>
      <c r="D1774">
        <f>0</f>
        <v>0</v>
      </c>
      <c r="E1774">
        <f>686766052/10^6</f>
        <v>686.76605199999995</v>
      </c>
      <c r="F1774">
        <f>0</f>
        <v>0</v>
      </c>
      <c r="G1774">
        <f>230809692/10^6</f>
        <v>230.80969200000001</v>
      </c>
      <c r="H1774">
        <f>0</f>
        <v>0</v>
      </c>
      <c r="I1774">
        <f>-4332452/10^5</f>
        <v>-43.32452</v>
      </c>
      <c r="J1774">
        <f>0</f>
        <v>0</v>
      </c>
    </row>
    <row r="1775" spans="1:10" x14ac:dyDescent="0.25">
      <c r="A1775" t="s">
        <v>1784</v>
      </c>
      <c r="B1775" t="s">
        <v>11</v>
      </c>
      <c r="C1775">
        <v>114.64714062500001</v>
      </c>
      <c r="D1775">
        <f>0</f>
        <v>0</v>
      </c>
      <c r="E1775">
        <f>686870483/10^6</f>
        <v>686.87048300000004</v>
      </c>
      <c r="F1775">
        <f>0</f>
        <v>0</v>
      </c>
      <c r="G1775">
        <f>230842529/10^6</f>
        <v>230.84252900000001</v>
      </c>
      <c r="H1775">
        <f>0</f>
        <v>0</v>
      </c>
      <c r="I1775">
        <f>-43261547/10^6</f>
        <v>-43.261547</v>
      </c>
      <c r="J1775">
        <f>0</f>
        <v>0</v>
      </c>
    </row>
    <row r="1776" spans="1:10" x14ac:dyDescent="0.25">
      <c r="A1776" t="s">
        <v>1785</v>
      </c>
      <c r="B1776" t="s">
        <v>11</v>
      </c>
      <c r="C1776">
        <v>114.65177343800001</v>
      </c>
      <c r="D1776">
        <f>0</f>
        <v>0</v>
      </c>
      <c r="E1776">
        <f>686721985/10^6</f>
        <v>686.72198500000002</v>
      </c>
      <c r="F1776">
        <f>0</f>
        <v>0</v>
      </c>
      <c r="G1776">
        <f>230814636/10^6</f>
        <v>230.81463600000001</v>
      </c>
      <c r="H1776">
        <f>0</f>
        <v>0</v>
      </c>
      <c r="I1776">
        <f>-43240898/10^6</f>
        <v>-43.240898000000001</v>
      </c>
      <c r="J1776">
        <f>0</f>
        <v>0</v>
      </c>
    </row>
    <row r="1777" spans="1:10" x14ac:dyDescent="0.25">
      <c r="A1777" t="s">
        <v>1786</v>
      </c>
      <c r="B1777" t="s">
        <v>11</v>
      </c>
      <c r="C1777">
        <v>114.661242188</v>
      </c>
      <c r="D1777">
        <f>0</f>
        <v>0</v>
      </c>
      <c r="E1777">
        <f>686594482/10^6</f>
        <v>686.59448199999997</v>
      </c>
      <c r="F1777">
        <f>0</f>
        <v>0</v>
      </c>
      <c r="G1777">
        <f>230803482/10^6</f>
        <v>230.803482</v>
      </c>
      <c r="H1777">
        <f>0</f>
        <v>0</v>
      </c>
      <c r="I1777">
        <f>-43184284/10^6</f>
        <v>-43.184283999999998</v>
      </c>
      <c r="J1777">
        <f>0</f>
        <v>0</v>
      </c>
    </row>
    <row r="1778" spans="1:10" x14ac:dyDescent="0.25">
      <c r="A1778" t="s">
        <v>1787</v>
      </c>
      <c r="B1778" t="s">
        <v>11</v>
      </c>
      <c r="C1778">
        <v>114.713515625</v>
      </c>
      <c r="D1778">
        <f>0</f>
        <v>0</v>
      </c>
      <c r="E1778">
        <f>686354492/10^6</f>
        <v>686.35449200000005</v>
      </c>
      <c r="F1778">
        <f>0</f>
        <v>0</v>
      </c>
      <c r="G1778">
        <f>230819305/10^6</f>
        <v>230.81930500000001</v>
      </c>
      <c r="H1778">
        <f>0</f>
        <v>0</v>
      </c>
      <c r="I1778">
        <f>-43321133/10^6</f>
        <v>-43.321133000000003</v>
      </c>
      <c r="J1778">
        <f>0</f>
        <v>0</v>
      </c>
    </row>
    <row r="1779" spans="1:10" x14ac:dyDescent="0.25">
      <c r="A1779" t="s">
        <v>1788</v>
      </c>
      <c r="B1779" t="s">
        <v>11</v>
      </c>
      <c r="C1779">
        <v>114.81116406300001</v>
      </c>
      <c r="D1779">
        <f>0</f>
        <v>0</v>
      </c>
      <c r="E1779">
        <f>685941345/10^6</f>
        <v>685.94134499999996</v>
      </c>
      <c r="F1779">
        <f>0</f>
        <v>0</v>
      </c>
      <c r="G1779">
        <f>230877411/10^6</f>
        <v>230.877411</v>
      </c>
      <c r="H1779">
        <f>0</f>
        <v>0</v>
      </c>
      <c r="I1779">
        <f>-43391602/10^6</f>
        <v>-43.391601999999999</v>
      </c>
      <c r="J1779">
        <f>0</f>
        <v>0</v>
      </c>
    </row>
    <row r="1780" spans="1:10" x14ac:dyDescent="0.25">
      <c r="A1780" t="s">
        <v>1789</v>
      </c>
      <c r="B1780" t="s">
        <v>11</v>
      </c>
      <c r="C1780">
        <v>114.93920312500001</v>
      </c>
      <c r="D1780">
        <f>0</f>
        <v>0</v>
      </c>
      <c r="E1780">
        <f>685300171/10^6</f>
        <v>685.30017099999998</v>
      </c>
      <c r="F1780">
        <f>0</f>
        <v>0</v>
      </c>
      <c r="G1780">
        <f>230948532/10^6</f>
        <v>230.948532</v>
      </c>
      <c r="H1780">
        <f>0</f>
        <v>0</v>
      </c>
      <c r="I1780">
        <f>-43254955/10^6</f>
        <v>-43.254955000000002</v>
      </c>
      <c r="J1780">
        <f>0</f>
        <v>0</v>
      </c>
    </row>
    <row r="1781" spans="1:10" x14ac:dyDescent="0.25">
      <c r="A1781" t="s">
        <v>1790</v>
      </c>
      <c r="B1781" t="s">
        <v>11</v>
      </c>
      <c r="C1781">
        <v>115.116359375</v>
      </c>
      <c r="D1781">
        <f>0</f>
        <v>0</v>
      </c>
      <c r="E1781">
        <f>68450238/10^5</f>
        <v>684.50238000000002</v>
      </c>
      <c r="F1781">
        <f>0</f>
        <v>0</v>
      </c>
      <c r="G1781">
        <f>231059387/10^6</f>
        <v>231.05938699999999</v>
      </c>
      <c r="H1781">
        <f>0</f>
        <v>0</v>
      </c>
      <c r="I1781">
        <f>-43088593/10^6</f>
        <v>-43.088593000000003</v>
      </c>
      <c r="J1781">
        <f>0</f>
        <v>0</v>
      </c>
    </row>
    <row r="1782" spans="1:10" x14ac:dyDescent="0.25">
      <c r="A1782" t="s">
        <v>1791</v>
      </c>
      <c r="B1782" t="s">
        <v>11</v>
      </c>
      <c r="C1782">
        <v>115.341953125</v>
      </c>
      <c r="D1782">
        <f>0</f>
        <v>0</v>
      </c>
      <c r="E1782">
        <f>683441589/10^6</f>
        <v>683.44158900000002</v>
      </c>
      <c r="F1782">
        <f>0</f>
        <v>0</v>
      </c>
      <c r="G1782">
        <f>231160019/10^6</f>
        <v>231.16001900000001</v>
      </c>
      <c r="H1782">
        <f>0</f>
        <v>0</v>
      </c>
      <c r="I1782">
        <f>-43006943/10^6</f>
        <v>-43.006943</v>
      </c>
      <c r="J1782">
        <f>0</f>
        <v>0</v>
      </c>
    </row>
    <row r="1783" spans="1:10" x14ac:dyDescent="0.25">
      <c r="A1783" t="s">
        <v>1792</v>
      </c>
      <c r="B1783" t="s">
        <v>11</v>
      </c>
      <c r="C1783">
        <v>115.638210938</v>
      </c>
      <c r="D1783">
        <f>0</f>
        <v>0</v>
      </c>
      <c r="E1783">
        <f>681674316/10^6</f>
        <v>681.67431599999998</v>
      </c>
      <c r="F1783">
        <f>0</f>
        <v>0</v>
      </c>
      <c r="G1783">
        <f>231211731/10^6</f>
        <v>231.21173099999999</v>
      </c>
      <c r="H1783">
        <f>0</f>
        <v>0</v>
      </c>
      <c r="I1783">
        <f>-4280957/10^5</f>
        <v>-42.809570000000001</v>
      </c>
      <c r="J1783">
        <f>0</f>
        <v>0</v>
      </c>
    </row>
    <row r="1784" spans="1:10" x14ac:dyDescent="0.25">
      <c r="A1784" t="s">
        <v>1793</v>
      </c>
      <c r="B1784" t="s">
        <v>11</v>
      </c>
      <c r="C1784">
        <v>116.02123437500001</v>
      </c>
      <c r="D1784">
        <f>0</f>
        <v>0</v>
      </c>
      <c r="E1784">
        <f>679434509/10^6</f>
        <v>679.43450900000005</v>
      </c>
      <c r="F1784">
        <f>0</f>
        <v>0</v>
      </c>
      <c r="G1784">
        <f>231294144/10^6</f>
        <v>231.29414399999999</v>
      </c>
      <c r="H1784">
        <f>0</f>
        <v>0</v>
      </c>
      <c r="I1784">
        <f>-42503769/10^6</f>
        <v>-42.503768999999998</v>
      </c>
      <c r="J1784">
        <f>0</f>
        <v>0</v>
      </c>
    </row>
    <row r="1785" spans="1:10" x14ac:dyDescent="0.25">
      <c r="A1785" t="s">
        <v>1794</v>
      </c>
      <c r="B1785" t="s">
        <v>11</v>
      </c>
      <c r="C1785">
        <v>0</v>
      </c>
      <c r="D1785">
        <f>2</f>
        <v>2</v>
      </c>
      <c r="F1785">
        <f>2</f>
        <v>2</v>
      </c>
      <c r="H1785">
        <f>2</f>
        <v>2</v>
      </c>
      <c r="J1785">
        <f>2</f>
        <v>2</v>
      </c>
    </row>
    <row r="1786" spans="1:10" x14ac:dyDescent="0.25">
      <c r="A1786" t="s">
        <v>1795</v>
      </c>
      <c r="B1786" t="s">
        <v>11</v>
      </c>
      <c r="C1786">
        <v>116.978804688</v>
      </c>
      <c r="D1786">
        <f>0</f>
        <v>0</v>
      </c>
      <c r="E1786">
        <f>674072449/10^6</f>
        <v>674.07244900000001</v>
      </c>
      <c r="F1786">
        <f>0</f>
        <v>0</v>
      </c>
      <c r="G1786">
        <f>231469955/10^6</f>
        <v>231.469955</v>
      </c>
      <c r="H1786">
        <f>0</f>
        <v>0</v>
      </c>
      <c r="I1786">
        <f>-41977684/10^6</f>
        <v>-41.977684000000004</v>
      </c>
      <c r="J1786">
        <f>0</f>
        <v>0</v>
      </c>
    </row>
    <row r="1787" spans="1:10" x14ac:dyDescent="0.25">
      <c r="A1787" t="s">
        <v>1796</v>
      </c>
      <c r="B1787" t="s">
        <v>11</v>
      </c>
      <c r="C1787">
        <v>117.576210938</v>
      </c>
      <c r="D1787">
        <f>0</f>
        <v>0</v>
      </c>
      <c r="E1787">
        <f>670679688/10^6</f>
        <v>670.67968800000006</v>
      </c>
      <c r="F1787">
        <f>0</f>
        <v>0</v>
      </c>
      <c r="G1787">
        <f>231541901/10^6</f>
        <v>231.541901</v>
      </c>
      <c r="H1787">
        <f>0</f>
        <v>0</v>
      </c>
      <c r="I1787">
        <f>-41749767/10^6</f>
        <v>-41.749766999999999</v>
      </c>
      <c r="J1787">
        <f>0</f>
        <v>0</v>
      </c>
    </row>
    <row r="1788" spans="1:10" x14ac:dyDescent="0.25">
      <c r="A1788" t="s">
        <v>1797</v>
      </c>
      <c r="B1788" t="s">
        <v>11</v>
      </c>
      <c r="C1788">
        <v>118.260273438</v>
      </c>
      <c r="D1788">
        <f>0</f>
        <v>0</v>
      </c>
      <c r="E1788">
        <f>666790405/10^6</f>
        <v>666.79040499999996</v>
      </c>
      <c r="F1788">
        <f>0</f>
        <v>0</v>
      </c>
      <c r="G1788">
        <f>231617538/10^6</f>
        <v>231.617538</v>
      </c>
      <c r="H1788">
        <f>0</f>
        <v>0</v>
      </c>
      <c r="I1788">
        <f>-41420811/10^6</f>
        <v>-41.420811</v>
      </c>
      <c r="J1788">
        <f>0</f>
        <v>0</v>
      </c>
    </row>
    <row r="1789" spans="1:10" x14ac:dyDescent="0.25">
      <c r="A1789" t="s">
        <v>1798</v>
      </c>
      <c r="B1789" t="s">
        <v>11</v>
      </c>
      <c r="C1789">
        <v>119.027078125</v>
      </c>
      <c r="D1789">
        <f>0</f>
        <v>0</v>
      </c>
      <c r="E1789">
        <f>662466492/10^6</f>
        <v>662.46649200000002</v>
      </c>
      <c r="F1789">
        <f>0</f>
        <v>0</v>
      </c>
      <c r="G1789">
        <f>231704529/10^6</f>
        <v>231.70452900000001</v>
      </c>
      <c r="H1789">
        <f>0</f>
        <v>0</v>
      </c>
      <c r="I1789">
        <f>-40963493/10^6</f>
        <v>-40.963493</v>
      </c>
      <c r="J1789">
        <f>0</f>
        <v>0</v>
      </c>
    </row>
    <row r="1790" spans="1:10" x14ac:dyDescent="0.25">
      <c r="A1790" t="s">
        <v>1799</v>
      </c>
      <c r="B1790" t="s">
        <v>11</v>
      </c>
      <c r="C1790">
        <v>119.83715625000001</v>
      </c>
      <c r="D1790">
        <f>0</f>
        <v>0</v>
      </c>
      <c r="E1790">
        <f>6577854/10^4</f>
        <v>657.78539999999998</v>
      </c>
      <c r="F1790">
        <f>0</f>
        <v>0</v>
      </c>
      <c r="G1790">
        <f>231779572/10^6</f>
        <v>231.779572</v>
      </c>
      <c r="H1790">
        <f>0</f>
        <v>0</v>
      </c>
      <c r="I1790">
        <f>-40375664/10^6</f>
        <v>-40.375664</v>
      </c>
      <c r="J1790">
        <f>0</f>
        <v>0</v>
      </c>
    </row>
    <row r="1791" spans="1:10" x14ac:dyDescent="0.25">
      <c r="A1791" t="s">
        <v>1800</v>
      </c>
      <c r="B1791" t="s">
        <v>11</v>
      </c>
      <c r="C1791">
        <v>120.64550781300001</v>
      </c>
      <c r="D1791">
        <f>0</f>
        <v>0</v>
      </c>
      <c r="E1791">
        <f>653084106/10^6</f>
        <v>653.08410600000002</v>
      </c>
      <c r="F1791">
        <f>0</f>
        <v>0</v>
      </c>
      <c r="G1791">
        <f>231814941/10^6</f>
        <v>231.814941</v>
      </c>
      <c r="H1791">
        <f>0</f>
        <v>0</v>
      </c>
      <c r="I1791">
        <f>-3985363/10^5</f>
        <v>-39.853630000000003</v>
      </c>
      <c r="J1791">
        <f>0</f>
        <v>0</v>
      </c>
    </row>
    <row r="1792" spans="1:10" x14ac:dyDescent="0.25">
      <c r="A1792" t="s">
        <v>1801</v>
      </c>
      <c r="B1792" t="s">
        <v>11</v>
      </c>
      <c r="C1792">
        <v>121.3378125</v>
      </c>
      <c r="D1792">
        <f>0</f>
        <v>0</v>
      </c>
      <c r="E1792">
        <f>64910083/10^5</f>
        <v>649.10082999999997</v>
      </c>
      <c r="F1792">
        <f>0</f>
        <v>0</v>
      </c>
      <c r="G1792">
        <f>23182959/10^5</f>
        <v>231.82959</v>
      </c>
      <c r="H1792">
        <f>0</f>
        <v>0</v>
      </c>
      <c r="I1792">
        <f>-39390659/10^6</f>
        <v>-39.390658999999999</v>
      </c>
      <c r="J1792">
        <f>0</f>
        <v>0</v>
      </c>
    </row>
    <row r="1793" spans="1:10" x14ac:dyDescent="0.25">
      <c r="A1793" t="s">
        <v>1802</v>
      </c>
      <c r="B1793" t="s">
        <v>11</v>
      </c>
      <c r="C1793">
        <v>121.816546875</v>
      </c>
      <c r="D1793">
        <f>0</f>
        <v>0</v>
      </c>
      <c r="E1793">
        <f>64626709/10^5</f>
        <v>646.26709000000005</v>
      </c>
      <c r="F1793">
        <f>0</f>
        <v>0</v>
      </c>
      <c r="G1793">
        <f>23186351/10^5</f>
        <v>231.86350999999999</v>
      </c>
      <c r="H1793">
        <f>0</f>
        <v>0</v>
      </c>
      <c r="I1793">
        <f>-38877205/10^6</f>
        <v>-38.877204999999996</v>
      </c>
      <c r="J1793">
        <f>0</f>
        <v>0</v>
      </c>
    </row>
    <row r="1794" spans="1:10" x14ac:dyDescent="0.25">
      <c r="A1794" t="s">
        <v>1803</v>
      </c>
      <c r="B1794" t="s">
        <v>11</v>
      </c>
      <c r="C1794">
        <v>122.087875</v>
      </c>
      <c r="D1794">
        <f>0</f>
        <v>0</v>
      </c>
      <c r="E1794">
        <f>644799927/10^6</f>
        <v>644.79992700000003</v>
      </c>
      <c r="F1794">
        <f>0</f>
        <v>0</v>
      </c>
      <c r="G1794">
        <f>231912521/10^6</f>
        <v>231.912521</v>
      </c>
      <c r="H1794">
        <f>0</f>
        <v>0</v>
      </c>
      <c r="I1794">
        <f>-38662388/10^6</f>
        <v>-38.662388</v>
      </c>
      <c r="J1794">
        <f>0</f>
        <v>0</v>
      </c>
    </row>
    <row r="1795" spans="1:10" x14ac:dyDescent="0.25">
      <c r="A1795" t="s">
        <v>1804</v>
      </c>
      <c r="B1795" t="s">
        <v>11</v>
      </c>
      <c r="C1795">
        <v>122.226859375</v>
      </c>
      <c r="D1795">
        <f>0</f>
        <v>0</v>
      </c>
      <c r="E1795">
        <f>64433551/10^5</f>
        <v>644.33551</v>
      </c>
      <c r="F1795">
        <f>0</f>
        <v>0</v>
      </c>
      <c r="G1795">
        <f>231971985/10^6</f>
        <v>231.97198499999999</v>
      </c>
      <c r="H1795">
        <f>0</f>
        <v>0</v>
      </c>
      <c r="I1795">
        <f>-38922176/10^6</f>
        <v>-38.922176</v>
      </c>
      <c r="J1795">
        <f>0</f>
        <v>0</v>
      </c>
    </row>
    <row r="1796" spans="1:10" x14ac:dyDescent="0.25">
      <c r="A1796" t="s">
        <v>1805</v>
      </c>
      <c r="B1796" t="s">
        <v>11</v>
      </c>
      <c r="C1796">
        <v>122.34227343800001</v>
      </c>
      <c r="D1796">
        <f>0</f>
        <v>0</v>
      </c>
      <c r="E1796">
        <f>643770752/10^6</f>
        <v>643.77075200000002</v>
      </c>
      <c r="F1796">
        <f>0</f>
        <v>0</v>
      </c>
      <c r="G1796">
        <f>232033066/10^6</f>
        <v>232.03306599999999</v>
      </c>
      <c r="H1796">
        <f>0</f>
        <v>0</v>
      </c>
      <c r="I1796">
        <f>-38791531/10^6</f>
        <v>-38.791530999999999</v>
      </c>
      <c r="J1796">
        <f>0</f>
        <v>0</v>
      </c>
    </row>
    <row r="1797" spans="1:10" x14ac:dyDescent="0.25">
      <c r="A1797" t="s">
        <v>1806</v>
      </c>
      <c r="B1797" t="s">
        <v>11</v>
      </c>
      <c r="C1797">
        <v>122.399828125</v>
      </c>
      <c r="D1797">
        <f>0</f>
        <v>0</v>
      </c>
      <c r="E1797">
        <f>643443787/10^6</f>
        <v>643.44378700000004</v>
      </c>
      <c r="F1797">
        <f>0</f>
        <v>0</v>
      </c>
      <c r="G1797">
        <f>232071609/10^6</f>
        <v>232.071609</v>
      </c>
      <c r="H1797">
        <f>0</f>
        <v>0</v>
      </c>
      <c r="I1797">
        <f>-38542213/10^6</f>
        <v>-38.542212999999997</v>
      </c>
      <c r="J1797">
        <f>0</f>
        <v>0</v>
      </c>
    </row>
    <row r="1798" spans="1:10" x14ac:dyDescent="0.25">
      <c r="A1798" t="s">
        <v>1807</v>
      </c>
      <c r="B1798" t="s">
        <v>11</v>
      </c>
      <c r="C1798">
        <v>122.355203125</v>
      </c>
      <c r="D1798">
        <f>0</f>
        <v>0</v>
      </c>
      <c r="E1798">
        <f>643811707/10^6</f>
        <v>643.81170699999996</v>
      </c>
      <c r="F1798">
        <f>0</f>
        <v>0</v>
      </c>
      <c r="G1798">
        <f>232104675/10^6</f>
        <v>232.10467499999999</v>
      </c>
      <c r="H1798">
        <f>0</f>
        <v>0</v>
      </c>
      <c r="I1798">
        <f>-3861982/10^5</f>
        <v>-38.619819999999997</v>
      </c>
      <c r="J1798">
        <f>0</f>
        <v>0</v>
      </c>
    </row>
    <row r="1799" spans="1:10" x14ac:dyDescent="0.25">
      <c r="A1799" t="s">
        <v>1808</v>
      </c>
      <c r="B1799" t="s">
        <v>11</v>
      </c>
      <c r="C1799">
        <v>122.265085938</v>
      </c>
      <c r="D1799">
        <f>0</f>
        <v>0</v>
      </c>
      <c r="E1799">
        <f>644391846/10^6</f>
        <v>644.39184599999999</v>
      </c>
      <c r="F1799">
        <f>0</f>
        <v>0</v>
      </c>
      <c r="G1799">
        <f>232128372/10^6</f>
        <v>232.12837200000001</v>
      </c>
      <c r="H1799">
        <f>0</f>
        <v>0</v>
      </c>
      <c r="I1799">
        <f>-38524967/10^6</f>
        <v>-38.524966999999997</v>
      </c>
      <c r="J1799">
        <f>0</f>
        <v>0</v>
      </c>
    </row>
    <row r="1800" spans="1:10" x14ac:dyDescent="0.25">
      <c r="A1800" t="s">
        <v>1809</v>
      </c>
      <c r="B1800" t="s">
        <v>11</v>
      </c>
      <c r="C1800">
        <v>122.154945313</v>
      </c>
      <c r="D1800">
        <f>0</f>
        <v>0</v>
      </c>
      <c r="E1800">
        <f>644978088/10^6</f>
        <v>644.97808799999996</v>
      </c>
      <c r="F1800">
        <f>0</f>
        <v>0</v>
      </c>
      <c r="G1800">
        <f>232136185/10^6</f>
        <v>232.13618500000001</v>
      </c>
      <c r="H1800">
        <f>0</f>
        <v>0</v>
      </c>
      <c r="I1800">
        <f>-38399193/10^6</f>
        <v>-38.399192999999997</v>
      </c>
      <c r="J1800">
        <f>0</f>
        <v>0</v>
      </c>
    </row>
    <row r="1801" spans="1:10" x14ac:dyDescent="0.25">
      <c r="A1801" t="s">
        <v>1810</v>
      </c>
      <c r="B1801" t="s">
        <v>11</v>
      </c>
      <c r="C1801">
        <v>121.995414063</v>
      </c>
      <c r="D1801">
        <f>0</f>
        <v>0</v>
      </c>
      <c r="E1801">
        <f>645842773/10^6</f>
        <v>645.84277299999997</v>
      </c>
      <c r="F1801">
        <f>0</f>
        <v>0</v>
      </c>
      <c r="G1801">
        <f>232133072/10^6</f>
        <v>232.133072</v>
      </c>
      <c r="H1801">
        <f>0</f>
        <v>0</v>
      </c>
      <c r="I1801">
        <f>-38465313/10^6</f>
        <v>-38.465313000000002</v>
      </c>
      <c r="J1801">
        <f>0</f>
        <v>0</v>
      </c>
    </row>
    <row r="1802" spans="1:10" x14ac:dyDescent="0.25">
      <c r="A1802" t="s">
        <v>1811</v>
      </c>
      <c r="B1802" t="s">
        <v>11</v>
      </c>
      <c r="C1802">
        <v>121.77761718800001</v>
      </c>
      <c r="D1802">
        <f>0</f>
        <v>0</v>
      </c>
      <c r="E1802">
        <f>647227234/10^6</f>
        <v>647.22723399999995</v>
      </c>
      <c r="F1802">
        <f>0</f>
        <v>0</v>
      </c>
      <c r="G1802">
        <f>232119705/10^6</f>
        <v>232.11970500000001</v>
      </c>
      <c r="H1802">
        <f>0</f>
        <v>0</v>
      </c>
      <c r="I1802">
        <f>-38746296/10^6</f>
        <v>-38.746296000000001</v>
      </c>
      <c r="J1802">
        <f>0</f>
        <v>0</v>
      </c>
    </row>
    <row r="1803" spans="1:10" x14ac:dyDescent="0.25">
      <c r="A1803" t="s">
        <v>1812</v>
      </c>
      <c r="B1803" t="s">
        <v>11</v>
      </c>
      <c r="C1803">
        <v>121.553921875</v>
      </c>
      <c r="D1803">
        <f>0</f>
        <v>0</v>
      </c>
      <c r="E1803">
        <f>64840448/10^5</f>
        <v>648.40448000000004</v>
      </c>
      <c r="F1803">
        <f>0</f>
        <v>0</v>
      </c>
      <c r="G1803">
        <f>232097244/10^6</f>
        <v>232.09724399999999</v>
      </c>
      <c r="H1803">
        <f>0</f>
        <v>0</v>
      </c>
      <c r="I1803">
        <f>-3876955/10^5</f>
        <v>-38.769550000000002</v>
      </c>
      <c r="J1803">
        <f>0</f>
        <v>0</v>
      </c>
    </row>
    <row r="1804" spans="1:10" x14ac:dyDescent="0.25">
      <c r="A1804" t="s">
        <v>1813</v>
      </c>
      <c r="B1804" t="s">
        <v>11</v>
      </c>
      <c r="C1804">
        <v>121.317921875</v>
      </c>
      <c r="D1804">
        <f>0</f>
        <v>0</v>
      </c>
      <c r="E1804">
        <f>649568176/10^6</f>
        <v>649.56817599999999</v>
      </c>
      <c r="F1804">
        <f>0</f>
        <v>0</v>
      </c>
      <c r="G1804">
        <f>232062149/10^6</f>
        <v>232.06214900000001</v>
      </c>
      <c r="H1804">
        <f>0</f>
        <v>0</v>
      </c>
      <c r="I1804">
        <f>-38771049/10^6</f>
        <v>-38.771048999999998</v>
      </c>
      <c r="J1804">
        <f>0</f>
        <v>0</v>
      </c>
    </row>
    <row r="1805" spans="1:10" x14ac:dyDescent="0.25">
      <c r="A1805" t="s">
        <v>1814</v>
      </c>
      <c r="B1805" t="s">
        <v>11</v>
      </c>
      <c r="C1805">
        <v>121.04584375</v>
      </c>
      <c r="D1805">
        <f>0</f>
        <v>0</v>
      </c>
      <c r="E1805">
        <f>651232727/10^6</f>
        <v>651.23272699999995</v>
      </c>
      <c r="F1805">
        <f>0</f>
        <v>0</v>
      </c>
      <c r="G1805">
        <f>232019699/10^6</f>
        <v>232.019699</v>
      </c>
      <c r="H1805">
        <f>0</f>
        <v>0</v>
      </c>
      <c r="I1805">
        <f>-39152512/10^6</f>
        <v>-39.152512000000002</v>
      </c>
      <c r="J1805">
        <f>0</f>
        <v>0</v>
      </c>
    </row>
    <row r="1806" spans="1:10" x14ac:dyDescent="0.25">
      <c r="A1806" t="s">
        <v>1815</v>
      </c>
      <c r="B1806" t="s">
        <v>11</v>
      </c>
      <c r="C1806">
        <v>120.775148438</v>
      </c>
      <c r="D1806">
        <f>0</f>
        <v>0</v>
      </c>
      <c r="E1806">
        <f>652683472/10^6</f>
        <v>652.68347200000005</v>
      </c>
      <c r="F1806">
        <f>0</f>
        <v>0</v>
      </c>
      <c r="G1806">
        <f>23197258/10^5</f>
        <v>231.97257999999999</v>
      </c>
      <c r="H1806">
        <f>0</f>
        <v>0</v>
      </c>
      <c r="I1806">
        <f>-39284576/10^6</f>
        <v>-39.284576000000001</v>
      </c>
      <c r="J1806">
        <f>0</f>
        <v>0</v>
      </c>
    </row>
    <row r="1807" spans="1:10" x14ac:dyDescent="0.25">
      <c r="A1807" t="s">
        <v>1816</v>
      </c>
      <c r="B1807" t="s">
        <v>11</v>
      </c>
      <c r="C1807">
        <v>120.493859375</v>
      </c>
      <c r="D1807">
        <f>0</f>
        <v>0</v>
      </c>
      <c r="E1807">
        <f>65404248/10^5</f>
        <v>654.04247999999995</v>
      </c>
      <c r="F1807">
        <f>0</f>
        <v>0</v>
      </c>
      <c r="G1807">
        <f>231925476/10^6</f>
        <v>231.925476</v>
      </c>
      <c r="H1807">
        <f>0</f>
        <v>0</v>
      </c>
      <c r="I1807">
        <f>-3924839/10^5</f>
        <v>-39.248390000000001</v>
      </c>
      <c r="J1807">
        <f>0</f>
        <v>0</v>
      </c>
    </row>
    <row r="1808" spans="1:10" x14ac:dyDescent="0.25">
      <c r="A1808" t="s">
        <v>1817</v>
      </c>
      <c r="B1808" t="s">
        <v>11</v>
      </c>
      <c r="C1808">
        <v>120.18109375</v>
      </c>
      <c r="D1808">
        <f>0</f>
        <v>0</v>
      </c>
      <c r="E1808">
        <f>655751953/10^6</f>
        <v>655.75195299999996</v>
      </c>
      <c r="F1808">
        <f>0</f>
        <v>0</v>
      </c>
      <c r="G1808">
        <f>231873779/10^6</f>
        <v>231.87377900000001</v>
      </c>
      <c r="H1808">
        <f>0</f>
        <v>0</v>
      </c>
      <c r="I1808">
        <f>-39342457/10^6</f>
        <v>-39.342457000000003</v>
      </c>
      <c r="J1808">
        <f>0</f>
        <v>0</v>
      </c>
    </row>
    <row r="1809" spans="1:10" x14ac:dyDescent="0.25">
      <c r="A1809" t="s">
        <v>1818</v>
      </c>
      <c r="B1809" t="s">
        <v>11</v>
      </c>
      <c r="C1809">
        <v>119.849796875</v>
      </c>
      <c r="D1809">
        <f>0</f>
        <v>0</v>
      </c>
      <c r="E1809">
        <f>657517456/10^6</f>
        <v>657.51745600000004</v>
      </c>
      <c r="F1809">
        <f>0</f>
        <v>0</v>
      </c>
      <c r="G1809">
        <f>231822891/10^6</f>
        <v>231.822891</v>
      </c>
      <c r="H1809">
        <f>0</f>
        <v>0</v>
      </c>
      <c r="I1809">
        <f>-39490509/10^6</f>
        <v>-39.490509000000003</v>
      </c>
      <c r="J1809">
        <f>0</f>
        <v>0</v>
      </c>
    </row>
    <row r="1810" spans="1:10" x14ac:dyDescent="0.25">
      <c r="A1810" t="s">
        <v>1819</v>
      </c>
      <c r="B1810" t="s">
        <v>11</v>
      </c>
      <c r="C1810">
        <v>119.539710938</v>
      </c>
      <c r="D1810">
        <f>0</f>
        <v>0</v>
      </c>
      <c r="E1810">
        <f>659201599/10^6</f>
        <v>659.20159899999999</v>
      </c>
      <c r="F1810">
        <f>0</f>
        <v>0</v>
      </c>
      <c r="G1810">
        <f>231772507/10^6</f>
        <v>231.77250699999999</v>
      </c>
      <c r="H1810">
        <f>0</f>
        <v>0</v>
      </c>
      <c r="I1810">
        <f>-39857231/10^6</f>
        <v>-39.857230999999999</v>
      </c>
      <c r="J1810">
        <f>0</f>
        <v>0</v>
      </c>
    </row>
    <row r="1811" spans="1:10" x14ac:dyDescent="0.25">
      <c r="A1811" t="s">
        <v>1820</v>
      </c>
      <c r="B1811" t="s">
        <v>11</v>
      </c>
      <c r="C1811">
        <v>119.2434375</v>
      </c>
      <c r="D1811">
        <f>0</f>
        <v>0</v>
      </c>
      <c r="E1811">
        <f>660967346/10^6</f>
        <v>660.96734600000002</v>
      </c>
      <c r="F1811">
        <f>0</f>
        <v>0</v>
      </c>
      <c r="G1811">
        <f>231721069/10^6</f>
        <v>231.721069</v>
      </c>
      <c r="H1811">
        <f>0</f>
        <v>0</v>
      </c>
      <c r="I1811">
        <f>-40269695/10^6</f>
        <v>-40.269694999999999</v>
      </c>
      <c r="J1811">
        <f>0</f>
        <v>0</v>
      </c>
    </row>
    <row r="1812" spans="1:10" x14ac:dyDescent="0.25">
      <c r="A1812" t="s">
        <v>1821</v>
      </c>
      <c r="B1812" t="s">
        <v>11</v>
      </c>
      <c r="C1812">
        <v>118.9325625</v>
      </c>
      <c r="D1812">
        <f>0</f>
        <v>0</v>
      </c>
      <c r="E1812">
        <f>662510864/10^6</f>
        <v>662.51086399999997</v>
      </c>
      <c r="F1812">
        <f>0</f>
        <v>0</v>
      </c>
      <c r="G1812">
        <f>231667282/10^6</f>
        <v>231.667282</v>
      </c>
      <c r="H1812">
        <f>0</f>
        <v>0</v>
      </c>
      <c r="I1812">
        <f>-40163406/10^6</f>
        <v>-40.163406000000002</v>
      </c>
      <c r="J1812">
        <f>0</f>
        <v>0</v>
      </c>
    </row>
    <row r="1813" spans="1:10" x14ac:dyDescent="0.25">
      <c r="A1813" t="s">
        <v>1822</v>
      </c>
      <c r="B1813" t="s">
        <v>11</v>
      </c>
      <c r="C1813">
        <v>118.623203125</v>
      </c>
      <c r="D1813">
        <f>0</f>
        <v>0</v>
      </c>
      <c r="E1813">
        <f>664104919/10^6</f>
        <v>664.104919</v>
      </c>
      <c r="F1813">
        <f>0</f>
        <v>0</v>
      </c>
      <c r="G1813">
        <f>231605759/10^6</f>
        <v>231.60575900000001</v>
      </c>
      <c r="H1813">
        <f>0</f>
        <v>0</v>
      </c>
      <c r="I1813">
        <f>-40179008/10^6</f>
        <v>-40.179008000000003</v>
      </c>
      <c r="J1813">
        <f>0</f>
        <v>0</v>
      </c>
    </row>
    <row r="1814" spans="1:10" x14ac:dyDescent="0.25">
      <c r="A1814" t="s">
        <v>1823</v>
      </c>
      <c r="B1814" t="s">
        <v>11</v>
      </c>
      <c r="C1814">
        <v>118.33806250000001</v>
      </c>
      <c r="D1814">
        <f>0</f>
        <v>0</v>
      </c>
      <c r="E1814">
        <f>665803162/10^6</f>
        <v>665.80316200000004</v>
      </c>
      <c r="F1814">
        <f>0</f>
        <v>0</v>
      </c>
      <c r="G1814">
        <f>231553879/10^6</f>
        <v>231.55387899999999</v>
      </c>
      <c r="H1814">
        <f>0</f>
        <v>0</v>
      </c>
      <c r="I1814">
        <f>-40526188/10^6</f>
        <v>-40.526187999999998</v>
      </c>
      <c r="J1814">
        <f>0</f>
        <v>0</v>
      </c>
    </row>
    <row r="1815" spans="1:10" x14ac:dyDescent="0.25">
      <c r="A1815" t="s">
        <v>1824</v>
      </c>
      <c r="B1815" t="s">
        <v>11</v>
      </c>
      <c r="C1815">
        <v>118.07985156300001</v>
      </c>
      <c r="D1815">
        <f>0</f>
        <v>0</v>
      </c>
      <c r="E1815">
        <f>667214417/10^6</f>
        <v>667.21441700000003</v>
      </c>
      <c r="F1815">
        <f>0</f>
        <v>0</v>
      </c>
      <c r="G1815">
        <f>231517822/10^6</f>
        <v>231.517822</v>
      </c>
      <c r="H1815">
        <f>0</f>
        <v>0</v>
      </c>
      <c r="I1815">
        <f>-406688/10^4</f>
        <v>-40.668799999999997</v>
      </c>
      <c r="J1815">
        <f>0</f>
        <v>0</v>
      </c>
    </row>
    <row r="1816" spans="1:10" x14ac:dyDescent="0.25">
      <c r="A1816" t="s">
        <v>1825</v>
      </c>
      <c r="B1816" t="s">
        <v>11</v>
      </c>
      <c r="C1816">
        <v>117.837703125</v>
      </c>
      <c r="D1816">
        <f>0</f>
        <v>0</v>
      </c>
      <c r="E1816">
        <f>668545227/10^6</f>
        <v>668.54522699999995</v>
      </c>
      <c r="F1816">
        <f>0</f>
        <v>0</v>
      </c>
      <c r="G1816">
        <f>231483505/10^6</f>
        <v>231.48350500000001</v>
      </c>
      <c r="H1816">
        <f>0</f>
        <v>0</v>
      </c>
      <c r="I1816">
        <f>-4079073/10^5</f>
        <v>-40.790730000000003</v>
      </c>
      <c r="J1816">
        <f>0</f>
        <v>0</v>
      </c>
    </row>
    <row r="1817" spans="1:10" x14ac:dyDescent="0.25">
      <c r="A1817" t="s">
        <v>1826</v>
      </c>
      <c r="B1817" t="s">
        <v>11</v>
      </c>
      <c r="C1817">
        <v>117.622226563</v>
      </c>
      <c r="D1817">
        <f>0</f>
        <v>0</v>
      </c>
      <c r="E1817">
        <f>669746826/10^6</f>
        <v>669.74682600000006</v>
      </c>
      <c r="F1817">
        <f>0</f>
        <v>0</v>
      </c>
      <c r="G1817">
        <f>231441422/10^6</f>
        <v>231.44142199999999</v>
      </c>
      <c r="H1817">
        <f>0</f>
        <v>0</v>
      </c>
      <c r="I1817">
        <f>-40900139/10^6</f>
        <v>-40.900139000000003</v>
      </c>
      <c r="J1817">
        <f>0</f>
        <v>0</v>
      </c>
    </row>
    <row r="1818" spans="1:10" x14ac:dyDescent="0.25">
      <c r="A1818" t="s">
        <v>1827</v>
      </c>
      <c r="B1818" t="s">
        <v>11</v>
      </c>
      <c r="C1818">
        <v>117.411585938</v>
      </c>
      <c r="D1818">
        <f>0</f>
        <v>0</v>
      </c>
      <c r="E1818">
        <f>671019043/10^6</f>
        <v>671.01904300000001</v>
      </c>
      <c r="F1818">
        <f>0</f>
        <v>0</v>
      </c>
      <c r="G1818">
        <f>23141481/10^5</f>
        <v>231.41480999999999</v>
      </c>
      <c r="H1818">
        <f>0</f>
        <v>0</v>
      </c>
      <c r="I1818">
        <f>-4113372/10^5</f>
        <v>-41.133719999999997</v>
      </c>
      <c r="J1818">
        <f>0</f>
        <v>0</v>
      </c>
    </row>
    <row r="1819" spans="1:10" x14ac:dyDescent="0.25">
      <c r="A1819" t="s">
        <v>1828</v>
      </c>
      <c r="B1819" t="s">
        <v>11</v>
      </c>
      <c r="C1819">
        <v>117.183617188</v>
      </c>
      <c r="D1819">
        <f>0</f>
        <v>0</v>
      </c>
      <c r="E1819">
        <f>672480652/10^6</f>
        <v>672.48065199999996</v>
      </c>
      <c r="F1819">
        <f>0</f>
        <v>0</v>
      </c>
      <c r="G1819">
        <f>231405746/10^6</f>
        <v>231.40574599999999</v>
      </c>
      <c r="H1819">
        <f>0</f>
        <v>0</v>
      </c>
      <c r="I1819">
        <f>-41452259/10^6</f>
        <v>-41.452258999999998</v>
      </c>
      <c r="J1819">
        <f>0</f>
        <v>0</v>
      </c>
    </row>
    <row r="1820" spans="1:10" x14ac:dyDescent="0.25">
      <c r="A1820" t="s">
        <v>1829</v>
      </c>
      <c r="B1820" t="s">
        <v>11</v>
      </c>
      <c r="C1820">
        <v>116.956429688</v>
      </c>
      <c r="D1820">
        <f>0</f>
        <v>0</v>
      </c>
      <c r="E1820">
        <f>673675476/10^6</f>
        <v>673.675476</v>
      </c>
      <c r="F1820">
        <f>0</f>
        <v>0</v>
      </c>
      <c r="G1820">
        <f>231388687/10^6</f>
        <v>231.388687</v>
      </c>
      <c r="H1820">
        <f>0</f>
        <v>0</v>
      </c>
      <c r="I1820">
        <f>-41441528/10^6</f>
        <v>-41.441527999999998</v>
      </c>
      <c r="J1820">
        <f>0</f>
        <v>0</v>
      </c>
    </row>
    <row r="1821" spans="1:10" x14ac:dyDescent="0.25">
      <c r="A1821" t="s">
        <v>1830</v>
      </c>
      <c r="B1821" t="s">
        <v>11</v>
      </c>
      <c r="C1821">
        <v>116.72565625</v>
      </c>
      <c r="D1821">
        <f>0</f>
        <v>0</v>
      </c>
      <c r="E1821">
        <f>674980469/10^6</f>
        <v>674.98046899999997</v>
      </c>
      <c r="F1821">
        <f>0</f>
        <v>0</v>
      </c>
      <c r="G1821">
        <f>231358765/10^6</f>
        <v>231.35876500000001</v>
      </c>
      <c r="H1821">
        <f>0</f>
        <v>0</v>
      </c>
      <c r="I1821">
        <f>-41510883/10^6</f>
        <v>-41.510883</v>
      </c>
      <c r="J1821">
        <f>0</f>
        <v>0</v>
      </c>
    </row>
    <row r="1822" spans="1:10" x14ac:dyDescent="0.25">
      <c r="A1822" t="s">
        <v>1831</v>
      </c>
      <c r="B1822" t="s">
        <v>11</v>
      </c>
      <c r="C1822">
        <v>116.474765625</v>
      </c>
      <c r="D1822">
        <f>0</f>
        <v>0</v>
      </c>
      <c r="E1822">
        <f>67671698/10^5</f>
        <v>676.71698000000004</v>
      </c>
      <c r="F1822">
        <f>0</f>
        <v>0</v>
      </c>
      <c r="G1822">
        <f>231328384/10^6</f>
        <v>231.328384</v>
      </c>
      <c r="H1822">
        <f>0</f>
        <v>0</v>
      </c>
      <c r="I1822">
        <f>-42039417/10^6</f>
        <v>-42.039417</v>
      </c>
      <c r="J1822">
        <f>0</f>
        <v>0</v>
      </c>
    </row>
    <row r="1823" spans="1:10" x14ac:dyDescent="0.25">
      <c r="A1823" t="s">
        <v>1832</v>
      </c>
      <c r="B1823" t="s">
        <v>11</v>
      </c>
      <c r="C1823">
        <v>116.245609375</v>
      </c>
      <c r="D1823">
        <f>0</f>
        <v>0</v>
      </c>
      <c r="E1823">
        <f>67805658/10^5</f>
        <v>678.05658000000005</v>
      </c>
      <c r="F1823">
        <f>0</f>
        <v>0</v>
      </c>
      <c r="G1823">
        <f>231299057/10^6</f>
        <v>231.299057</v>
      </c>
      <c r="H1823">
        <f>0</f>
        <v>0</v>
      </c>
      <c r="I1823">
        <f>-42225334/10^6</f>
        <v>-42.225333999999997</v>
      </c>
      <c r="J1823">
        <f>0</f>
        <v>0</v>
      </c>
    </row>
    <row r="1824" spans="1:10" x14ac:dyDescent="0.25">
      <c r="A1824" t="s">
        <v>1833</v>
      </c>
      <c r="B1824" t="s">
        <v>11</v>
      </c>
      <c r="C1824">
        <v>116.05549999999999</v>
      </c>
      <c r="D1824">
        <f>0</f>
        <v>0</v>
      </c>
      <c r="E1824">
        <f>679055359/10^6</f>
        <v>679.05535899999995</v>
      </c>
      <c r="F1824">
        <f>0</f>
        <v>0</v>
      </c>
      <c r="G1824">
        <f>231259888/10^6</f>
        <v>231.25988799999999</v>
      </c>
      <c r="H1824">
        <f>0</f>
        <v>0</v>
      </c>
      <c r="I1824">
        <f>-42156952/10^6</f>
        <v>-42.156951999999997</v>
      </c>
      <c r="J1824">
        <f>0</f>
        <v>0</v>
      </c>
    </row>
    <row r="1825" spans="1:10" x14ac:dyDescent="0.25">
      <c r="A1825" t="s">
        <v>1834</v>
      </c>
      <c r="B1825" t="s">
        <v>11</v>
      </c>
      <c r="C1825">
        <v>115.870226563</v>
      </c>
      <c r="D1825">
        <f>0</f>
        <v>0</v>
      </c>
      <c r="E1825">
        <f>680193115/10^6</f>
        <v>680.19311500000003</v>
      </c>
      <c r="F1825">
        <f>0</f>
        <v>0</v>
      </c>
      <c r="G1825">
        <f>231231125/10^6</f>
        <v>231.23112499999999</v>
      </c>
      <c r="H1825">
        <f>0</f>
        <v>0</v>
      </c>
      <c r="I1825">
        <f>-42337296/10^6</f>
        <v>-42.337296000000002</v>
      </c>
      <c r="J1825">
        <f>0</f>
        <v>0</v>
      </c>
    </row>
    <row r="1826" spans="1:10" x14ac:dyDescent="0.25">
      <c r="A1826" t="s">
        <v>1835</v>
      </c>
      <c r="B1826" t="s">
        <v>11</v>
      </c>
      <c r="C1826">
        <v>115.74235937500001</v>
      </c>
      <c r="D1826">
        <f>0</f>
        <v>0</v>
      </c>
      <c r="E1826">
        <f>68086261/10^5</f>
        <v>680.86261000000002</v>
      </c>
      <c r="F1826">
        <f>0</f>
        <v>0</v>
      </c>
      <c r="G1826">
        <f>231195221/10^6</f>
        <v>231.195221</v>
      </c>
      <c r="H1826">
        <f>0</f>
        <v>0</v>
      </c>
      <c r="I1826">
        <f>-42412445/10^6</f>
        <v>-42.412444999999998</v>
      </c>
      <c r="J1826">
        <f>0</f>
        <v>0</v>
      </c>
    </row>
    <row r="1827" spans="1:10" x14ac:dyDescent="0.25">
      <c r="A1827" t="s">
        <v>1836</v>
      </c>
      <c r="B1827" t="s">
        <v>11</v>
      </c>
      <c r="C1827">
        <v>115.667</v>
      </c>
      <c r="D1827">
        <f>0</f>
        <v>0</v>
      </c>
      <c r="E1827">
        <f>681303955/10^6</f>
        <v>681.30395499999997</v>
      </c>
      <c r="F1827">
        <f>0</f>
        <v>0</v>
      </c>
      <c r="G1827">
        <f>231173172/10^6</f>
        <v>231.17317199999999</v>
      </c>
      <c r="H1827">
        <f>0</f>
        <v>0</v>
      </c>
      <c r="I1827">
        <f>-42537876/10^6</f>
        <v>-42.537875999999997</v>
      </c>
      <c r="J1827">
        <f>0</f>
        <v>0</v>
      </c>
    </row>
    <row r="1828" spans="1:10" x14ac:dyDescent="0.25">
      <c r="A1828" t="s">
        <v>1837</v>
      </c>
      <c r="B1828" t="s">
        <v>11</v>
      </c>
      <c r="C1828">
        <v>115.5535625</v>
      </c>
      <c r="D1828">
        <f>0</f>
        <v>0</v>
      </c>
      <c r="E1828">
        <f>682008057/10^6</f>
        <v>682.00805700000001</v>
      </c>
      <c r="F1828">
        <f>0</f>
        <v>0</v>
      </c>
      <c r="G1828">
        <f>231152573/10^6</f>
        <v>231.15257299999999</v>
      </c>
      <c r="H1828">
        <f>0</f>
        <v>0</v>
      </c>
      <c r="I1828">
        <f>-42716423/10^6</f>
        <v>-42.716422999999999</v>
      </c>
      <c r="J1828">
        <f>0</f>
        <v>0</v>
      </c>
    </row>
    <row r="1829" spans="1:10" x14ac:dyDescent="0.25">
      <c r="A1829" t="s">
        <v>1838</v>
      </c>
      <c r="B1829" t="s">
        <v>11</v>
      </c>
      <c r="C1829">
        <v>115.415539063</v>
      </c>
      <c r="D1829">
        <f>0</f>
        <v>0</v>
      </c>
      <c r="E1829">
        <f>682636414/10^6</f>
        <v>682.63641399999995</v>
      </c>
      <c r="F1829">
        <f>0</f>
        <v>0</v>
      </c>
      <c r="G1829">
        <f>231116058/10^6</f>
        <v>231.11605800000001</v>
      </c>
      <c r="H1829">
        <f>0</f>
        <v>0</v>
      </c>
      <c r="I1829">
        <f>-42640976/10^6</f>
        <v>-42.640976000000002</v>
      </c>
      <c r="J1829">
        <f>0</f>
        <v>0</v>
      </c>
    </row>
    <row r="1830" spans="1:10" x14ac:dyDescent="0.25">
      <c r="A1830" t="s">
        <v>1839</v>
      </c>
      <c r="B1830" t="s">
        <v>11</v>
      </c>
      <c r="C1830">
        <v>115.29455468800001</v>
      </c>
      <c r="D1830">
        <f>0</f>
        <v>0</v>
      </c>
      <c r="E1830">
        <f>683384583/10^6</f>
        <v>683.38458300000002</v>
      </c>
      <c r="F1830">
        <f>0</f>
        <v>0</v>
      </c>
      <c r="G1830">
        <f>231104782/10^6</f>
        <v>231.104782</v>
      </c>
      <c r="H1830">
        <f>0</f>
        <v>0</v>
      </c>
      <c r="I1830">
        <f>-4277729/10^5</f>
        <v>-42.777290000000001</v>
      </c>
      <c r="J1830">
        <f>0</f>
        <v>0</v>
      </c>
    </row>
    <row r="1831" spans="1:10" x14ac:dyDescent="0.25">
      <c r="A1831" t="s">
        <v>1840</v>
      </c>
      <c r="B1831" t="s">
        <v>11</v>
      </c>
      <c r="C1831">
        <v>115.23909374999999</v>
      </c>
      <c r="D1831">
        <f>0</f>
        <v>0</v>
      </c>
      <c r="E1831">
        <f>683927979/10^6</f>
        <v>683.92797900000005</v>
      </c>
      <c r="F1831">
        <f>0</f>
        <v>0</v>
      </c>
      <c r="G1831">
        <f>231113632/10^6</f>
        <v>231.113632</v>
      </c>
      <c r="H1831">
        <f>0</f>
        <v>0</v>
      </c>
      <c r="I1831">
        <f>-43042305/10^6</f>
        <v>-43.042304999999999</v>
      </c>
      <c r="J1831">
        <f>0</f>
        <v>0</v>
      </c>
    </row>
    <row r="1832" spans="1:10" x14ac:dyDescent="0.25">
      <c r="A1832" t="s">
        <v>1841</v>
      </c>
      <c r="B1832" t="s">
        <v>11</v>
      </c>
      <c r="C1832">
        <v>115.21718749999999</v>
      </c>
      <c r="D1832">
        <f>0</f>
        <v>0</v>
      </c>
      <c r="E1832">
        <f>683953064/10^6</f>
        <v>683.95306400000004</v>
      </c>
      <c r="F1832">
        <f>0</f>
        <v>0</v>
      </c>
      <c r="G1832">
        <f>231103897/10^6</f>
        <v>231.10389699999999</v>
      </c>
      <c r="H1832">
        <f>0</f>
        <v>0</v>
      </c>
      <c r="I1832">
        <f>-42894062/10^6</f>
        <v>-42.894061999999998</v>
      </c>
      <c r="J1832">
        <f>0</f>
        <v>0</v>
      </c>
    </row>
    <row r="1833" spans="1:10" x14ac:dyDescent="0.25">
      <c r="A1833" t="s">
        <v>1842</v>
      </c>
      <c r="B1833" t="s">
        <v>11</v>
      </c>
      <c r="C1833">
        <v>115.15893749999999</v>
      </c>
      <c r="D1833">
        <f>0</f>
        <v>0</v>
      </c>
      <c r="E1833">
        <f>683956543/10^6</f>
        <v>683.95654300000001</v>
      </c>
      <c r="F1833">
        <f>0</f>
        <v>0</v>
      </c>
      <c r="G1833">
        <f>231036545/10^6</f>
        <v>231.03654499999999</v>
      </c>
      <c r="H1833">
        <f>0</f>
        <v>0</v>
      </c>
      <c r="I1833">
        <f>-42652905/10^6</f>
        <v>-42.652904999999997</v>
      </c>
      <c r="J1833">
        <f>0</f>
        <v>0</v>
      </c>
    </row>
    <row r="1834" spans="1:10" x14ac:dyDescent="0.25">
      <c r="A1834" t="s">
        <v>1843</v>
      </c>
      <c r="B1834" t="s">
        <v>11</v>
      </c>
      <c r="C1834">
        <v>115.114835938</v>
      </c>
      <c r="D1834">
        <f>0</f>
        <v>0</v>
      </c>
      <c r="E1834">
        <f>684187988/10^6</f>
        <v>684.18798800000002</v>
      </c>
      <c r="F1834">
        <f>0</f>
        <v>0</v>
      </c>
      <c r="G1834">
        <f>231000275/10^6</f>
        <v>231.00027499999999</v>
      </c>
      <c r="H1834">
        <f>0</f>
        <v>0</v>
      </c>
      <c r="I1834">
        <f>-42797302/10^6</f>
        <v>-42.797302000000002</v>
      </c>
      <c r="J1834">
        <f>0</f>
        <v>0</v>
      </c>
    </row>
    <row r="1835" spans="1:10" x14ac:dyDescent="0.25">
      <c r="A1835" t="s">
        <v>1844</v>
      </c>
      <c r="B1835" t="s">
        <v>11</v>
      </c>
      <c r="C1835">
        <v>115.12172656300001</v>
      </c>
      <c r="D1835">
        <f>0</f>
        <v>0</v>
      </c>
      <c r="E1835">
        <f>684425293/10^6</f>
        <v>684.42529300000001</v>
      </c>
      <c r="F1835">
        <f>0</f>
        <v>0</v>
      </c>
      <c r="G1835">
        <f>231016571/10^6</f>
        <v>231.016571</v>
      </c>
      <c r="H1835">
        <f>0</f>
        <v>0</v>
      </c>
      <c r="I1835">
        <f>-43178173/10^6</f>
        <v>-43.178173000000001</v>
      </c>
      <c r="J1835">
        <f>0</f>
        <v>0</v>
      </c>
    </row>
    <row r="1836" spans="1:10" x14ac:dyDescent="0.25">
      <c r="A1836" t="s">
        <v>1845</v>
      </c>
      <c r="B1836" t="s">
        <v>11</v>
      </c>
      <c r="C1836">
        <v>115.171859375</v>
      </c>
      <c r="D1836">
        <f>0</f>
        <v>0</v>
      </c>
      <c r="E1836">
        <f>684308228/10^6</f>
        <v>684.30822799999999</v>
      </c>
      <c r="F1836">
        <f>0</f>
        <v>0</v>
      </c>
      <c r="G1836">
        <f>231075974/10^6</f>
        <v>231.075974</v>
      </c>
      <c r="H1836">
        <f>0</f>
        <v>0</v>
      </c>
      <c r="I1836">
        <f>-43227074/10^6</f>
        <v>-43.227074000000002</v>
      </c>
      <c r="J1836">
        <f>0</f>
        <v>0</v>
      </c>
    </row>
    <row r="1837" spans="1:10" x14ac:dyDescent="0.25">
      <c r="A1837" t="s">
        <v>1846</v>
      </c>
      <c r="B1837" t="s">
        <v>11</v>
      </c>
      <c r="C1837">
        <v>0</v>
      </c>
      <c r="D1837">
        <f>2</f>
        <v>2</v>
      </c>
      <c r="F1837">
        <f>2</f>
        <v>2</v>
      </c>
      <c r="H1837">
        <f>2</f>
        <v>2</v>
      </c>
      <c r="J1837">
        <f>2</f>
        <v>2</v>
      </c>
    </row>
    <row r="1838" spans="1:10" x14ac:dyDescent="0.25">
      <c r="A1838" t="s">
        <v>1847</v>
      </c>
      <c r="B1838" t="s">
        <v>11</v>
      </c>
      <c r="C1838">
        <v>115.40158593800001</v>
      </c>
      <c r="D1838">
        <f>0</f>
        <v>0</v>
      </c>
      <c r="E1838">
        <f>682757202/10^6</f>
        <v>682.75720200000001</v>
      </c>
      <c r="F1838">
        <f>0</f>
        <v>0</v>
      </c>
      <c r="G1838">
        <f>23108371/10^5</f>
        <v>231.08371</v>
      </c>
      <c r="H1838">
        <f>0</f>
        <v>0</v>
      </c>
      <c r="I1838">
        <f>-42893147/10^6</f>
        <v>-42.893146999999999</v>
      </c>
      <c r="J1838">
        <f>0</f>
        <v>0</v>
      </c>
    </row>
    <row r="1839" spans="1:10" x14ac:dyDescent="0.25">
      <c r="A1839" t="s">
        <v>1848</v>
      </c>
      <c r="B1839" t="s">
        <v>11</v>
      </c>
      <c r="C1839">
        <v>115.57678906300001</v>
      </c>
      <c r="D1839">
        <f>0</f>
        <v>0</v>
      </c>
      <c r="E1839">
        <f>681837341/10^6</f>
        <v>681.83734100000004</v>
      </c>
      <c r="F1839">
        <f>0</f>
        <v>0</v>
      </c>
      <c r="G1839">
        <f>231134323/10^6</f>
        <v>231.13432299999999</v>
      </c>
      <c r="H1839">
        <f>0</f>
        <v>0</v>
      </c>
      <c r="I1839">
        <f>-42829021/10^6</f>
        <v>-42.829020999999997</v>
      </c>
      <c r="J1839">
        <f>0</f>
        <v>0</v>
      </c>
    </row>
    <row r="1840" spans="1:10" x14ac:dyDescent="0.25">
      <c r="A1840" t="s">
        <v>1849</v>
      </c>
      <c r="B1840" t="s">
        <v>11</v>
      </c>
      <c r="C1840">
        <v>0</v>
      </c>
      <c r="D1840">
        <f>2</f>
        <v>2</v>
      </c>
      <c r="F1840">
        <f>2</f>
        <v>2</v>
      </c>
      <c r="H1840">
        <f>2</f>
        <v>2</v>
      </c>
      <c r="J1840">
        <f>2</f>
        <v>2</v>
      </c>
    </row>
    <row r="1841" spans="1:10" x14ac:dyDescent="0.25">
      <c r="A1841" t="s">
        <v>1850</v>
      </c>
      <c r="B1841" t="s">
        <v>11</v>
      </c>
      <c r="C1841">
        <v>116.00221875</v>
      </c>
      <c r="D1841">
        <f>0</f>
        <v>0</v>
      </c>
      <c r="E1841">
        <f>679654297/10^6</f>
        <v>679.65429700000004</v>
      </c>
      <c r="F1841">
        <f>0</f>
        <v>0</v>
      </c>
      <c r="G1841">
        <f>231308197/10^6</f>
        <v>231.30819700000001</v>
      </c>
      <c r="H1841">
        <f>0</f>
        <v>0</v>
      </c>
      <c r="I1841">
        <f>-42522793/10^6</f>
        <v>-42.522793</v>
      </c>
      <c r="J1841">
        <f>0</f>
        <v>0</v>
      </c>
    </row>
    <row r="1842" spans="1:10" x14ac:dyDescent="0.25">
      <c r="A1842" t="s">
        <v>1851</v>
      </c>
      <c r="B1842" t="s">
        <v>11</v>
      </c>
      <c r="C1842">
        <v>116.30064843800001</v>
      </c>
      <c r="D1842">
        <f>0</f>
        <v>0</v>
      </c>
      <c r="E1842">
        <f>677971069/10^6</f>
        <v>677.97106900000006</v>
      </c>
      <c r="F1842">
        <f>0</f>
        <v>0</v>
      </c>
      <c r="G1842">
        <f>231366928/10^6</f>
        <v>231.366928</v>
      </c>
      <c r="H1842">
        <f>0</f>
        <v>0</v>
      </c>
      <c r="I1842">
        <f>-42326317/10^6</f>
        <v>-42.326317000000003</v>
      </c>
      <c r="J1842">
        <f>0</f>
        <v>0</v>
      </c>
    </row>
    <row r="1843" spans="1:10" x14ac:dyDescent="0.25">
      <c r="A1843" t="s">
        <v>1852</v>
      </c>
      <c r="B1843" t="s">
        <v>11</v>
      </c>
      <c r="C1843">
        <v>116.66421093800001</v>
      </c>
      <c r="D1843">
        <f>0</f>
        <v>0</v>
      </c>
      <c r="E1843">
        <f>675981689/10^6</f>
        <v>675.98168899999996</v>
      </c>
      <c r="F1843">
        <f>0</f>
        <v>0</v>
      </c>
      <c r="G1843">
        <f>231420181/10^6</f>
        <v>231.42018100000001</v>
      </c>
      <c r="H1843">
        <f>0</f>
        <v>0</v>
      </c>
      <c r="I1843">
        <f>-42266247/10^6</f>
        <v>-42.266247</v>
      </c>
      <c r="J1843">
        <f>0</f>
        <v>0</v>
      </c>
    </row>
    <row r="1844" spans="1:10" x14ac:dyDescent="0.25">
      <c r="A1844" t="s">
        <v>1853</v>
      </c>
      <c r="B1844" t="s">
        <v>11</v>
      </c>
      <c r="C1844">
        <v>117.06840625</v>
      </c>
      <c r="D1844">
        <f>0</f>
        <v>0</v>
      </c>
      <c r="E1844">
        <f>673633728/10^6</f>
        <v>673.63372800000002</v>
      </c>
      <c r="F1844">
        <f>0</f>
        <v>0</v>
      </c>
      <c r="G1844">
        <f>231475128/10^6</f>
        <v>231.47512800000001</v>
      </c>
      <c r="H1844">
        <f>0</f>
        <v>0</v>
      </c>
      <c r="I1844">
        <f>-42100609/10^6</f>
        <v>-42.100608999999999</v>
      </c>
      <c r="J1844">
        <f>0</f>
        <v>0</v>
      </c>
    </row>
    <row r="1845" spans="1:10" x14ac:dyDescent="0.25">
      <c r="A1845" t="s">
        <v>1854</v>
      </c>
      <c r="B1845" t="s">
        <v>11</v>
      </c>
      <c r="C1845">
        <v>117.527382813</v>
      </c>
      <c r="D1845">
        <f>0</f>
        <v>0</v>
      </c>
      <c r="E1845">
        <f>670812256/10^6</f>
        <v>670.81225600000005</v>
      </c>
      <c r="F1845">
        <f>0</f>
        <v>0</v>
      </c>
      <c r="G1845">
        <f>231537735/10^6</f>
        <v>231.537735</v>
      </c>
      <c r="H1845">
        <f>0</f>
        <v>0</v>
      </c>
      <c r="I1845">
        <f>-41593658/10^6</f>
        <v>-41.593657999999998</v>
      </c>
      <c r="J1845">
        <f>0</f>
        <v>0</v>
      </c>
    </row>
    <row r="1846" spans="1:10" x14ac:dyDescent="0.25">
      <c r="A1846" t="s">
        <v>1855</v>
      </c>
      <c r="B1846" t="s">
        <v>11</v>
      </c>
      <c r="C1846">
        <v>118.02953125000001</v>
      </c>
      <c r="D1846">
        <f>0</f>
        <v>0</v>
      </c>
      <c r="E1846">
        <f>668061462/10^6</f>
        <v>668.06146200000001</v>
      </c>
      <c r="F1846">
        <f>0</f>
        <v>0</v>
      </c>
      <c r="G1846">
        <f>231596985/10^6</f>
        <v>231.59698499999999</v>
      </c>
      <c r="H1846">
        <f>0</f>
        <v>0</v>
      </c>
      <c r="I1846">
        <f>-41319756/10^6</f>
        <v>-41.319755999999998</v>
      </c>
      <c r="J1846">
        <f>0</f>
        <v>0</v>
      </c>
    </row>
    <row r="1847" spans="1:10" x14ac:dyDescent="0.25">
      <c r="A1847" t="s">
        <v>1856</v>
      </c>
      <c r="B1847" t="s">
        <v>11</v>
      </c>
      <c r="C1847">
        <v>118.57425000000001</v>
      </c>
      <c r="D1847">
        <f>0</f>
        <v>0</v>
      </c>
      <c r="E1847">
        <f>665108337/10^6</f>
        <v>665.10833700000001</v>
      </c>
      <c r="F1847">
        <f>0</f>
        <v>0</v>
      </c>
      <c r="G1847">
        <f>2316651/10^4</f>
        <v>231.6651</v>
      </c>
      <c r="H1847">
        <f>0</f>
        <v>0</v>
      </c>
      <c r="I1847">
        <f>-41213665/10^6</f>
        <v>-41.213664999999999</v>
      </c>
      <c r="J1847">
        <f>0</f>
        <v>0</v>
      </c>
    </row>
    <row r="1848" spans="1:10" x14ac:dyDescent="0.25">
      <c r="A1848" t="s">
        <v>1857</v>
      </c>
      <c r="B1848" t="s">
        <v>11</v>
      </c>
      <c r="C1848">
        <v>119.176445313</v>
      </c>
      <c r="D1848">
        <f>0</f>
        <v>0</v>
      </c>
      <c r="E1848">
        <f>661487976/10^6</f>
        <v>661.487976</v>
      </c>
      <c r="F1848">
        <f>0</f>
        <v>0</v>
      </c>
      <c r="G1848">
        <f>231743774/10^6</f>
        <v>231.743774</v>
      </c>
      <c r="H1848">
        <f>0</f>
        <v>0</v>
      </c>
      <c r="I1848">
        <f>-4065469/10^5</f>
        <v>-40.654690000000002</v>
      </c>
      <c r="J1848">
        <f>0</f>
        <v>0</v>
      </c>
    </row>
    <row r="1849" spans="1:10" x14ac:dyDescent="0.25">
      <c r="A1849" t="s">
        <v>1858</v>
      </c>
      <c r="B1849" t="s">
        <v>11</v>
      </c>
      <c r="C1849">
        <v>119.802570313</v>
      </c>
      <c r="D1849">
        <f>0</f>
        <v>0</v>
      </c>
      <c r="E1849">
        <f>657872498/10^6</f>
        <v>657.87249799999995</v>
      </c>
      <c r="F1849">
        <f>0</f>
        <v>0</v>
      </c>
      <c r="G1849">
        <f>231794937/10^6</f>
        <v>231.794937</v>
      </c>
      <c r="H1849">
        <f>0</f>
        <v>0</v>
      </c>
      <c r="I1849">
        <f>-40042419/10^6</f>
        <v>-40.042419000000002</v>
      </c>
      <c r="J1849">
        <f>0</f>
        <v>0</v>
      </c>
    </row>
    <row r="1850" spans="1:10" x14ac:dyDescent="0.25">
      <c r="A1850" t="s">
        <v>1859</v>
      </c>
      <c r="B1850" t="s">
        <v>11</v>
      </c>
      <c r="C1850">
        <v>120.423140625</v>
      </c>
      <c r="D1850">
        <f>0</f>
        <v>0</v>
      </c>
      <c r="E1850">
        <f>654406372/10^6</f>
        <v>654.40637200000003</v>
      </c>
      <c r="F1850">
        <f>0</f>
        <v>0</v>
      </c>
      <c r="G1850">
        <f>231834305/10^6</f>
        <v>231.834305</v>
      </c>
      <c r="H1850">
        <f>0</f>
        <v>0</v>
      </c>
      <c r="I1850">
        <f>-39727718/10^6</f>
        <v>-39.727718000000003</v>
      </c>
      <c r="J1850">
        <f>0</f>
        <v>0</v>
      </c>
    </row>
    <row r="1851" spans="1:10" x14ac:dyDescent="0.25">
      <c r="A1851" t="s">
        <v>1860</v>
      </c>
      <c r="B1851" t="s">
        <v>11</v>
      </c>
      <c r="C1851">
        <v>120.99507812500001</v>
      </c>
      <c r="D1851">
        <f>0</f>
        <v>0</v>
      </c>
      <c r="E1851">
        <f>65115387/10^5</f>
        <v>651.15386999999998</v>
      </c>
      <c r="F1851">
        <f>0</f>
        <v>0</v>
      </c>
      <c r="G1851">
        <f>231889435/10^6</f>
        <v>231.88943499999999</v>
      </c>
      <c r="H1851">
        <f>0</f>
        <v>0</v>
      </c>
      <c r="I1851">
        <f>-39477459/10^6</f>
        <v>-39.477459000000003</v>
      </c>
      <c r="J1851">
        <f>0</f>
        <v>0</v>
      </c>
    </row>
    <row r="1852" spans="1:10" x14ac:dyDescent="0.25">
      <c r="A1852" t="s">
        <v>1861</v>
      </c>
      <c r="B1852" t="s">
        <v>11</v>
      </c>
      <c r="C1852">
        <v>121.43463281300001</v>
      </c>
      <c r="D1852">
        <f>0</f>
        <v>0</v>
      </c>
      <c r="E1852">
        <f>648714478/10^6</f>
        <v>648.71447799999999</v>
      </c>
      <c r="F1852">
        <f>0</f>
        <v>0</v>
      </c>
      <c r="G1852">
        <f>231932724/10^6</f>
        <v>231.93272400000001</v>
      </c>
      <c r="H1852">
        <f>0</f>
        <v>0</v>
      </c>
      <c r="I1852">
        <f>-39268791/10^6</f>
        <v>-39.268791</v>
      </c>
      <c r="J1852">
        <f>0</f>
        <v>0</v>
      </c>
    </row>
    <row r="1853" spans="1:10" x14ac:dyDescent="0.25">
      <c r="A1853" t="s">
        <v>1862</v>
      </c>
      <c r="B1853" t="s">
        <v>11</v>
      </c>
      <c r="C1853">
        <v>121.72499999999999</v>
      </c>
      <c r="D1853">
        <f>0</f>
        <v>0</v>
      </c>
      <c r="E1853">
        <f>647086304/10^6</f>
        <v>647.08630400000004</v>
      </c>
      <c r="F1853">
        <f>0</f>
        <v>0</v>
      </c>
      <c r="G1853">
        <f>231968948/10^6</f>
        <v>231.96894800000001</v>
      </c>
      <c r="H1853">
        <f>0</f>
        <v>0</v>
      </c>
      <c r="I1853">
        <f>-38952209/10^6</f>
        <v>-38.952209000000003</v>
      </c>
      <c r="J1853">
        <f>0</f>
        <v>0</v>
      </c>
    </row>
    <row r="1854" spans="1:10" x14ac:dyDescent="0.25">
      <c r="A1854" t="s">
        <v>1863</v>
      </c>
      <c r="B1854" t="s">
        <v>11</v>
      </c>
      <c r="C1854">
        <v>121.89945312499999</v>
      </c>
      <c r="D1854">
        <f>0</f>
        <v>0</v>
      </c>
      <c r="E1854">
        <f>646147522/10^6</f>
        <v>646.14752199999998</v>
      </c>
      <c r="F1854">
        <f>0</f>
        <v>0</v>
      </c>
      <c r="G1854">
        <f>232010559/10^6</f>
        <v>232.010559</v>
      </c>
      <c r="H1854">
        <f>0</f>
        <v>0</v>
      </c>
      <c r="I1854">
        <f>-38803036/10^6</f>
        <v>-38.803035999999999</v>
      </c>
      <c r="J1854">
        <f>0</f>
        <v>0</v>
      </c>
    </row>
    <row r="1855" spans="1:10" x14ac:dyDescent="0.25">
      <c r="A1855" t="s">
        <v>1864</v>
      </c>
      <c r="B1855" t="s">
        <v>11</v>
      </c>
      <c r="C1855">
        <v>122.002796875</v>
      </c>
      <c r="D1855">
        <f>0</f>
        <v>0</v>
      </c>
      <c r="E1855">
        <f>645658936/10^6</f>
        <v>645.65893600000004</v>
      </c>
      <c r="F1855">
        <f>0</f>
        <v>0</v>
      </c>
      <c r="G1855">
        <f>232052139/10^6</f>
        <v>232.05213900000001</v>
      </c>
      <c r="H1855">
        <f>0</f>
        <v>0</v>
      </c>
      <c r="I1855">
        <f>-38858871/10^6</f>
        <v>-38.858871000000001</v>
      </c>
      <c r="J1855">
        <f>0</f>
        <v>0</v>
      </c>
    </row>
    <row r="1856" spans="1:10" x14ac:dyDescent="0.25">
      <c r="A1856" t="s">
        <v>1865</v>
      </c>
      <c r="B1856" t="s">
        <v>11</v>
      </c>
      <c r="C1856">
        <v>122.06525000000001</v>
      </c>
      <c r="D1856">
        <f>0</f>
        <v>0</v>
      </c>
      <c r="E1856">
        <f>645421631/10^6</f>
        <v>645.42163100000005</v>
      </c>
      <c r="F1856">
        <f>0</f>
        <v>0</v>
      </c>
      <c r="G1856">
        <f>232084229/10^6</f>
        <v>232.08422899999999</v>
      </c>
      <c r="H1856">
        <f>0</f>
        <v>0</v>
      </c>
      <c r="I1856">
        <f>-38833076/10^6</f>
        <v>-38.833075999999998</v>
      </c>
      <c r="J1856">
        <f>0</f>
        <v>0</v>
      </c>
    </row>
    <row r="1857" spans="1:10" x14ac:dyDescent="0.25">
      <c r="A1857" t="s">
        <v>1866</v>
      </c>
      <c r="B1857" t="s">
        <v>11</v>
      </c>
      <c r="C1857">
        <v>122.068945313</v>
      </c>
      <c r="D1857">
        <f>0</f>
        <v>0</v>
      </c>
      <c r="E1857">
        <f>64555249/10^5</f>
        <v>645.55249000000003</v>
      </c>
      <c r="F1857">
        <f>0</f>
        <v>0</v>
      </c>
      <c r="G1857">
        <f>232109451/10^6</f>
        <v>232.10945100000001</v>
      </c>
      <c r="H1857">
        <f>0</f>
        <v>0</v>
      </c>
      <c r="I1857">
        <f>-38843811/10^6</f>
        <v>-38.843811000000002</v>
      </c>
      <c r="J1857">
        <f>0</f>
        <v>0</v>
      </c>
    </row>
    <row r="1858" spans="1:10" x14ac:dyDescent="0.25">
      <c r="A1858" t="s">
        <v>1867</v>
      </c>
      <c r="B1858" t="s">
        <v>11</v>
      </c>
      <c r="C1858">
        <v>0</v>
      </c>
      <c r="D1858">
        <f>2</f>
        <v>2</v>
      </c>
      <c r="F1858">
        <f>2</f>
        <v>2</v>
      </c>
      <c r="H1858">
        <f>2</f>
        <v>2</v>
      </c>
      <c r="J1858">
        <f>2</f>
        <v>2</v>
      </c>
    </row>
    <row r="1859" spans="1:10" x14ac:dyDescent="0.25">
      <c r="A1859" t="s">
        <v>1868</v>
      </c>
      <c r="B1859" t="s">
        <v>11</v>
      </c>
      <c r="C1859">
        <v>121.917421875</v>
      </c>
      <c r="D1859">
        <f>0</f>
        <v>0</v>
      </c>
      <c r="E1859">
        <f>646275635/10^6</f>
        <v>646.27563499999997</v>
      </c>
      <c r="F1859">
        <f>0</f>
        <v>0</v>
      </c>
      <c r="G1859">
        <f>232135666/10^6</f>
        <v>232.13566599999999</v>
      </c>
      <c r="H1859">
        <f>0</f>
        <v>0</v>
      </c>
      <c r="I1859">
        <f>-38591587/10^6</f>
        <v>-38.591586999999997</v>
      </c>
      <c r="J1859">
        <f>0</f>
        <v>0</v>
      </c>
    </row>
    <row r="1860" spans="1:10" x14ac:dyDescent="0.25">
      <c r="A1860" t="s">
        <v>1869</v>
      </c>
      <c r="B1860" t="s">
        <v>11</v>
      </c>
      <c r="C1860">
        <v>121.77419531300001</v>
      </c>
      <c r="D1860">
        <f>0</f>
        <v>0</v>
      </c>
      <c r="E1860">
        <f>647284302/10^6</f>
        <v>647.28430200000003</v>
      </c>
      <c r="F1860">
        <f>0</f>
        <v>0</v>
      </c>
      <c r="G1860">
        <f>23213353/10^5</f>
        <v>232.13353000000001</v>
      </c>
      <c r="H1860">
        <f>0</f>
        <v>0</v>
      </c>
      <c r="I1860">
        <f>-38734852/10^6</f>
        <v>-38.734851999999997</v>
      </c>
      <c r="J1860">
        <f>0</f>
        <v>0</v>
      </c>
    </row>
    <row r="1861" spans="1:10" x14ac:dyDescent="0.25">
      <c r="A1861" t="s">
        <v>1870</v>
      </c>
      <c r="B1861" t="s">
        <v>11</v>
      </c>
      <c r="C1861">
        <v>121.580117188</v>
      </c>
      <c r="D1861">
        <f>0</f>
        <v>0</v>
      </c>
      <c r="E1861">
        <f>648348755/10^6</f>
        <v>648.34875499999998</v>
      </c>
      <c r="F1861">
        <f>0</f>
        <v>0</v>
      </c>
      <c r="G1861">
        <f>232121323/10^6</f>
        <v>232.12132299999999</v>
      </c>
      <c r="H1861">
        <f>0</f>
        <v>0</v>
      </c>
      <c r="I1861">
        <f>-38791538/10^6</f>
        <v>-38.791538000000003</v>
      </c>
      <c r="J1861">
        <f>0</f>
        <v>0</v>
      </c>
    </row>
    <row r="1862" spans="1:10" x14ac:dyDescent="0.25">
      <c r="A1862" t="s">
        <v>1871</v>
      </c>
      <c r="B1862" t="s">
        <v>11</v>
      </c>
      <c r="C1862">
        <v>121.352304688</v>
      </c>
      <c r="D1862">
        <f>0</f>
        <v>0</v>
      </c>
      <c r="E1862">
        <f>649578003/10^6</f>
        <v>649.57800299999997</v>
      </c>
      <c r="F1862">
        <f>0</f>
        <v>0</v>
      </c>
      <c r="G1862">
        <f>232091522/10^6</f>
        <v>232.091522</v>
      </c>
      <c r="H1862">
        <f>0</f>
        <v>0</v>
      </c>
      <c r="I1862">
        <f>-38922157/10^6</f>
        <v>-38.922156999999999</v>
      </c>
      <c r="J1862">
        <f>0</f>
        <v>0</v>
      </c>
    </row>
    <row r="1863" spans="1:10" x14ac:dyDescent="0.25">
      <c r="A1863" t="s">
        <v>1872</v>
      </c>
      <c r="B1863" t="s">
        <v>11</v>
      </c>
      <c r="C1863">
        <v>121.11705468800001</v>
      </c>
      <c r="D1863">
        <f>0</f>
        <v>0</v>
      </c>
      <c r="E1863">
        <f>650941101/10^6</f>
        <v>650.941101</v>
      </c>
      <c r="F1863">
        <f>0</f>
        <v>0</v>
      </c>
      <c r="G1863">
        <f>232060501/10^6</f>
        <v>232.06050099999999</v>
      </c>
      <c r="H1863">
        <f>0</f>
        <v>0</v>
      </c>
      <c r="I1863">
        <f>-39130089/10^6</f>
        <v>-39.130088999999998</v>
      </c>
      <c r="J1863">
        <f>0</f>
        <v>0</v>
      </c>
    </row>
    <row r="1864" spans="1:10" x14ac:dyDescent="0.25">
      <c r="A1864" t="s">
        <v>1873</v>
      </c>
      <c r="B1864" t="s">
        <v>11</v>
      </c>
      <c r="C1864">
        <v>0</v>
      </c>
      <c r="D1864">
        <f>2</f>
        <v>2</v>
      </c>
      <c r="F1864">
        <f>2</f>
        <v>2</v>
      </c>
      <c r="H1864">
        <f>2</f>
        <v>2</v>
      </c>
      <c r="J1864">
        <f>2</f>
        <v>2</v>
      </c>
    </row>
    <row r="1865" spans="1:10" x14ac:dyDescent="0.25">
      <c r="A1865" t="s">
        <v>1874</v>
      </c>
      <c r="B1865" t="s">
        <v>11</v>
      </c>
      <c r="C1865">
        <v>120.647367188</v>
      </c>
      <c r="D1865">
        <f>0</f>
        <v>0</v>
      </c>
      <c r="E1865">
        <f>653292114/10^6</f>
        <v>653.29211399999997</v>
      </c>
      <c r="F1865">
        <f>0</f>
        <v>0</v>
      </c>
      <c r="G1865">
        <f>231972382/10^6</f>
        <v>231.97238200000001</v>
      </c>
      <c r="H1865">
        <f>0</f>
        <v>0</v>
      </c>
      <c r="I1865">
        <f>-39087021/10^6</f>
        <v>-39.087021</v>
      </c>
      <c r="J1865">
        <f>0</f>
        <v>0</v>
      </c>
    </row>
    <row r="1866" spans="1:10" x14ac:dyDescent="0.25">
      <c r="A1866" t="s">
        <v>1875</v>
      </c>
      <c r="B1866" t="s">
        <v>11</v>
      </c>
      <c r="C1866">
        <v>120.396179688</v>
      </c>
      <c r="D1866">
        <f>0</f>
        <v>0</v>
      </c>
      <c r="E1866">
        <f>654653748/10^6</f>
        <v>654.65374799999995</v>
      </c>
      <c r="F1866">
        <f>0</f>
        <v>0</v>
      </c>
      <c r="G1866">
        <f>231929199/10^6</f>
        <v>231.92919900000001</v>
      </c>
      <c r="H1866">
        <f>0</f>
        <v>0</v>
      </c>
      <c r="I1866">
        <f>-39213089/10^6</f>
        <v>-39.213088999999997</v>
      </c>
      <c r="J1866">
        <f>0</f>
        <v>0</v>
      </c>
    </row>
    <row r="1867" spans="1:10" x14ac:dyDescent="0.25">
      <c r="A1867" t="s">
        <v>1876</v>
      </c>
      <c r="B1867" t="s">
        <v>11</v>
      </c>
      <c r="C1867">
        <v>120.129304688</v>
      </c>
      <c r="D1867">
        <f>0</f>
        <v>0</v>
      </c>
      <c r="E1867">
        <f>656035828/10^6</f>
        <v>656.03582800000004</v>
      </c>
      <c r="F1867">
        <f>0</f>
        <v>0</v>
      </c>
      <c r="G1867">
        <f>231885864/10^6</f>
        <v>231.885864</v>
      </c>
      <c r="H1867">
        <f>0</f>
        <v>0</v>
      </c>
      <c r="I1867">
        <f>-3938332/10^5</f>
        <v>-39.383319999999998</v>
      </c>
      <c r="J1867">
        <f>0</f>
        <v>0</v>
      </c>
    </row>
    <row r="1868" spans="1:10" x14ac:dyDescent="0.25">
      <c r="A1868" t="s">
        <v>1877</v>
      </c>
      <c r="B1868" t="s">
        <v>11</v>
      </c>
      <c r="C1868">
        <v>119.825242188</v>
      </c>
      <c r="D1868">
        <f>0</f>
        <v>0</v>
      </c>
      <c r="E1868">
        <f>657682495/10^6</f>
        <v>657.68249500000002</v>
      </c>
      <c r="F1868">
        <f>0</f>
        <v>0</v>
      </c>
      <c r="G1868">
        <f>231837112/10^6</f>
        <v>231.83711199999999</v>
      </c>
      <c r="H1868">
        <f>0</f>
        <v>0</v>
      </c>
      <c r="I1868">
        <f>-39537865/10^6</f>
        <v>-39.537864999999996</v>
      </c>
      <c r="J1868">
        <f>0</f>
        <v>0</v>
      </c>
    </row>
    <row r="1869" spans="1:10" x14ac:dyDescent="0.25">
      <c r="A1869" t="s">
        <v>1878</v>
      </c>
      <c r="B1869" t="s">
        <v>11</v>
      </c>
      <c r="C1869">
        <v>119.50194531300001</v>
      </c>
      <c r="D1869">
        <f>0</f>
        <v>0</v>
      </c>
      <c r="E1869">
        <f>659476135/10^6</f>
        <v>659.476135</v>
      </c>
      <c r="F1869">
        <f>0</f>
        <v>0</v>
      </c>
      <c r="G1869">
        <f>231781219/10^6</f>
        <v>231.78121899999999</v>
      </c>
      <c r="H1869">
        <f>0</f>
        <v>0</v>
      </c>
      <c r="I1869">
        <f>-39748135/10^6</f>
        <v>-39.748134999999998</v>
      </c>
      <c r="J1869">
        <f>0</f>
        <v>0</v>
      </c>
    </row>
    <row r="1870" spans="1:10" x14ac:dyDescent="0.25">
      <c r="A1870" t="s">
        <v>1879</v>
      </c>
      <c r="B1870" t="s">
        <v>11</v>
      </c>
      <c r="C1870">
        <v>119.202140625</v>
      </c>
      <c r="D1870">
        <f>0</f>
        <v>0</v>
      </c>
      <c r="E1870">
        <f>661183899/10^6</f>
        <v>661.183899</v>
      </c>
      <c r="F1870">
        <f>0</f>
        <v>0</v>
      </c>
      <c r="G1870">
        <f>231731537/10^6</f>
        <v>231.731537</v>
      </c>
      <c r="H1870">
        <f>0</f>
        <v>0</v>
      </c>
      <c r="I1870">
        <f>-40124924/10^6</f>
        <v>-40.124924</v>
      </c>
      <c r="J1870">
        <f>0</f>
        <v>0</v>
      </c>
    </row>
    <row r="1871" spans="1:10" x14ac:dyDescent="0.25">
      <c r="A1871" t="s">
        <v>1880</v>
      </c>
      <c r="B1871" t="s">
        <v>11</v>
      </c>
      <c r="C1871">
        <v>118.92149999999999</v>
      </c>
      <c r="D1871">
        <f>0</f>
        <v>0</v>
      </c>
      <c r="E1871">
        <f>662636902/10^6</f>
        <v>662.63690199999996</v>
      </c>
      <c r="F1871">
        <f>0</f>
        <v>0</v>
      </c>
      <c r="G1871">
        <f>23167691/10^5</f>
        <v>231.67690999999999</v>
      </c>
      <c r="H1871">
        <f>0</f>
        <v>0</v>
      </c>
      <c r="I1871">
        <f>-40202503/10^6</f>
        <v>-40.202503</v>
      </c>
      <c r="J1871">
        <f>0</f>
        <v>0</v>
      </c>
    </row>
    <row r="1872" spans="1:10" x14ac:dyDescent="0.25">
      <c r="A1872" t="s">
        <v>1881</v>
      </c>
      <c r="B1872" t="s">
        <v>11</v>
      </c>
      <c r="C1872">
        <v>118.658828125</v>
      </c>
      <c r="D1872">
        <f>0</f>
        <v>0</v>
      </c>
      <c r="E1872">
        <f>663935913/10^6</f>
        <v>663.93591300000003</v>
      </c>
      <c r="F1872">
        <f>0</f>
        <v>0</v>
      </c>
      <c r="G1872">
        <f>231609665/10^6</f>
        <v>231.60966500000001</v>
      </c>
      <c r="H1872">
        <f>0</f>
        <v>0</v>
      </c>
      <c r="I1872">
        <f>-40201122/10^6</f>
        <v>-40.201121999999998</v>
      </c>
      <c r="J1872">
        <f>0</f>
        <v>0</v>
      </c>
    </row>
    <row r="1873" spans="1:10" x14ac:dyDescent="0.25">
      <c r="A1873" t="s">
        <v>1882</v>
      </c>
      <c r="B1873" t="s">
        <v>11</v>
      </c>
      <c r="C1873">
        <v>118.40896093800001</v>
      </c>
      <c r="D1873">
        <f>0</f>
        <v>0</v>
      </c>
      <c r="E1873">
        <f>665386963/10^6</f>
        <v>665.38696300000004</v>
      </c>
      <c r="F1873">
        <f>0</f>
        <v>0</v>
      </c>
      <c r="G1873">
        <f>231561569/10^6</f>
        <v>231.56156899999999</v>
      </c>
      <c r="H1873">
        <f>0</f>
        <v>0</v>
      </c>
      <c r="I1873">
        <f>-40530754/10^6</f>
        <v>-40.530754000000002</v>
      </c>
      <c r="J1873">
        <f>0</f>
        <v>0</v>
      </c>
    </row>
    <row r="1874" spans="1:10" x14ac:dyDescent="0.25">
      <c r="A1874" t="s">
        <v>1883</v>
      </c>
      <c r="B1874" t="s">
        <v>11</v>
      </c>
      <c r="C1874">
        <v>118.17521875</v>
      </c>
      <c r="D1874">
        <f>0</f>
        <v>0</v>
      </c>
      <c r="E1874">
        <f>666843018/10^6</f>
        <v>666.84301800000003</v>
      </c>
      <c r="F1874">
        <f>0</f>
        <v>0</v>
      </c>
      <c r="G1874">
        <f>231540817/10^6</f>
        <v>231.540817</v>
      </c>
      <c r="H1874">
        <f>0</f>
        <v>0</v>
      </c>
      <c r="I1874">
        <f>-40761318/10^6</f>
        <v>-40.761318000000003</v>
      </c>
      <c r="J1874">
        <f>0</f>
        <v>0</v>
      </c>
    </row>
    <row r="1875" spans="1:10" x14ac:dyDescent="0.25">
      <c r="A1875" t="s">
        <v>1884</v>
      </c>
      <c r="B1875" t="s">
        <v>11</v>
      </c>
      <c r="C1875">
        <v>117.966953125</v>
      </c>
      <c r="D1875">
        <f>0</f>
        <v>0</v>
      </c>
      <c r="E1875">
        <f>667971619/10^6</f>
        <v>667.97161900000003</v>
      </c>
      <c r="F1875">
        <f>0</f>
        <v>0</v>
      </c>
      <c r="G1875">
        <f>231509628/10^6</f>
        <v>231.50962799999999</v>
      </c>
      <c r="H1875">
        <f>0</f>
        <v>0</v>
      </c>
      <c r="I1875">
        <f>-4079636/10^5</f>
        <v>-40.79636</v>
      </c>
      <c r="J1875">
        <f>0</f>
        <v>0</v>
      </c>
    </row>
    <row r="1876" spans="1:10" x14ac:dyDescent="0.25">
      <c r="A1876" t="s">
        <v>1885</v>
      </c>
      <c r="B1876" t="s">
        <v>11</v>
      </c>
      <c r="C1876">
        <v>117.782859375</v>
      </c>
      <c r="D1876">
        <f>0</f>
        <v>0</v>
      </c>
      <c r="E1876">
        <f>668971741/10^6</f>
        <v>668.97174099999995</v>
      </c>
      <c r="F1876">
        <f>0</f>
        <v>0</v>
      </c>
      <c r="G1876">
        <f>231483292/10^6</f>
        <v>231.48329200000001</v>
      </c>
      <c r="H1876">
        <f>0</f>
        <v>0</v>
      </c>
      <c r="I1876">
        <f>-40946247/10^6</f>
        <v>-40.946247</v>
      </c>
      <c r="J1876">
        <f>0</f>
        <v>0</v>
      </c>
    </row>
    <row r="1877" spans="1:10" x14ac:dyDescent="0.25">
      <c r="A1877" t="s">
        <v>1886</v>
      </c>
      <c r="B1877" t="s">
        <v>11</v>
      </c>
      <c r="C1877">
        <v>0</v>
      </c>
      <c r="D1877">
        <f>2</f>
        <v>2</v>
      </c>
      <c r="F1877">
        <f>2</f>
        <v>2</v>
      </c>
      <c r="H1877">
        <f>2</f>
        <v>2</v>
      </c>
      <c r="J1877">
        <f>2</f>
        <v>2</v>
      </c>
    </row>
    <row r="1878" spans="1:10" x14ac:dyDescent="0.25">
      <c r="A1878" t="s">
        <v>1887</v>
      </c>
      <c r="B1878" t="s">
        <v>11</v>
      </c>
      <c r="C1878">
        <v>117.479726563</v>
      </c>
      <c r="D1878">
        <f>0</f>
        <v>0</v>
      </c>
      <c r="E1878">
        <f>670738037/10^6</f>
        <v>670.73803699999996</v>
      </c>
      <c r="F1878">
        <f>0</f>
        <v>0</v>
      </c>
      <c r="G1878">
        <f>231450623/10^6</f>
        <v>231.45062300000001</v>
      </c>
      <c r="H1878">
        <f>0</f>
        <v>0</v>
      </c>
      <c r="I1878">
        <f>-41219994/10^6</f>
        <v>-41.219994</v>
      </c>
      <c r="J1878">
        <f>0</f>
        <v>0</v>
      </c>
    </row>
    <row r="1879" spans="1:10" x14ac:dyDescent="0.25">
      <c r="A1879" t="s">
        <v>1888</v>
      </c>
      <c r="B1879" t="s">
        <v>11</v>
      </c>
      <c r="C1879">
        <v>117.347601563</v>
      </c>
      <c r="D1879">
        <f>0</f>
        <v>0</v>
      </c>
      <c r="E1879">
        <f>671531555/10^6</f>
        <v>671.53155500000003</v>
      </c>
      <c r="F1879">
        <f>0</f>
        <v>0</v>
      </c>
      <c r="G1879">
        <f>231442078/10^6</f>
        <v>231.44207800000001</v>
      </c>
      <c r="H1879">
        <f>0</f>
        <v>0</v>
      </c>
      <c r="I1879">
        <f>-41321701/10^6</f>
        <v>-41.321700999999997</v>
      </c>
      <c r="J1879">
        <f>0</f>
        <v>0</v>
      </c>
    </row>
    <row r="1880" spans="1:10" x14ac:dyDescent="0.25">
      <c r="A1880" t="s">
        <v>1889</v>
      </c>
      <c r="B1880" t="s">
        <v>11</v>
      </c>
      <c r="C1880">
        <v>117.20471093800001</v>
      </c>
      <c r="D1880">
        <f>0</f>
        <v>0</v>
      </c>
      <c r="E1880">
        <f>672382996/10^6</f>
        <v>672.38299600000005</v>
      </c>
      <c r="F1880">
        <f>0</f>
        <v>0</v>
      </c>
      <c r="G1880">
        <f>231428116/10^6</f>
        <v>231.42811599999999</v>
      </c>
      <c r="H1880">
        <f>0</f>
        <v>0</v>
      </c>
      <c r="I1880">
        <f>-41421215/10^6</f>
        <v>-41.421214999999997</v>
      </c>
      <c r="J1880">
        <f>0</f>
        <v>0</v>
      </c>
    </row>
    <row r="1881" spans="1:10" x14ac:dyDescent="0.25">
      <c r="A1881" t="s">
        <v>1890</v>
      </c>
      <c r="B1881" t="s">
        <v>11</v>
      </c>
      <c r="C1881">
        <v>0</v>
      </c>
      <c r="D1881">
        <f>2</f>
        <v>2</v>
      </c>
      <c r="F1881">
        <f>2</f>
        <v>2</v>
      </c>
      <c r="H1881">
        <f>2</f>
        <v>2</v>
      </c>
      <c r="J1881">
        <f>2</f>
        <v>2</v>
      </c>
    </row>
    <row r="1882" spans="1:10" x14ac:dyDescent="0.25">
      <c r="A1882" t="s">
        <v>1891</v>
      </c>
      <c r="B1882" t="s">
        <v>11</v>
      </c>
      <c r="C1882">
        <v>0</v>
      </c>
      <c r="D1882">
        <f>2</f>
        <v>2</v>
      </c>
      <c r="F1882">
        <f>2</f>
        <v>2</v>
      </c>
      <c r="H1882">
        <f>2</f>
        <v>2</v>
      </c>
      <c r="J1882">
        <f>2</f>
        <v>2</v>
      </c>
    </row>
    <row r="1883" spans="1:10" x14ac:dyDescent="0.25">
      <c r="A1883" t="s">
        <v>1892</v>
      </c>
      <c r="B1883" t="s">
        <v>11</v>
      </c>
      <c r="C1883">
        <v>116.76239062499999</v>
      </c>
      <c r="D1883">
        <f>0</f>
        <v>0</v>
      </c>
      <c r="E1883">
        <f>675160889/10^6</f>
        <v>675.160889</v>
      </c>
      <c r="F1883">
        <f>0</f>
        <v>0</v>
      </c>
      <c r="G1883">
        <f>231418518/10^6</f>
        <v>231.41851800000001</v>
      </c>
      <c r="H1883">
        <f>0</f>
        <v>0</v>
      </c>
      <c r="I1883">
        <f>-4170203/10^5</f>
        <v>-41.702030000000001</v>
      </c>
      <c r="J1883">
        <f>0</f>
        <v>0</v>
      </c>
    </row>
    <row r="1884" spans="1:10" x14ac:dyDescent="0.25">
      <c r="A1884" t="s">
        <v>1893</v>
      </c>
      <c r="B1884" t="s">
        <v>11</v>
      </c>
      <c r="C1884">
        <v>116.60636718800001</v>
      </c>
      <c r="D1884">
        <f>0</f>
        <v>0</v>
      </c>
      <c r="E1884">
        <f>676117432/10^6</f>
        <v>676.11743200000001</v>
      </c>
      <c r="F1884">
        <f>0</f>
        <v>0</v>
      </c>
      <c r="G1884">
        <f>231407654/10^6</f>
        <v>231.40765400000001</v>
      </c>
      <c r="H1884">
        <f>0</f>
        <v>0</v>
      </c>
      <c r="I1884">
        <f>-41869438/10^6</f>
        <v>-41.869438000000002</v>
      </c>
      <c r="J1884">
        <f>0</f>
        <v>0</v>
      </c>
    </row>
    <row r="1885" spans="1:10" x14ac:dyDescent="0.25">
      <c r="A1885" t="s">
        <v>1894</v>
      </c>
      <c r="B1885" t="s">
        <v>11</v>
      </c>
      <c r="C1885">
        <v>116.44684375</v>
      </c>
      <c r="D1885">
        <f>0</f>
        <v>0</v>
      </c>
      <c r="E1885">
        <f>677018677/10^6</f>
        <v>677.01867700000003</v>
      </c>
      <c r="F1885">
        <f>0</f>
        <v>0</v>
      </c>
      <c r="G1885">
        <f>231380875/10^6</f>
        <v>231.380875</v>
      </c>
      <c r="H1885">
        <f>0</f>
        <v>0</v>
      </c>
      <c r="I1885">
        <f>-42032551/10^6</f>
        <v>-42.032550999999998</v>
      </c>
      <c r="J1885">
        <f>0</f>
        <v>0</v>
      </c>
    </row>
    <row r="1886" spans="1:10" x14ac:dyDescent="0.25">
      <c r="A1886" t="s">
        <v>1895</v>
      </c>
      <c r="B1886" t="s">
        <v>11</v>
      </c>
      <c r="C1886">
        <v>116.255796875</v>
      </c>
      <c r="D1886">
        <f>0</f>
        <v>0</v>
      </c>
      <c r="E1886">
        <f>678021301/10^6</f>
        <v>678.02130099999999</v>
      </c>
      <c r="F1886">
        <f>0</f>
        <v>0</v>
      </c>
      <c r="G1886">
        <f>231344223/10^6</f>
        <v>231.344223</v>
      </c>
      <c r="H1886">
        <f>0</f>
        <v>0</v>
      </c>
      <c r="I1886">
        <f>-42078102/10^6</f>
        <v>-42.078102000000001</v>
      </c>
      <c r="J1886">
        <f>0</f>
        <v>0</v>
      </c>
    </row>
    <row r="1887" spans="1:10" x14ac:dyDescent="0.25">
      <c r="A1887" t="s">
        <v>1896</v>
      </c>
      <c r="B1887" t="s">
        <v>11</v>
      </c>
      <c r="C1887">
        <v>116.028515625</v>
      </c>
      <c r="D1887">
        <f>0</f>
        <v>0</v>
      </c>
      <c r="E1887">
        <f>679441101/10^6</f>
        <v>679.441101</v>
      </c>
      <c r="F1887">
        <f>0</f>
        <v>0</v>
      </c>
      <c r="G1887">
        <f>231316391/10^6</f>
        <v>231.31639100000001</v>
      </c>
      <c r="H1887">
        <f>0</f>
        <v>0</v>
      </c>
      <c r="I1887">
        <f>-42279884/10^6</f>
        <v>-42.279884000000003</v>
      </c>
      <c r="J1887">
        <f>0</f>
        <v>0</v>
      </c>
    </row>
    <row r="1888" spans="1:10" x14ac:dyDescent="0.25">
      <c r="A1888" t="s">
        <v>1897</v>
      </c>
      <c r="B1888" t="s">
        <v>11</v>
      </c>
      <c r="C1888">
        <v>115.78959374999999</v>
      </c>
      <c r="D1888">
        <f>0</f>
        <v>0</v>
      </c>
      <c r="E1888">
        <f>680885986/10^6</f>
        <v>680.885986</v>
      </c>
      <c r="F1888">
        <f>0</f>
        <v>0</v>
      </c>
      <c r="G1888">
        <f>231259628/10^6</f>
        <v>231.25962799999999</v>
      </c>
      <c r="H1888">
        <f>0</f>
        <v>0</v>
      </c>
      <c r="I1888">
        <f>-4255127/10^5</f>
        <v>-42.551270000000002</v>
      </c>
      <c r="J1888">
        <f>0</f>
        <v>0</v>
      </c>
    </row>
    <row r="1889" spans="1:10" x14ac:dyDescent="0.25">
      <c r="A1889" t="s">
        <v>1898</v>
      </c>
      <c r="B1889" t="s">
        <v>11</v>
      </c>
      <c r="C1889">
        <v>115.56521875</v>
      </c>
      <c r="D1889">
        <f>0</f>
        <v>0</v>
      </c>
      <c r="E1889">
        <f>681974243/10^6</f>
        <v>681.974243</v>
      </c>
      <c r="F1889">
        <f>0</f>
        <v>0</v>
      </c>
      <c r="G1889">
        <f>231189651/10^6</f>
        <v>231.189651</v>
      </c>
      <c r="H1889">
        <f>0</f>
        <v>0</v>
      </c>
      <c r="I1889">
        <f>-42501766/10^6</f>
        <v>-42.501766000000003</v>
      </c>
      <c r="J1889">
        <f>0</f>
        <v>0</v>
      </c>
    </row>
    <row r="1890" spans="1:10" x14ac:dyDescent="0.25">
      <c r="A1890" t="s">
        <v>1899</v>
      </c>
      <c r="B1890" t="s">
        <v>11</v>
      </c>
      <c r="C1890">
        <v>115.375546875</v>
      </c>
      <c r="D1890">
        <f>0</f>
        <v>0</v>
      </c>
      <c r="E1890">
        <f>683015625/10^6</f>
        <v>683.015625</v>
      </c>
      <c r="F1890">
        <f>0</f>
        <v>0</v>
      </c>
      <c r="G1890">
        <f>231149796/10^6</f>
        <v>231.14979600000001</v>
      </c>
      <c r="H1890">
        <f>0</f>
        <v>0</v>
      </c>
      <c r="I1890">
        <f>-42614845/10^6</f>
        <v>-42.614845000000003</v>
      </c>
      <c r="J1890">
        <f>0</f>
        <v>0</v>
      </c>
    </row>
    <row r="1891" spans="1:10" x14ac:dyDescent="0.25">
      <c r="A1891" t="s">
        <v>1900</v>
      </c>
      <c r="B1891" t="s">
        <v>11</v>
      </c>
      <c r="C1891">
        <v>115.242929688</v>
      </c>
      <c r="D1891">
        <f>0</f>
        <v>0</v>
      </c>
      <c r="E1891">
        <f>683788696/10^6</f>
        <v>683.78869599999996</v>
      </c>
      <c r="F1891">
        <f>0</f>
        <v>0</v>
      </c>
      <c r="G1891">
        <f>231097717/10^6</f>
        <v>231.09771699999999</v>
      </c>
      <c r="H1891">
        <f>0</f>
        <v>0</v>
      </c>
      <c r="I1891">
        <f>-42928963/10^6</f>
        <v>-42.928963000000003</v>
      </c>
      <c r="J1891">
        <f>0</f>
        <v>0</v>
      </c>
    </row>
    <row r="1892" spans="1:10" x14ac:dyDescent="0.25">
      <c r="A1892" t="s">
        <v>1901</v>
      </c>
      <c r="B1892" t="s">
        <v>11</v>
      </c>
      <c r="C1892">
        <v>115.148421875</v>
      </c>
      <c r="D1892">
        <f>0</f>
        <v>0</v>
      </c>
      <c r="E1892">
        <f>684142334/10^6</f>
        <v>684.14233400000001</v>
      </c>
      <c r="F1892">
        <f>0</f>
        <v>0</v>
      </c>
      <c r="G1892">
        <f>231021362/10^6</f>
        <v>231.02136200000001</v>
      </c>
      <c r="H1892">
        <f>0</f>
        <v>0</v>
      </c>
      <c r="I1892">
        <f>-43005123/10^6</f>
        <v>-43.005122999999998</v>
      </c>
      <c r="J1892">
        <f>0</f>
        <v>0</v>
      </c>
    </row>
    <row r="1893" spans="1:10" x14ac:dyDescent="0.25">
      <c r="A1893" t="s">
        <v>1902</v>
      </c>
      <c r="B1893" t="s">
        <v>11</v>
      </c>
      <c r="C1893">
        <v>115.072304688</v>
      </c>
      <c r="D1893">
        <f>0</f>
        <v>0</v>
      </c>
      <c r="E1893">
        <f>684399902/10^6</f>
        <v>684.399902</v>
      </c>
      <c r="F1893">
        <f>0</f>
        <v>0</v>
      </c>
      <c r="G1893">
        <f>230947922/10^6</f>
        <v>230.94792200000001</v>
      </c>
      <c r="H1893">
        <f>0</f>
        <v>0</v>
      </c>
      <c r="I1893">
        <f>-43000778/10^6</f>
        <v>-43.000777999999997</v>
      </c>
      <c r="J1893">
        <f>0</f>
        <v>0</v>
      </c>
    </row>
    <row r="1894" spans="1:10" x14ac:dyDescent="0.25">
      <c r="A1894" t="s">
        <v>1903</v>
      </c>
      <c r="B1894" t="s">
        <v>11</v>
      </c>
      <c r="C1894">
        <v>115.00490625</v>
      </c>
      <c r="D1894">
        <f>0</f>
        <v>0</v>
      </c>
      <c r="E1894">
        <f>684802002/10^6</f>
        <v>684.80200200000002</v>
      </c>
      <c r="F1894">
        <f>0</f>
        <v>0</v>
      </c>
      <c r="G1894">
        <f>230934341/10^6</f>
        <v>230.93434099999999</v>
      </c>
      <c r="H1894">
        <f>0</f>
        <v>0</v>
      </c>
      <c r="I1894">
        <f>-4303595/10^5</f>
        <v>-43.03595</v>
      </c>
      <c r="J1894">
        <f>0</f>
        <v>0</v>
      </c>
    </row>
    <row r="1895" spans="1:10" x14ac:dyDescent="0.25">
      <c r="A1895" t="s">
        <v>1904</v>
      </c>
      <c r="B1895" t="s">
        <v>11</v>
      </c>
      <c r="C1895">
        <v>114.930015625</v>
      </c>
      <c r="D1895">
        <f>0</f>
        <v>0</v>
      </c>
      <c r="E1895">
        <f>685434021/10^6</f>
        <v>685.43402100000003</v>
      </c>
      <c r="F1895">
        <f>0</f>
        <v>0</v>
      </c>
      <c r="G1895">
        <f>230973267/10^6</f>
        <v>230.97326699999999</v>
      </c>
      <c r="H1895">
        <f>0</f>
        <v>0</v>
      </c>
      <c r="I1895">
        <f>-43117397/10^6</f>
        <v>-43.117396999999997</v>
      </c>
      <c r="J1895">
        <f>0</f>
        <v>0</v>
      </c>
    </row>
    <row r="1896" spans="1:10" x14ac:dyDescent="0.25">
      <c r="A1896" t="s">
        <v>1905</v>
      </c>
      <c r="B1896" t="s">
        <v>11</v>
      </c>
      <c r="C1896">
        <v>114.86576562499999</v>
      </c>
      <c r="D1896">
        <f>0</f>
        <v>0</v>
      </c>
      <c r="E1896">
        <f>68584436/10^5</f>
        <v>685.84436000000005</v>
      </c>
      <c r="F1896">
        <f>0</f>
        <v>0</v>
      </c>
      <c r="G1896">
        <f>230954544/10^6</f>
        <v>230.954544</v>
      </c>
      <c r="H1896">
        <f>0</f>
        <v>0</v>
      </c>
      <c r="I1896">
        <f>-43271061/10^6</f>
        <v>-43.271061000000003</v>
      </c>
      <c r="J1896">
        <f>0</f>
        <v>0</v>
      </c>
    </row>
    <row r="1897" spans="1:10" x14ac:dyDescent="0.25">
      <c r="A1897" t="s">
        <v>1906</v>
      </c>
      <c r="B1897" t="s">
        <v>11</v>
      </c>
      <c r="C1897">
        <v>114.829757813</v>
      </c>
      <c r="D1897">
        <f>0</f>
        <v>0</v>
      </c>
      <c r="E1897">
        <f>68585553/10^5</f>
        <v>685.85553000000004</v>
      </c>
      <c r="F1897">
        <f>0</f>
        <v>0</v>
      </c>
      <c r="G1897">
        <f>230894867/10^6</f>
        <v>230.894867</v>
      </c>
      <c r="H1897">
        <f>0</f>
        <v>0</v>
      </c>
      <c r="I1897">
        <f>-43215359/10^6</f>
        <v>-43.215358999999999</v>
      </c>
      <c r="J1897">
        <f>0</f>
        <v>0</v>
      </c>
    </row>
    <row r="1898" spans="1:10" x14ac:dyDescent="0.25">
      <c r="A1898" t="s">
        <v>1907</v>
      </c>
      <c r="B1898" t="s">
        <v>11</v>
      </c>
      <c r="C1898">
        <v>114.798210938</v>
      </c>
      <c r="D1898">
        <f>0</f>
        <v>0</v>
      </c>
      <c r="E1898">
        <f>685854004/10^6</f>
        <v>685.85400400000003</v>
      </c>
      <c r="F1898">
        <f>0</f>
        <v>0</v>
      </c>
      <c r="G1898">
        <f>23084671/10^5</f>
        <v>230.84671</v>
      </c>
      <c r="H1898">
        <f>0</f>
        <v>0</v>
      </c>
      <c r="I1898">
        <f>-43103374/10^6</f>
        <v>-43.103374000000002</v>
      </c>
      <c r="J1898">
        <f>0</f>
        <v>0</v>
      </c>
    </row>
    <row r="1899" spans="1:10" x14ac:dyDescent="0.25">
      <c r="A1899" t="s">
        <v>1908</v>
      </c>
      <c r="B1899" t="s">
        <v>11</v>
      </c>
      <c r="C1899">
        <v>114.756265625</v>
      </c>
      <c r="D1899">
        <f>0</f>
        <v>0</v>
      </c>
      <c r="E1899">
        <f>686042542/10^6</f>
        <v>686.04254200000003</v>
      </c>
      <c r="F1899">
        <f>0</f>
        <v>0</v>
      </c>
      <c r="G1899">
        <f>230828094/10^6</f>
        <v>230.82809399999999</v>
      </c>
      <c r="H1899">
        <f>0</f>
        <v>0</v>
      </c>
      <c r="I1899">
        <f>-43135391/10^6</f>
        <v>-43.135390999999998</v>
      </c>
      <c r="J1899">
        <f>0</f>
        <v>0</v>
      </c>
    </row>
    <row r="1900" spans="1:10" x14ac:dyDescent="0.25">
      <c r="A1900" t="s">
        <v>1909</v>
      </c>
      <c r="B1900" t="s">
        <v>11</v>
      </c>
      <c r="C1900">
        <v>114.74124999999999</v>
      </c>
      <c r="D1900">
        <f>0</f>
        <v>0</v>
      </c>
      <c r="E1900">
        <f>686249634/10^6</f>
        <v>686.24963400000001</v>
      </c>
      <c r="F1900">
        <f>0</f>
        <v>0</v>
      </c>
      <c r="G1900">
        <f>230852356/10^6</f>
        <v>230.85235599999999</v>
      </c>
      <c r="H1900">
        <f>0</f>
        <v>0</v>
      </c>
      <c r="I1900">
        <f>-43131081/10^6</f>
        <v>-43.131081000000002</v>
      </c>
      <c r="J1900">
        <f>0</f>
        <v>0</v>
      </c>
    </row>
    <row r="1901" spans="1:10" x14ac:dyDescent="0.25">
      <c r="A1901" t="s">
        <v>1910</v>
      </c>
      <c r="B1901" t="s">
        <v>11</v>
      </c>
      <c r="C1901">
        <v>114.792507813</v>
      </c>
      <c r="D1901">
        <f>0</f>
        <v>0</v>
      </c>
      <c r="E1901">
        <f>686086609/10^6</f>
        <v>686.08660899999995</v>
      </c>
      <c r="F1901">
        <f>0</f>
        <v>0</v>
      </c>
      <c r="G1901">
        <f>230888824/10^6</f>
        <v>230.888824</v>
      </c>
      <c r="H1901">
        <f>0</f>
        <v>0</v>
      </c>
      <c r="I1901">
        <f>-43205811/10^6</f>
        <v>-43.205810999999997</v>
      </c>
      <c r="J1901">
        <f>0</f>
        <v>0</v>
      </c>
    </row>
    <row r="1902" spans="1:10" x14ac:dyDescent="0.25">
      <c r="A1902" t="s">
        <v>1911</v>
      </c>
      <c r="B1902" t="s">
        <v>11</v>
      </c>
      <c r="C1902">
        <v>114.91389062499999</v>
      </c>
      <c r="D1902">
        <f>0</f>
        <v>0</v>
      </c>
      <c r="E1902">
        <f>685492371/10^6</f>
        <v>685.49237100000005</v>
      </c>
      <c r="F1902">
        <f>0</f>
        <v>0</v>
      </c>
      <c r="G1902">
        <f>230939087/10^6</f>
        <v>230.939087</v>
      </c>
      <c r="H1902">
        <f>0</f>
        <v>0</v>
      </c>
      <c r="I1902">
        <f>-43253513/10^6</f>
        <v>-43.253512999999998</v>
      </c>
      <c r="J1902">
        <f>0</f>
        <v>0</v>
      </c>
    </row>
    <row r="1903" spans="1:10" x14ac:dyDescent="0.25">
      <c r="A1903" t="s">
        <v>1912</v>
      </c>
      <c r="B1903" t="s">
        <v>11</v>
      </c>
      <c r="C1903">
        <v>115.085070313</v>
      </c>
      <c r="D1903">
        <f>0</f>
        <v>0</v>
      </c>
      <c r="E1903">
        <f>684768005/10^6</f>
        <v>684.76800500000002</v>
      </c>
      <c r="F1903">
        <f>0</f>
        <v>0</v>
      </c>
      <c r="G1903">
        <f>231024307/10^6</f>
        <v>231.02430699999999</v>
      </c>
      <c r="H1903">
        <f>0</f>
        <v>0</v>
      </c>
      <c r="I1903">
        <f>-4337302/10^5</f>
        <v>-43.373019999999997</v>
      </c>
      <c r="J1903">
        <f>0</f>
        <v>0</v>
      </c>
    </row>
    <row r="1904" spans="1:10" x14ac:dyDescent="0.25">
      <c r="A1904" t="s">
        <v>1913</v>
      </c>
      <c r="B1904" t="s">
        <v>11</v>
      </c>
      <c r="C1904">
        <v>115.314429688</v>
      </c>
      <c r="D1904">
        <f>0</f>
        <v>0</v>
      </c>
      <c r="E1904">
        <f>683539856/10^6</f>
        <v>683.53985599999999</v>
      </c>
      <c r="F1904">
        <f>0</f>
        <v>0</v>
      </c>
      <c r="G1904">
        <f>231097397/10^6</f>
        <v>231.097397</v>
      </c>
      <c r="H1904">
        <f>0</f>
        <v>0</v>
      </c>
      <c r="I1904">
        <f>-4331897/10^5</f>
        <v>-43.31897</v>
      </c>
      <c r="J1904">
        <f>0</f>
        <v>0</v>
      </c>
    </row>
    <row r="1905" spans="1:10" x14ac:dyDescent="0.25">
      <c r="A1905" t="s">
        <v>1914</v>
      </c>
      <c r="B1905" t="s">
        <v>11</v>
      </c>
      <c r="C1905">
        <v>0</v>
      </c>
      <c r="D1905">
        <f>2</f>
        <v>2</v>
      </c>
      <c r="F1905">
        <f>2</f>
        <v>2</v>
      </c>
      <c r="H1905">
        <f>2</f>
        <v>2</v>
      </c>
      <c r="J1905">
        <f>2</f>
        <v>2</v>
      </c>
    </row>
    <row r="1906" spans="1:10" x14ac:dyDescent="0.25">
      <c r="A1906" t="s">
        <v>1915</v>
      </c>
      <c r="B1906" t="s">
        <v>11</v>
      </c>
      <c r="C1906">
        <v>115.93086718800001</v>
      </c>
      <c r="D1906">
        <f>0</f>
        <v>0</v>
      </c>
      <c r="E1906">
        <f>680077881/10^6</f>
        <v>680.07788100000005</v>
      </c>
      <c r="F1906">
        <f>0</f>
        <v>0</v>
      </c>
      <c r="G1906">
        <f>231273514/10^6</f>
        <v>231.27351400000001</v>
      </c>
      <c r="H1906">
        <f>0</f>
        <v>0</v>
      </c>
      <c r="I1906">
        <f>-42671711/10^6</f>
        <v>-42.671711000000002</v>
      </c>
      <c r="J1906">
        <f>0</f>
        <v>0</v>
      </c>
    </row>
    <row r="1907" spans="1:10" x14ac:dyDescent="0.25">
      <c r="A1907" t="s">
        <v>1916</v>
      </c>
      <c r="B1907" t="s">
        <v>11</v>
      </c>
      <c r="C1907">
        <v>116.3636875</v>
      </c>
      <c r="D1907">
        <f>0</f>
        <v>0</v>
      </c>
      <c r="E1907">
        <f>677797668/10^6</f>
        <v>677.79766800000004</v>
      </c>
      <c r="F1907">
        <f>0</f>
        <v>0</v>
      </c>
      <c r="G1907">
        <f>231381683/10^6</f>
        <v>231.38168300000001</v>
      </c>
      <c r="H1907">
        <f>0</f>
        <v>0</v>
      </c>
      <c r="I1907">
        <f>-42537663/10^6</f>
        <v>-42.537663000000002</v>
      </c>
      <c r="J1907">
        <f>0</f>
        <v>0</v>
      </c>
    </row>
    <row r="1908" spans="1:10" x14ac:dyDescent="0.25">
      <c r="A1908" t="s">
        <v>1917</v>
      </c>
      <c r="B1908" t="s">
        <v>11</v>
      </c>
      <c r="C1908">
        <v>116.89305468800001</v>
      </c>
      <c r="D1908">
        <f>0</f>
        <v>0</v>
      </c>
      <c r="E1908">
        <f>674666565/10^6</f>
        <v>674.66656499999999</v>
      </c>
      <c r="F1908">
        <f>0</f>
        <v>0</v>
      </c>
      <c r="G1908">
        <f>231447647/10^6</f>
        <v>231.44764699999999</v>
      </c>
      <c r="H1908">
        <f>0</f>
        <v>0</v>
      </c>
      <c r="I1908">
        <f>-42177811/10^6</f>
        <v>-42.177810999999998</v>
      </c>
      <c r="J1908">
        <f>0</f>
        <v>0</v>
      </c>
    </row>
    <row r="1909" spans="1:10" x14ac:dyDescent="0.25">
      <c r="A1909" t="s">
        <v>1918</v>
      </c>
      <c r="B1909" t="s">
        <v>11</v>
      </c>
      <c r="C1909">
        <v>117.49259375</v>
      </c>
      <c r="D1909">
        <f>0</f>
        <v>0</v>
      </c>
      <c r="E1909">
        <f>671232056/10^6</f>
        <v>671.23205599999994</v>
      </c>
      <c r="F1909">
        <f>0</f>
        <v>0</v>
      </c>
      <c r="G1909">
        <f>231532745/10^6</f>
        <v>231.53274500000001</v>
      </c>
      <c r="H1909">
        <f>0</f>
        <v>0</v>
      </c>
      <c r="I1909">
        <f>-41903778/10^6</f>
        <v>-41.903778000000003</v>
      </c>
      <c r="J1909">
        <f>0</f>
        <v>0</v>
      </c>
    </row>
    <row r="1910" spans="1:10" x14ac:dyDescent="0.25">
      <c r="A1910" t="s">
        <v>1919</v>
      </c>
      <c r="B1910" t="s">
        <v>11</v>
      </c>
      <c r="C1910">
        <v>118.163484375</v>
      </c>
      <c r="D1910">
        <f>0</f>
        <v>0</v>
      </c>
      <c r="E1910">
        <f>667408203/10^6</f>
        <v>667.40820299999996</v>
      </c>
      <c r="F1910">
        <f>0</f>
        <v>0</v>
      </c>
      <c r="G1910">
        <f>23162912/10^5</f>
        <v>231.62912</v>
      </c>
      <c r="H1910">
        <f>0</f>
        <v>0</v>
      </c>
      <c r="I1910">
        <f>-41480492/10^6</f>
        <v>-41.480491999999998</v>
      </c>
      <c r="J1910">
        <f>0</f>
        <v>0</v>
      </c>
    </row>
    <row r="1911" spans="1:10" x14ac:dyDescent="0.25">
      <c r="A1911" t="s">
        <v>1920</v>
      </c>
      <c r="B1911" t="s">
        <v>11</v>
      </c>
      <c r="C1911">
        <v>118.918539063</v>
      </c>
      <c r="D1911">
        <f>0</f>
        <v>0</v>
      </c>
      <c r="E1911">
        <f>663087036/10^6</f>
        <v>663.08703600000001</v>
      </c>
      <c r="F1911">
        <f>0</f>
        <v>0</v>
      </c>
      <c r="G1911">
        <f>231723572/10^6</f>
        <v>231.72357199999999</v>
      </c>
      <c r="H1911">
        <f>0</f>
        <v>0</v>
      </c>
      <c r="I1911">
        <f>-40930801/10^6</f>
        <v>-40.930801000000002</v>
      </c>
      <c r="J1911">
        <f>0</f>
        <v>0</v>
      </c>
    </row>
    <row r="1912" spans="1:10" x14ac:dyDescent="0.25">
      <c r="A1912" t="s">
        <v>1921</v>
      </c>
      <c r="B1912" t="s">
        <v>11</v>
      </c>
      <c r="C1912">
        <v>119.745476563</v>
      </c>
      <c r="D1912">
        <f>0</f>
        <v>0</v>
      </c>
      <c r="E1912">
        <f>65848645/10^5</f>
        <v>658.48644999999999</v>
      </c>
      <c r="F1912">
        <f>0</f>
        <v>0</v>
      </c>
      <c r="G1912">
        <f>231807693/10^6</f>
        <v>231.807693</v>
      </c>
      <c r="H1912">
        <f>0</f>
        <v>0</v>
      </c>
      <c r="I1912">
        <f>-40576477/10^6</f>
        <v>-40.576476999999997</v>
      </c>
      <c r="J1912">
        <f>0</f>
        <v>0</v>
      </c>
    </row>
    <row r="1913" spans="1:10" x14ac:dyDescent="0.25">
      <c r="A1913" t="s">
        <v>1922</v>
      </c>
      <c r="B1913" t="s">
        <v>11</v>
      </c>
      <c r="C1913">
        <v>120.61027343800001</v>
      </c>
      <c r="D1913">
        <f>0</f>
        <v>0</v>
      </c>
      <c r="E1913">
        <f>653468384/10^6</f>
        <v>653.46838400000001</v>
      </c>
      <c r="F1913">
        <f>0</f>
        <v>0</v>
      </c>
      <c r="G1913">
        <f>231853699/10^6</f>
        <v>231.85369900000001</v>
      </c>
      <c r="H1913">
        <f>0</f>
        <v>0</v>
      </c>
      <c r="I1913">
        <f>-40086517/10^6</f>
        <v>-40.086517000000001</v>
      </c>
      <c r="J1913">
        <f>0</f>
        <v>0</v>
      </c>
    </row>
    <row r="1914" spans="1:10" x14ac:dyDescent="0.25">
      <c r="A1914" t="s">
        <v>1923</v>
      </c>
      <c r="B1914" t="s">
        <v>11</v>
      </c>
      <c r="C1914">
        <v>121.396945313</v>
      </c>
      <c r="D1914">
        <f>0</f>
        <v>0</v>
      </c>
      <c r="E1914">
        <f>648848083/10^6</f>
        <v>648.84808299999997</v>
      </c>
      <c r="F1914">
        <f>0</f>
        <v>0</v>
      </c>
      <c r="G1914">
        <f>23189183/10^5</f>
        <v>231.89183</v>
      </c>
      <c r="H1914">
        <f>0</f>
        <v>0</v>
      </c>
      <c r="I1914">
        <f>-39359375/10^6</f>
        <v>-39.359375</v>
      </c>
      <c r="J1914">
        <f>0</f>
        <v>0</v>
      </c>
    </row>
    <row r="1915" spans="1:10" x14ac:dyDescent="0.25">
      <c r="A1915" t="s">
        <v>1924</v>
      </c>
      <c r="B1915" t="s">
        <v>11</v>
      </c>
      <c r="C1915">
        <v>121.95584375</v>
      </c>
      <c r="D1915">
        <f>0</f>
        <v>0</v>
      </c>
      <c r="E1915">
        <f>645650024/10^6</f>
        <v>645.65002400000003</v>
      </c>
      <c r="F1915">
        <f>0</f>
        <v>0</v>
      </c>
      <c r="G1915">
        <f>231935425/10^6</f>
        <v>231.93542500000001</v>
      </c>
      <c r="H1915">
        <f>0</f>
        <v>0</v>
      </c>
      <c r="I1915">
        <f>-38719456/10^6</f>
        <v>-38.719456000000001</v>
      </c>
      <c r="J1915">
        <f>0</f>
        <v>0</v>
      </c>
    </row>
    <row r="1916" spans="1:10" x14ac:dyDescent="0.25">
      <c r="A1916" t="s">
        <v>1925</v>
      </c>
      <c r="B1916" t="s">
        <v>11</v>
      </c>
      <c r="C1916">
        <v>122.26614062500001</v>
      </c>
      <c r="D1916">
        <f>0</f>
        <v>0</v>
      </c>
      <c r="E1916">
        <f>643978577/10^6</f>
        <v>643.97857699999997</v>
      </c>
      <c r="F1916">
        <f>0</f>
        <v>0</v>
      </c>
      <c r="G1916">
        <f>231975677/10^6</f>
        <v>231.97567699999999</v>
      </c>
      <c r="H1916">
        <f>0</f>
        <v>0</v>
      </c>
      <c r="I1916">
        <f>-38638058/10^6</f>
        <v>-38.638058000000001</v>
      </c>
      <c r="J1916">
        <f>0</f>
        <v>0</v>
      </c>
    </row>
    <row r="1917" spans="1:10" x14ac:dyDescent="0.25">
      <c r="A1917" t="s">
        <v>1926</v>
      </c>
      <c r="B1917" t="s">
        <v>11</v>
      </c>
      <c r="C1917">
        <v>122.461304688</v>
      </c>
      <c r="D1917">
        <f>0</f>
        <v>0</v>
      </c>
      <c r="E1917">
        <f>643127747/10^6</f>
        <v>643.127747</v>
      </c>
      <c r="F1917">
        <f>0</f>
        <v>0</v>
      </c>
      <c r="G1917">
        <f>232031952/10^6</f>
        <v>232.03195199999999</v>
      </c>
      <c r="H1917">
        <f>0</f>
        <v>0</v>
      </c>
      <c r="I1917">
        <f>-38773224/10^6</f>
        <v>-38.773223999999999</v>
      </c>
      <c r="J1917">
        <f>0</f>
        <v>0</v>
      </c>
    </row>
    <row r="1918" spans="1:10" x14ac:dyDescent="0.25">
      <c r="A1918" t="s">
        <v>1927</v>
      </c>
      <c r="B1918" t="s">
        <v>11</v>
      </c>
      <c r="C1918">
        <v>122.599703125</v>
      </c>
      <c r="D1918">
        <f>0</f>
        <v>0</v>
      </c>
      <c r="E1918">
        <f>642447205/10^6</f>
        <v>642.44720500000005</v>
      </c>
      <c r="F1918">
        <f>0</f>
        <v>0</v>
      </c>
      <c r="G1918">
        <f>232088806/10^6</f>
        <v>232.08880600000001</v>
      </c>
      <c r="H1918">
        <f>0</f>
        <v>0</v>
      </c>
      <c r="I1918">
        <f>-38566418/10^6</f>
        <v>-38.566417999999999</v>
      </c>
      <c r="J1918">
        <f>0</f>
        <v>0</v>
      </c>
    </row>
    <row r="1919" spans="1:10" x14ac:dyDescent="0.25">
      <c r="A1919" t="s">
        <v>1928</v>
      </c>
      <c r="B1919" t="s">
        <v>11</v>
      </c>
      <c r="C1919">
        <v>122.632953125</v>
      </c>
      <c r="D1919">
        <f>0</f>
        <v>0</v>
      </c>
      <c r="E1919">
        <f>642324585/10^6</f>
        <v>642.32458499999996</v>
      </c>
      <c r="F1919">
        <f>0</f>
        <v>0</v>
      </c>
      <c r="G1919">
        <f>23213559/10^5</f>
        <v>232.13559000000001</v>
      </c>
      <c r="H1919">
        <f>0</f>
        <v>0</v>
      </c>
      <c r="I1919">
        <f>-38480091/10^6</f>
        <v>-38.480091000000002</v>
      </c>
      <c r="J1919">
        <f>0</f>
        <v>0</v>
      </c>
    </row>
    <row r="1920" spans="1:10" x14ac:dyDescent="0.25">
      <c r="A1920" t="s">
        <v>1929</v>
      </c>
      <c r="B1920" t="s">
        <v>11</v>
      </c>
      <c r="C1920">
        <v>0</v>
      </c>
      <c r="D1920">
        <f>2</f>
        <v>2</v>
      </c>
      <c r="F1920">
        <f>2</f>
        <v>2</v>
      </c>
      <c r="H1920">
        <f>2</f>
        <v>2</v>
      </c>
      <c r="J1920">
        <f>2</f>
        <v>2</v>
      </c>
    </row>
    <row r="1921" spans="1:10" x14ac:dyDescent="0.25">
      <c r="A1921" t="s">
        <v>1930</v>
      </c>
      <c r="B1921" t="s">
        <v>11</v>
      </c>
      <c r="C1921">
        <v>0</v>
      </c>
      <c r="D1921">
        <f>2</f>
        <v>2</v>
      </c>
      <c r="F1921">
        <f>2</f>
        <v>2</v>
      </c>
      <c r="H1921">
        <f>2</f>
        <v>2</v>
      </c>
      <c r="J1921">
        <f>2</f>
        <v>2</v>
      </c>
    </row>
    <row r="1922" spans="1:10" x14ac:dyDescent="0.25">
      <c r="A1922" t="s">
        <v>1931</v>
      </c>
      <c r="B1922" t="s">
        <v>11</v>
      </c>
      <c r="C1922">
        <v>122.372945313</v>
      </c>
      <c r="D1922">
        <f>0</f>
        <v>0</v>
      </c>
      <c r="E1922">
        <f>644144775/10^6</f>
        <v>644.14477499999998</v>
      </c>
      <c r="F1922">
        <f>0</f>
        <v>0</v>
      </c>
      <c r="G1922">
        <f>232204773/10^6</f>
        <v>232.20477299999999</v>
      </c>
      <c r="H1922">
        <f>0</f>
        <v>0</v>
      </c>
      <c r="I1922">
        <f>-38655743/10^6</f>
        <v>-38.655743000000001</v>
      </c>
      <c r="J1922">
        <f>0</f>
        <v>0</v>
      </c>
    </row>
    <row r="1923" spans="1:10" x14ac:dyDescent="0.25">
      <c r="A1923" t="s">
        <v>1932</v>
      </c>
      <c r="B1923" t="s">
        <v>11</v>
      </c>
      <c r="C1923">
        <v>122.229445313</v>
      </c>
      <c r="D1923">
        <f>0</f>
        <v>0</v>
      </c>
      <c r="E1923">
        <f>644910645/10^6</f>
        <v>644.91064500000005</v>
      </c>
      <c r="F1923">
        <f>0</f>
        <v>0</v>
      </c>
      <c r="G1923">
        <f>232202682/10^6</f>
        <v>232.20268200000001</v>
      </c>
      <c r="H1923">
        <f>0</f>
        <v>0</v>
      </c>
      <c r="I1923">
        <f>-38595959/10^6</f>
        <v>-38.595959000000001</v>
      </c>
      <c r="J1923">
        <f>0</f>
        <v>0</v>
      </c>
    </row>
    <row r="1924" spans="1:10" x14ac:dyDescent="0.25">
      <c r="A1924" t="s">
        <v>1933</v>
      </c>
      <c r="B1924" t="s">
        <v>11</v>
      </c>
      <c r="C1924">
        <v>122.05007031300001</v>
      </c>
      <c r="D1924">
        <f>0</f>
        <v>0</v>
      </c>
      <c r="E1924">
        <f>645777771/10^6</f>
        <v>645.77777100000003</v>
      </c>
      <c r="F1924">
        <f>0</f>
        <v>0</v>
      </c>
      <c r="G1924">
        <f>232182373/10^6</f>
        <v>232.18237300000001</v>
      </c>
      <c r="H1924">
        <f>0</f>
        <v>0</v>
      </c>
      <c r="I1924">
        <f>-38490559/10^6</f>
        <v>-38.490558999999998</v>
      </c>
      <c r="J1924">
        <f>0</f>
        <v>0</v>
      </c>
    </row>
    <row r="1925" spans="1:10" x14ac:dyDescent="0.25">
      <c r="A1925" t="s">
        <v>1934</v>
      </c>
      <c r="B1925" t="s">
        <v>11</v>
      </c>
      <c r="C1925">
        <v>121.84396093800001</v>
      </c>
      <c r="D1925">
        <f>0</f>
        <v>0</v>
      </c>
      <c r="E1925">
        <f>646993469/10^6</f>
        <v>646.993469</v>
      </c>
      <c r="F1925">
        <f>0</f>
        <v>0</v>
      </c>
      <c r="G1925">
        <f>232158951/10^6</f>
        <v>232.158951</v>
      </c>
      <c r="H1925">
        <f>0</f>
        <v>0</v>
      </c>
      <c r="I1925">
        <f>-3868364/10^5</f>
        <v>-38.683639999999997</v>
      </c>
      <c r="J1925">
        <f>0</f>
        <v>0</v>
      </c>
    </row>
    <row r="1926" spans="1:10" x14ac:dyDescent="0.25">
      <c r="A1926" t="s">
        <v>1935</v>
      </c>
      <c r="B1926" t="s">
        <v>11</v>
      </c>
      <c r="C1926">
        <v>121.63390625</v>
      </c>
      <c r="D1926">
        <f>0</f>
        <v>0</v>
      </c>
      <c r="E1926">
        <f>648213318/10^6</f>
        <v>648.21331799999996</v>
      </c>
      <c r="F1926">
        <f>0</f>
        <v>0</v>
      </c>
      <c r="G1926">
        <f>232133408/10^6</f>
        <v>232.133408</v>
      </c>
      <c r="H1926">
        <f>0</f>
        <v>0</v>
      </c>
      <c r="I1926">
        <f>-38888046/10^6</f>
        <v>-38.888046000000003</v>
      </c>
      <c r="J1926">
        <f>0</f>
        <v>0</v>
      </c>
    </row>
    <row r="1927" spans="1:10" x14ac:dyDescent="0.25">
      <c r="A1927" t="s">
        <v>1936</v>
      </c>
      <c r="B1927" t="s">
        <v>11</v>
      </c>
      <c r="C1927">
        <v>121.41050781300001</v>
      </c>
      <c r="D1927">
        <f>0</f>
        <v>0</v>
      </c>
      <c r="E1927">
        <f>649253845/10^6</f>
        <v>649.25384499999996</v>
      </c>
      <c r="F1927">
        <f>0</f>
        <v>0</v>
      </c>
      <c r="G1927">
        <f>232094879/10^6</f>
        <v>232.09487899999999</v>
      </c>
      <c r="H1927">
        <f>0</f>
        <v>0</v>
      </c>
      <c r="I1927">
        <f>-38821095/10^6</f>
        <v>-38.821095</v>
      </c>
      <c r="J1927">
        <f>0</f>
        <v>0</v>
      </c>
    </row>
    <row r="1928" spans="1:10" x14ac:dyDescent="0.25">
      <c r="A1928" t="s">
        <v>1937</v>
      </c>
      <c r="B1928" t="s">
        <v>11</v>
      </c>
      <c r="C1928">
        <v>121.144132813</v>
      </c>
      <c r="D1928">
        <f>0</f>
        <v>0</v>
      </c>
      <c r="E1928">
        <f>650675842/10^6</f>
        <v>650.67584199999999</v>
      </c>
      <c r="F1928">
        <f>0</f>
        <v>0</v>
      </c>
      <c r="G1928">
        <f>232048096/10^6</f>
        <v>232.04809599999999</v>
      </c>
      <c r="H1928">
        <f>0</f>
        <v>0</v>
      </c>
      <c r="I1928">
        <f>-38932781/10^6</f>
        <v>-38.932780999999999</v>
      </c>
      <c r="J1928">
        <f>0</f>
        <v>0</v>
      </c>
    </row>
    <row r="1929" spans="1:10" x14ac:dyDescent="0.25">
      <c r="A1929" t="s">
        <v>1938</v>
      </c>
      <c r="B1929" t="s">
        <v>11</v>
      </c>
      <c r="C1929">
        <v>120.84215625</v>
      </c>
      <c r="D1929">
        <f>0</f>
        <v>0</v>
      </c>
      <c r="E1929">
        <f>652388245/10^6</f>
        <v>652.38824499999998</v>
      </c>
      <c r="F1929">
        <f>0</f>
        <v>0</v>
      </c>
      <c r="G1929">
        <f>231999939/10^6</f>
        <v>231.99993900000001</v>
      </c>
      <c r="H1929">
        <f>0</f>
        <v>0</v>
      </c>
      <c r="I1929">
        <f>-39211674/10^6</f>
        <v>-39.211674000000002</v>
      </c>
      <c r="J1929">
        <f>0</f>
        <v>0</v>
      </c>
    </row>
    <row r="1930" spans="1:10" x14ac:dyDescent="0.25">
      <c r="A1930" t="s">
        <v>1939</v>
      </c>
      <c r="B1930" t="s">
        <v>11</v>
      </c>
      <c r="C1930">
        <v>120.543398438</v>
      </c>
      <c r="D1930">
        <f>0</f>
        <v>0</v>
      </c>
      <c r="E1930">
        <f>65393103/10^5</f>
        <v>653.93102999999996</v>
      </c>
      <c r="F1930">
        <f>0</f>
        <v>0</v>
      </c>
      <c r="G1930">
        <f>231950623/10^6</f>
        <v>231.95062300000001</v>
      </c>
      <c r="H1930">
        <f>0</f>
        <v>0</v>
      </c>
      <c r="I1930">
        <f>-39336174/10^6</f>
        <v>-39.336174</v>
      </c>
      <c r="J1930">
        <f>0</f>
        <v>0</v>
      </c>
    </row>
    <row r="1931" spans="1:10" x14ac:dyDescent="0.25">
      <c r="A1931" t="s">
        <v>1940</v>
      </c>
      <c r="B1931" t="s">
        <v>11</v>
      </c>
      <c r="C1931">
        <v>120.26765625</v>
      </c>
      <c r="D1931">
        <f>0</f>
        <v>0</v>
      </c>
      <c r="E1931">
        <f>655361328/10^6</f>
        <v>655.36132799999996</v>
      </c>
      <c r="F1931">
        <f>0</f>
        <v>0</v>
      </c>
      <c r="G1931">
        <f>23190155/10^5</f>
        <v>231.90154999999999</v>
      </c>
      <c r="H1931">
        <f>0</f>
        <v>0</v>
      </c>
      <c r="I1931">
        <f>-39283321/10^6</f>
        <v>-39.283321000000001</v>
      </c>
      <c r="J1931">
        <f>0</f>
        <v>0</v>
      </c>
    </row>
    <row r="1932" spans="1:10" x14ac:dyDescent="0.25">
      <c r="A1932" t="s">
        <v>1941</v>
      </c>
      <c r="B1932" t="s">
        <v>11</v>
      </c>
      <c r="C1932">
        <v>119.985664063</v>
      </c>
      <c r="D1932">
        <f>0</f>
        <v>0</v>
      </c>
      <c r="E1932">
        <f>656839111/10^6</f>
        <v>656.839111</v>
      </c>
      <c r="F1932">
        <f>0</f>
        <v>0</v>
      </c>
      <c r="G1932">
        <f>231850662/10^6</f>
        <v>231.850662</v>
      </c>
      <c r="H1932">
        <f>0</f>
        <v>0</v>
      </c>
      <c r="I1932">
        <f>-39352898/10^6</f>
        <v>-39.352898000000003</v>
      </c>
      <c r="J1932">
        <f>0</f>
        <v>0</v>
      </c>
    </row>
    <row r="1933" spans="1:10" x14ac:dyDescent="0.25">
      <c r="A1933" t="s">
        <v>1942</v>
      </c>
      <c r="B1933" t="s">
        <v>11</v>
      </c>
      <c r="C1933">
        <v>119.69743750000001</v>
      </c>
      <c r="D1933">
        <f>0</f>
        <v>0</v>
      </c>
      <c r="E1933">
        <f>658429016/10^6</f>
        <v>658.42901600000005</v>
      </c>
      <c r="F1933">
        <f>0</f>
        <v>0</v>
      </c>
      <c r="G1933">
        <f>231802811/10^6</f>
        <v>231.80281099999999</v>
      </c>
      <c r="H1933">
        <f>0</f>
        <v>0</v>
      </c>
      <c r="I1933">
        <f>-39682758/10^6</f>
        <v>-39.682758</v>
      </c>
      <c r="J1933">
        <f>0</f>
        <v>0</v>
      </c>
    </row>
    <row r="1934" spans="1:10" x14ac:dyDescent="0.25">
      <c r="A1934" t="s">
        <v>1943</v>
      </c>
      <c r="B1934" t="s">
        <v>11</v>
      </c>
      <c r="C1934">
        <v>119.453203125</v>
      </c>
      <c r="D1934">
        <f>0</f>
        <v>0</v>
      </c>
      <c r="E1934">
        <f>659871155/10^6</f>
        <v>659.87115500000004</v>
      </c>
      <c r="F1934">
        <f>0</f>
        <v>0</v>
      </c>
      <c r="G1934">
        <f>23176062/10^5</f>
        <v>231.76061999999999</v>
      </c>
      <c r="H1934">
        <f>0</f>
        <v>0</v>
      </c>
      <c r="I1934">
        <f>-39961544/10^6</f>
        <v>-39.961544000000004</v>
      </c>
      <c r="J1934">
        <f>0</f>
        <v>0</v>
      </c>
    </row>
    <row r="1935" spans="1:10" x14ac:dyDescent="0.25">
      <c r="A1935" t="s">
        <v>1944</v>
      </c>
      <c r="B1935" t="s">
        <v>11</v>
      </c>
      <c r="C1935">
        <v>119.247882813</v>
      </c>
      <c r="D1935">
        <f>0</f>
        <v>0</v>
      </c>
      <c r="E1935">
        <f>66100824/10^5</f>
        <v>661.00824</v>
      </c>
      <c r="F1935">
        <f>0</f>
        <v>0</v>
      </c>
      <c r="G1935">
        <f>231724594/10^6</f>
        <v>231.724594</v>
      </c>
      <c r="H1935">
        <f>0</f>
        <v>0</v>
      </c>
      <c r="I1935">
        <f>-40069897/10^6</f>
        <v>-40.069896999999997</v>
      </c>
      <c r="J1935">
        <f>0</f>
        <v>0</v>
      </c>
    </row>
    <row r="1936" spans="1:10" x14ac:dyDescent="0.25">
      <c r="A1936" t="s">
        <v>1945</v>
      </c>
      <c r="B1936" t="s">
        <v>11</v>
      </c>
      <c r="C1936">
        <v>119.0648125</v>
      </c>
      <c r="D1936">
        <f>0</f>
        <v>0</v>
      </c>
      <c r="E1936">
        <f>661972778/10^6</f>
        <v>661.97277799999995</v>
      </c>
      <c r="F1936">
        <f>0</f>
        <v>0</v>
      </c>
      <c r="G1936">
        <f>231696564/10^6</f>
        <v>231.696564</v>
      </c>
      <c r="H1936">
        <f>0</f>
        <v>0</v>
      </c>
      <c r="I1936">
        <f>-4016383/10^5</f>
        <v>-40.163829999999997</v>
      </c>
      <c r="J1936">
        <f>0</f>
        <v>0</v>
      </c>
    </row>
    <row r="1937" spans="1:10" x14ac:dyDescent="0.25">
      <c r="A1937" t="s">
        <v>1946</v>
      </c>
      <c r="B1937" t="s">
        <v>11</v>
      </c>
      <c r="C1937">
        <v>118.89285156300001</v>
      </c>
      <c r="D1937">
        <f>0</f>
        <v>0</v>
      </c>
      <c r="E1937">
        <f>662916565/10^6</f>
        <v>662.91656499999999</v>
      </c>
      <c r="F1937">
        <f>0</f>
        <v>0</v>
      </c>
      <c r="G1937">
        <f>231662689/10^6</f>
        <v>231.662689</v>
      </c>
      <c r="H1937">
        <f>0</f>
        <v>0</v>
      </c>
      <c r="I1937">
        <f>-40396271/10^6</f>
        <v>-40.396270999999999</v>
      </c>
      <c r="J1937">
        <f>0</f>
        <v>0</v>
      </c>
    </row>
    <row r="1938" spans="1:10" x14ac:dyDescent="0.25">
      <c r="A1938" t="s">
        <v>1947</v>
      </c>
      <c r="B1938" t="s">
        <v>11</v>
      </c>
      <c r="C1938">
        <v>118.748210938</v>
      </c>
      <c r="D1938">
        <f>0</f>
        <v>0</v>
      </c>
      <c r="E1938">
        <f>663645813/10^6</f>
        <v>663.64581299999998</v>
      </c>
      <c r="F1938">
        <f>0</f>
        <v>0</v>
      </c>
      <c r="G1938">
        <f>231634369/10^6</f>
        <v>231.63436899999999</v>
      </c>
      <c r="H1938">
        <f>0</f>
        <v>0</v>
      </c>
      <c r="I1938">
        <f>-40424648/10^6</f>
        <v>-40.424647999999998</v>
      </c>
      <c r="J1938">
        <f>0</f>
        <v>0</v>
      </c>
    </row>
    <row r="1939" spans="1:10" x14ac:dyDescent="0.25">
      <c r="A1939" t="s">
        <v>1948</v>
      </c>
      <c r="B1939" t="s">
        <v>11</v>
      </c>
      <c r="C1939">
        <v>118.644835938</v>
      </c>
      <c r="D1939">
        <f>0</f>
        <v>0</v>
      </c>
      <c r="E1939">
        <f>664240051/10^6</f>
        <v>664.24005099999999</v>
      </c>
      <c r="F1939">
        <f>0</f>
        <v>0</v>
      </c>
      <c r="G1939">
        <f>231623993/10^6</f>
        <v>231.62399300000001</v>
      </c>
      <c r="H1939">
        <f>0</f>
        <v>0</v>
      </c>
      <c r="I1939">
        <f>-40386906/10^6</f>
        <v>-40.386906000000003</v>
      </c>
      <c r="J1939">
        <f>0</f>
        <v>0</v>
      </c>
    </row>
    <row r="1940" spans="1:10" x14ac:dyDescent="0.25">
      <c r="A1940" t="s">
        <v>1949</v>
      </c>
      <c r="B1940" t="s">
        <v>11</v>
      </c>
      <c r="C1940">
        <v>118.565375</v>
      </c>
      <c r="D1940">
        <f>0</f>
        <v>0</v>
      </c>
      <c r="E1940">
        <f>664793823/10^6</f>
        <v>664.79382299999997</v>
      </c>
      <c r="F1940">
        <f>0</f>
        <v>0</v>
      </c>
      <c r="G1940">
        <f>231626221/10^6</f>
        <v>231.62622099999999</v>
      </c>
      <c r="H1940">
        <f>0</f>
        <v>0</v>
      </c>
      <c r="I1940">
        <f>-40555782/10^6</f>
        <v>-40.555782000000001</v>
      </c>
      <c r="J1940">
        <f>0</f>
        <v>0</v>
      </c>
    </row>
    <row r="1941" spans="1:10" x14ac:dyDescent="0.25">
      <c r="A1941" t="s">
        <v>1950</v>
      </c>
      <c r="B1941" t="s">
        <v>11</v>
      </c>
      <c r="C1941">
        <v>118.539125</v>
      </c>
      <c r="D1941">
        <f>0</f>
        <v>0</v>
      </c>
      <c r="E1941">
        <f>664952637/10^6</f>
        <v>664.95263699999998</v>
      </c>
      <c r="F1941">
        <f>0</f>
        <v>0</v>
      </c>
      <c r="G1941">
        <f>231643906/10^6</f>
        <v>231.64390599999999</v>
      </c>
      <c r="H1941">
        <f>0</f>
        <v>0</v>
      </c>
      <c r="I1941">
        <f>-40544754/10^6</f>
        <v>-40.544753999999998</v>
      </c>
      <c r="J1941">
        <f>0</f>
        <v>0</v>
      </c>
    </row>
    <row r="1942" spans="1:10" x14ac:dyDescent="0.25">
      <c r="A1942" t="s">
        <v>1951</v>
      </c>
      <c r="B1942" t="s">
        <v>11</v>
      </c>
      <c r="C1942">
        <v>118.55759375</v>
      </c>
      <c r="D1942">
        <f>0</f>
        <v>0</v>
      </c>
      <c r="E1942">
        <f>664937805/10^6</f>
        <v>664.93780500000003</v>
      </c>
      <c r="F1942">
        <f>0</f>
        <v>0</v>
      </c>
      <c r="G1942">
        <f>231668793/10^6</f>
        <v>231.66879299999999</v>
      </c>
      <c r="H1942">
        <f>0</f>
        <v>0</v>
      </c>
      <c r="I1942">
        <f>-40568886/10^6</f>
        <v>-40.568885999999999</v>
      </c>
      <c r="J1942">
        <f>0</f>
        <v>0</v>
      </c>
    </row>
    <row r="1943" spans="1:10" x14ac:dyDescent="0.25">
      <c r="A1943" t="s">
        <v>1952</v>
      </c>
      <c r="B1943" t="s">
        <v>11</v>
      </c>
      <c r="C1943">
        <v>118.56939843800001</v>
      </c>
      <c r="D1943">
        <f>0</f>
        <v>0</v>
      </c>
      <c r="E1943">
        <f>664929321/10^6</f>
        <v>664.92932099999996</v>
      </c>
      <c r="F1943">
        <f>0</f>
        <v>0</v>
      </c>
      <c r="G1943">
        <f>23168428/10^5</f>
        <v>231.68428</v>
      </c>
      <c r="H1943">
        <f>0</f>
        <v>0</v>
      </c>
      <c r="I1943">
        <f>-40653858/10^6</f>
        <v>-40.653858</v>
      </c>
      <c r="J1943">
        <f>0</f>
        <v>0</v>
      </c>
    </row>
    <row r="1944" spans="1:10" x14ac:dyDescent="0.25">
      <c r="A1944" t="s">
        <v>1953</v>
      </c>
      <c r="B1944" t="s">
        <v>11</v>
      </c>
      <c r="C1944">
        <v>118.55940624999999</v>
      </c>
      <c r="D1944">
        <f>0</f>
        <v>0</v>
      </c>
      <c r="E1944">
        <f>664938721/10^6</f>
        <v>664.93872099999999</v>
      </c>
      <c r="F1944">
        <f>0</f>
        <v>0</v>
      </c>
      <c r="G1944">
        <f>231683716/10^6</f>
        <v>231.683716</v>
      </c>
      <c r="H1944">
        <f>0</f>
        <v>0</v>
      </c>
      <c r="I1944">
        <f>-40542625/10^6</f>
        <v>-40.542625000000001</v>
      </c>
      <c r="J1944">
        <f>0</f>
        <v>0</v>
      </c>
    </row>
    <row r="1945" spans="1:10" x14ac:dyDescent="0.25">
      <c r="A1945" t="s">
        <v>1954</v>
      </c>
      <c r="B1945" t="s">
        <v>11</v>
      </c>
      <c r="C1945">
        <v>118.527367188</v>
      </c>
      <c r="D1945">
        <f>0</f>
        <v>0</v>
      </c>
      <c r="E1945">
        <f>665225159/10^6</f>
        <v>665.22515899999996</v>
      </c>
      <c r="F1945">
        <f>0</f>
        <v>0</v>
      </c>
      <c r="G1945">
        <f>231694519/10^6</f>
        <v>231.69451900000001</v>
      </c>
      <c r="H1945">
        <f>0</f>
        <v>0</v>
      </c>
      <c r="I1945">
        <f>-40720364/10^6</f>
        <v>-40.720363999999996</v>
      </c>
      <c r="J1945">
        <f>0</f>
        <v>0</v>
      </c>
    </row>
    <row r="1946" spans="1:10" x14ac:dyDescent="0.25">
      <c r="A1946" t="s">
        <v>1955</v>
      </c>
      <c r="B1946" t="s">
        <v>11</v>
      </c>
      <c r="C1946">
        <v>118.50582812499999</v>
      </c>
      <c r="D1946">
        <f>0</f>
        <v>0</v>
      </c>
      <c r="E1946">
        <f>665405823/10^6</f>
        <v>665.40582300000005</v>
      </c>
      <c r="F1946">
        <f>0</f>
        <v>0</v>
      </c>
      <c r="G1946">
        <f>231716309/10^6</f>
        <v>231.716309</v>
      </c>
      <c r="H1946">
        <f>0</f>
        <v>0</v>
      </c>
      <c r="I1946">
        <f>-40832073/10^6</f>
        <v>-40.832073000000001</v>
      </c>
      <c r="J1946">
        <f>0</f>
        <v>0</v>
      </c>
    </row>
    <row r="1947" spans="1:10" x14ac:dyDescent="0.25">
      <c r="A1947" t="s">
        <v>1956</v>
      </c>
      <c r="B1947" t="s">
        <v>11</v>
      </c>
      <c r="C1947">
        <v>118.519226563</v>
      </c>
      <c r="D1947">
        <f>0</f>
        <v>0</v>
      </c>
      <c r="E1947">
        <f>665320374/10^6</f>
        <v>665.32037400000002</v>
      </c>
      <c r="F1947">
        <f>0</f>
        <v>0</v>
      </c>
      <c r="G1947">
        <f>231725967/10^6</f>
        <v>231.725967</v>
      </c>
      <c r="H1947">
        <f>0</f>
        <v>0</v>
      </c>
      <c r="I1947">
        <f>-40655727/10^6</f>
        <v>-40.655726999999999</v>
      </c>
      <c r="J1947">
        <f>0</f>
        <v>0</v>
      </c>
    </row>
    <row r="1948" spans="1:10" x14ac:dyDescent="0.25">
      <c r="A1948" t="s">
        <v>1957</v>
      </c>
      <c r="B1948" t="s">
        <v>11</v>
      </c>
      <c r="C1948">
        <v>118.5485625</v>
      </c>
      <c r="D1948">
        <f>0</f>
        <v>0</v>
      </c>
      <c r="E1948">
        <f>665147705/10^6</f>
        <v>665.14770499999997</v>
      </c>
      <c r="F1948">
        <f>0</f>
        <v>0</v>
      </c>
      <c r="G1948">
        <f>231737045/10^6</f>
        <v>231.73704499999999</v>
      </c>
      <c r="H1948">
        <f>0</f>
        <v>0</v>
      </c>
      <c r="I1948">
        <f>-4052021/10^5</f>
        <v>-40.520209999999999</v>
      </c>
      <c r="J1948">
        <f>0</f>
        <v>0</v>
      </c>
    </row>
    <row r="1949" spans="1:10" x14ac:dyDescent="0.25">
      <c r="A1949" t="s">
        <v>1958</v>
      </c>
      <c r="B1949" t="s">
        <v>11</v>
      </c>
      <c r="C1949">
        <v>0</v>
      </c>
      <c r="D1949">
        <f>2</f>
        <v>2</v>
      </c>
      <c r="F1949">
        <f>2</f>
        <v>2</v>
      </c>
      <c r="H1949">
        <f>2</f>
        <v>2</v>
      </c>
      <c r="J1949">
        <f>2</f>
        <v>2</v>
      </c>
    </row>
    <row r="1950" spans="1:10" x14ac:dyDescent="0.25">
      <c r="A1950" t="s">
        <v>1959</v>
      </c>
      <c r="B1950" t="s">
        <v>11</v>
      </c>
      <c r="C1950">
        <v>118.61345312500001</v>
      </c>
      <c r="D1950">
        <f>0</f>
        <v>0</v>
      </c>
      <c r="E1950">
        <f>664980957/10^6</f>
        <v>664.98095699999999</v>
      </c>
      <c r="F1950">
        <f>0</f>
        <v>0</v>
      </c>
      <c r="G1950">
        <f>231775131/10^6</f>
        <v>231.77513099999999</v>
      </c>
      <c r="H1950">
        <f>0</f>
        <v>0</v>
      </c>
      <c r="I1950">
        <f>-4065052/10^5</f>
        <v>-40.65052</v>
      </c>
      <c r="J1950">
        <f>0</f>
        <v>0</v>
      </c>
    </row>
    <row r="1951" spans="1:10" x14ac:dyDescent="0.25">
      <c r="A1951" t="s">
        <v>1960</v>
      </c>
      <c r="B1951" t="s">
        <v>11</v>
      </c>
      <c r="C1951">
        <v>118.65259374999999</v>
      </c>
      <c r="D1951">
        <f>0</f>
        <v>0</v>
      </c>
      <c r="E1951">
        <f>664741821/10^6</f>
        <v>664.74182099999996</v>
      </c>
      <c r="F1951">
        <f>0</f>
        <v>0</v>
      </c>
      <c r="G1951">
        <f>231770157/10^6</f>
        <v>231.77015700000001</v>
      </c>
      <c r="H1951">
        <f>0</f>
        <v>0</v>
      </c>
      <c r="I1951">
        <f>-40653728/10^6</f>
        <v>-40.653728000000001</v>
      </c>
      <c r="J1951">
        <f>0</f>
        <v>0</v>
      </c>
    </row>
    <row r="1952" spans="1:10" x14ac:dyDescent="0.25">
      <c r="A1952" t="s">
        <v>1961</v>
      </c>
      <c r="B1952" t="s">
        <v>11</v>
      </c>
      <c r="C1952">
        <v>118.67065624999999</v>
      </c>
      <c r="D1952">
        <f>0</f>
        <v>0</v>
      </c>
      <c r="E1952">
        <f>664495056/10^6</f>
        <v>664.49505599999998</v>
      </c>
      <c r="F1952">
        <f>0</f>
        <v>0</v>
      </c>
      <c r="G1952">
        <f>231768921/10^6</f>
        <v>231.76892100000001</v>
      </c>
      <c r="H1952">
        <f>0</f>
        <v>0</v>
      </c>
      <c r="I1952">
        <f>-40513031/10^6</f>
        <v>-40.513030999999998</v>
      </c>
      <c r="J1952">
        <f>0</f>
        <v>0</v>
      </c>
    </row>
    <row r="1953" spans="1:10" x14ac:dyDescent="0.25">
      <c r="A1953" t="s">
        <v>1962</v>
      </c>
      <c r="B1953" t="s">
        <v>11</v>
      </c>
      <c r="C1953">
        <v>118.65839843800001</v>
      </c>
      <c r="D1953">
        <f>0</f>
        <v>0</v>
      </c>
      <c r="E1953">
        <f>664646423/10^6</f>
        <v>664.64642300000003</v>
      </c>
      <c r="F1953">
        <f>0</f>
        <v>0</v>
      </c>
      <c r="G1953">
        <f>231778793/10^6</f>
        <v>231.77879300000001</v>
      </c>
      <c r="H1953">
        <f>0</f>
        <v>0</v>
      </c>
      <c r="I1953">
        <f>-40544617/10^6</f>
        <v>-40.544617000000002</v>
      </c>
      <c r="J1953">
        <f>0</f>
        <v>0</v>
      </c>
    </row>
    <row r="1954" spans="1:10" x14ac:dyDescent="0.25">
      <c r="A1954" t="s">
        <v>1963</v>
      </c>
      <c r="B1954" t="s">
        <v>11</v>
      </c>
      <c r="C1954">
        <v>118.62034375</v>
      </c>
      <c r="D1954">
        <f>0</f>
        <v>0</v>
      </c>
      <c r="E1954">
        <f>664965393/10^6</f>
        <v>664.96539299999995</v>
      </c>
      <c r="F1954">
        <f>0</f>
        <v>0</v>
      </c>
      <c r="G1954">
        <f>231786133/10^6</f>
        <v>231.78613300000001</v>
      </c>
      <c r="H1954">
        <f>0</f>
        <v>0</v>
      </c>
      <c r="I1954">
        <f>-40645561/10^6</f>
        <v>-40.645561000000001</v>
      </c>
      <c r="J1954">
        <f>0</f>
        <v>0</v>
      </c>
    </row>
    <row r="1955" spans="1:10" x14ac:dyDescent="0.25">
      <c r="A1955" t="s">
        <v>1964</v>
      </c>
      <c r="B1955" t="s">
        <v>11</v>
      </c>
      <c r="C1955">
        <v>118.55503125</v>
      </c>
      <c r="D1955">
        <f>0</f>
        <v>0</v>
      </c>
      <c r="E1955">
        <f>665320496/10^6</f>
        <v>665.32049600000005</v>
      </c>
      <c r="F1955">
        <f>0</f>
        <v>0</v>
      </c>
      <c r="G1955">
        <f>231790085/10^6</f>
        <v>231.790085</v>
      </c>
      <c r="H1955">
        <f>0</f>
        <v>0</v>
      </c>
      <c r="I1955">
        <f>-40691654/10^6</f>
        <v>-40.691654</v>
      </c>
      <c r="J1955">
        <f>0</f>
        <v>0</v>
      </c>
    </row>
    <row r="1956" spans="1:10" x14ac:dyDescent="0.25">
      <c r="A1956" t="s">
        <v>1965</v>
      </c>
      <c r="B1956" t="s">
        <v>11</v>
      </c>
      <c r="C1956">
        <v>118.46559375</v>
      </c>
      <c r="D1956">
        <f>0</f>
        <v>0</v>
      </c>
      <c r="E1956">
        <f>665789551/10^6</f>
        <v>665.78955099999996</v>
      </c>
      <c r="F1956">
        <f>0</f>
        <v>0</v>
      </c>
      <c r="G1956">
        <f>2317733/10^4</f>
        <v>231.77330000000001</v>
      </c>
      <c r="H1956">
        <f>0</f>
        <v>0</v>
      </c>
      <c r="I1956">
        <f>-4068346/10^5</f>
        <v>-40.683459999999997</v>
      </c>
      <c r="J1956">
        <f>0</f>
        <v>0</v>
      </c>
    </row>
    <row r="1957" spans="1:10" x14ac:dyDescent="0.25">
      <c r="A1957" t="s">
        <v>1966</v>
      </c>
      <c r="B1957" t="s">
        <v>11</v>
      </c>
      <c r="C1957">
        <v>0</v>
      </c>
      <c r="D1957">
        <f>2</f>
        <v>2</v>
      </c>
      <c r="F1957">
        <f>2</f>
        <v>2</v>
      </c>
      <c r="H1957">
        <f>2</f>
        <v>2</v>
      </c>
      <c r="J1957">
        <f>2</f>
        <v>2</v>
      </c>
    </row>
    <row r="1958" spans="1:10" x14ac:dyDescent="0.25">
      <c r="A1958" t="s">
        <v>1967</v>
      </c>
      <c r="B1958" t="s">
        <v>11</v>
      </c>
      <c r="C1958">
        <v>118.238804688</v>
      </c>
      <c r="D1958">
        <f>0</f>
        <v>0</v>
      </c>
      <c r="E1958">
        <f>666906982/10^6</f>
        <v>666.90698199999997</v>
      </c>
      <c r="F1958">
        <f>0</f>
        <v>0</v>
      </c>
      <c r="G1958">
        <f>231735382/10^6</f>
        <v>231.73538199999999</v>
      </c>
      <c r="H1958">
        <f>0</f>
        <v>0</v>
      </c>
      <c r="I1958">
        <f>-40631012/10^6</f>
        <v>-40.631011999999998</v>
      </c>
      <c r="J1958">
        <f>0</f>
        <v>0</v>
      </c>
    </row>
    <row r="1959" spans="1:10" x14ac:dyDescent="0.25">
      <c r="A1959" t="s">
        <v>1968</v>
      </c>
      <c r="B1959" t="s">
        <v>11</v>
      </c>
      <c r="C1959">
        <v>118.098539063</v>
      </c>
      <c r="D1959">
        <f>0</f>
        <v>0</v>
      </c>
      <c r="E1959">
        <f>667856934/10^6</f>
        <v>667.85693400000002</v>
      </c>
      <c r="F1959">
        <f>0</f>
        <v>0</v>
      </c>
      <c r="G1959">
        <f>23172052/10^5</f>
        <v>231.72051999999999</v>
      </c>
      <c r="H1959">
        <f>0</f>
        <v>0</v>
      </c>
      <c r="I1959">
        <f>-40979687/10^6</f>
        <v>-40.979686999999998</v>
      </c>
      <c r="J1959">
        <f>0</f>
        <v>0</v>
      </c>
    </row>
    <row r="1960" spans="1:10" x14ac:dyDescent="0.25">
      <c r="A1960" t="s">
        <v>1969</v>
      </c>
      <c r="B1960" t="s">
        <v>11</v>
      </c>
      <c r="C1960">
        <v>117.956414063</v>
      </c>
      <c r="D1960">
        <f>0</f>
        <v>0</v>
      </c>
      <c r="E1960">
        <f>668685059/10^6</f>
        <v>668.68505900000002</v>
      </c>
      <c r="F1960">
        <f>0</f>
        <v>0</v>
      </c>
      <c r="G1960">
        <f>231702606/10^6</f>
        <v>231.702606</v>
      </c>
      <c r="H1960">
        <f>0</f>
        <v>0</v>
      </c>
      <c r="I1960">
        <f>-41081074/10^6</f>
        <v>-41.081074000000001</v>
      </c>
      <c r="J1960">
        <f>0</f>
        <v>0</v>
      </c>
    </row>
    <row r="1961" spans="1:10" x14ac:dyDescent="0.25">
      <c r="A1961" t="s">
        <v>1970</v>
      </c>
      <c r="B1961" t="s">
        <v>11</v>
      </c>
      <c r="C1961">
        <v>117.8125</v>
      </c>
      <c r="D1961">
        <f>0</f>
        <v>0</v>
      </c>
      <c r="E1961">
        <f>669378296/10^6</f>
        <v>669.37829599999998</v>
      </c>
      <c r="F1961">
        <f>0</f>
        <v>0</v>
      </c>
      <c r="G1961">
        <f>231679886/10^6</f>
        <v>231.67988600000001</v>
      </c>
      <c r="H1961">
        <f>0</f>
        <v>0</v>
      </c>
      <c r="I1961">
        <f>-40992359/10^6</f>
        <v>-40.992359</v>
      </c>
      <c r="J1961">
        <f>0</f>
        <v>0</v>
      </c>
    </row>
    <row r="1962" spans="1:10" x14ac:dyDescent="0.25">
      <c r="A1962" t="s">
        <v>1971</v>
      </c>
      <c r="B1962" t="s">
        <v>11</v>
      </c>
      <c r="C1962">
        <v>0</v>
      </c>
      <c r="D1962">
        <f>2</f>
        <v>2</v>
      </c>
      <c r="F1962">
        <f>2</f>
        <v>2</v>
      </c>
      <c r="H1962">
        <f>2</f>
        <v>2</v>
      </c>
      <c r="J1962">
        <f>2</f>
        <v>2</v>
      </c>
    </row>
    <row r="1963" spans="1:10" x14ac:dyDescent="0.25">
      <c r="A1963" t="s">
        <v>1972</v>
      </c>
      <c r="B1963" t="s">
        <v>11</v>
      </c>
      <c r="C1963">
        <v>117.492765625</v>
      </c>
      <c r="D1963">
        <f>0</f>
        <v>0</v>
      </c>
      <c r="E1963">
        <f>671317444/10^6</f>
        <v>671.31744400000002</v>
      </c>
      <c r="F1963">
        <f>0</f>
        <v>0</v>
      </c>
      <c r="G1963">
        <f>23164772/10^5</f>
        <v>231.64771999999999</v>
      </c>
      <c r="H1963">
        <f>0</f>
        <v>0</v>
      </c>
      <c r="I1963">
        <f>-4128643/10^5</f>
        <v>-41.286430000000003</v>
      </c>
      <c r="J1963">
        <f>0</f>
        <v>0</v>
      </c>
    </row>
    <row r="1964" spans="1:10" x14ac:dyDescent="0.25">
      <c r="A1964" t="s">
        <v>1973</v>
      </c>
      <c r="B1964" t="s">
        <v>11</v>
      </c>
      <c r="C1964">
        <v>0</v>
      </c>
      <c r="D1964">
        <f>2</f>
        <v>2</v>
      </c>
      <c r="F1964">
        <f>2</f>
        <v>2</v>
      </c>
      <c r="H1964">
        <f>2</f>
        <v>2</v>
      </c>
      <c r="J1964">
        <f>2</f>
        <v>2</v>
      </c>
    </row>
    <row r="1965" spans="1:10" x14ac:dyDescent="0.25">
      <c r="A1965" t="s">
        <v>1974</v>
      </c>
      <c r="B1965" t="s">
        <v>11</v>
      </c>
      <c r="C1965">
        <v>117.150898438</v>
      </c>
      <c r="D1965">
        <f>0</f>
        <v>0</v>
      </c>
      <c r="E1965">
        <f>673254211/10^6</f>
        <v>673.25421100000005</v>
      </c>
      <c r="F1965">
        <f>0</f>
        <v>0</v>
      </c>
      <c r="G1965">
        <f>231599274/10^6</f>
        <v>231.59927400000001</v>
      </c>
      <c r="H1965">
        <f>0</f>
        <v>0</v>
      </c>
      <c r="I1965">
        <f>-41393547/10^6</f>
        <v>-41.393546999999998</v>
      </c>
      <c r="J1965">
        <f>0</f>
        <v>0</v>
      </c>
    </row>
    <row r="1966" spans="1:10" x14ac:dyDescent="0.25">
      <c r="A1966" t="s">
        <v>1975</v>
      </c>
      <c r="B1966" t="s">
        <v>11</v>
      </c>
      <c r="C1966">
        <v>116.985585938</v>
      </c>
      <c r="D1966">
        <f>0</f>
        <v>0</v>
      </c>
      <c r="E1966">
        <f>674209534/10^6</f>
        <v>674.20953399999996</v>
      </c>
      <c r="F1966">
        <f>0</f>
        <v>0</v>
      </c>
      <c r="G1966">
        <f>231560257/10^6</f>
        <v>231.56025700000001</v>
      </c>
      <c r="H1966">
        <f>0</f>
        <v>0</v>
      </c>
      <c r="I1966">
        <f>-41582684/10^6</f>
        <v>-41.582684</v>
      </c>
      <c r="J1966">
        <f>0</f>
        <v>0</v>
      </c>
    </row>
    <row r="1967" spans="1:10" x14ac:dyDescent="0.25">
      <c r="A1967" t="s">
        <v>1976</v>
      </c>
      <c r="B1967" t="s">
        <v>11</v>
      </c>
      <c r="C1967">
        <v>116.79828125</v>
      </c>
      <c r="D1967">
        <f>0</f>
        <v>0</v>
      </c>
      <c r="E1967">
        <f>675235657/10^6</f>
        <v>675.23565699999995</v>
      </c>
      <c r="F1967">
        <f>0</f>
        <v>0</v>
      </c>
      <c r="G1967">
        <f>231528046/10^6</f>
        <v>231.52804599999999</v>
      </c>
      <c r="H1967">
        <f>0</f>
        <v>0</v>
      </c>
      <c r="I1967">
        <f>-41682152/10^6</f>
        <v>-41.682152000000002</v>
      </c>
      <c r="J1967">
        <f>0</f>
        <v>0</v>
      </c>
    </row>
    <row r="1968" spans="1:10" x14ac:dyDescent="0.25">
      <c r="A1968" t="s">
        <v>1977</v>
      </c>
      <c r="B1968" t="s">
        <v>11</v>
      </c>
      <c r="C1968">
        <v>116.59996093800001</v>
      </c>
      <c r="D1968">
        <f>0</f>
        <v>0</v>
      </c>
      <c r="E1968">
        <f>676376099/10^6</f>
        <v>676.37609899999995</v>
      </c>
      <c r="F1968">
        <f>0</f>
        <v>0</v>
      </c>
      <c r="G1968">
        <f>231496307/10^6</f>
        <v>231.496307</v>
      </c>
      <c r="H1968">
        <f>0</f>
        <v>0</v>
      </c>
      <c r="I1968">
        <f>-4178001/10^5</f>
        <v>-41.780009999999997</v>
      </c>
      <c r="J1968">
        <f>0</f>
        <v>0</v>
      </c>
    </row>
    <row r="1969" spans="1:10" x14ac:dyDescent="0.25">
      <c r="A1969" t="s">
        <v>1978</v>
      </c>
      <c r="B1969" t="s">
        <v>11</v>
      </c>
      <c r="C1969">
        <v>116.380171875</v>
      </c>
      <c r="D1969">
        <f>0</f>
        <v>0</v>
      </c>
      <c r="E1969">
        <f>677731995/10^6</f>
        <v>677.73199499999998</v>
      </c>
      <c r="F1969">
        <f>0</f>
        <v>0</v>
      </c>
      <c r="G1969">
        <f>231451828/10^6</f>
        <v>231.45182800000001</v>
      </c>
      <c r="H1969">
        <f>0</f>
        <v>0</v>
      </c>
      <c r="I1969">
        <f>-42124771/10^6</f>
        <v>-42.124771000000003</v>
      </c>
      <c r="J1969">
        <f>0</f>
        <v>0</v>
      </c>
    </row>
    <row r="1970" spans="1:10" x14ac:dyDescent="0.25">
      <c r="A1970" t="s">
        <v>1979</v>
      </c>
      <c r="B1970" t="s">
        <v>11</v>
      </c>
      <c r="C1970">
        <v>116.12088281300001</v>
      </c>
      <c r="D1970">
        <f>0</f>
        <v>0</v>
      </c>
      <c r="E1970">
        <f>679228638/10^6</f>
        <v>679.22863800000005</v>
      </c>
      <c r="F1970">
        <f>0</f>
        <v>0</v>
      </c>
      <c r="G1970">
        <f>231416046/10^6</f>
        <v>231.41604599999999</v>
      </c>
      <c r="H1970">
        <f>0</f>
        <v>0</v>
      </c>
      <c r="I1970">
        <f>-42376873/10^6</f>
        <v>-42.376873000000003</v>
      </c>
      <c r="J1970">
        <f>0</f>
        <v>0</v>
      </c>
    </row>
    <row r="1971" spans="1:10" x14ac:dyDescent="0.25">
      <c r="A1971" t="s">
        <v>1980</v>
      </c>
      <c r="B1971" t="s">
        <v>11</v>
      </c>
      <c r="C1971">
        <v>115.86978125</v>
      </c>
      <c r="D1971">
        <f>0</f>
        <v>0</v>
      </c>
      <c r="E1971">
        <f>680526978/10^6</f>
        <v>680.52697799999999</v>
      </c>
      <c r="F1971">
        <f>0</f>
        <v>0</v>
      </c>
      <c r="G1971">
        <f>231352737/10^6</f>
        <v>231.35273699999999</v>
      </c>
      <c r="H1971">
        <f>0</f>
        <v>0</v>
      </c>
      <c r="I1971">
        <f>-42381123/10^6</f>
        <v>-42.381123000000002</v>
      </c>
      <c r="J1971">
        <f>0</f>
        <v>0</v>
      </c>
    </row>
    <row r="1972" spans="1:10" x14ac:dyDescent="0.25">
      <c r="A1972" t="s">
        <v>1981</v>
      </c>
      <c r="B1972" t="s">
        <v>11</v>
      </c>
      <c r="C1972">
        <v>115.695257813</v>
      </c>
      <c r="D1972">
        <f>0</f>
        <v>0</v>
      </c>
      <c r="E1972">
        <f>681512207/10^6</f>
        <v>681.51220699999999</v>
      </c>
      <c r="F1972">
        <f>0</f>
        <v>0</v>
      </c>
      <c r="G1972">
        <f>23127832/10^5</f>
        <v>231.27832000000001</v>
      </c>
      <c r="H1972">
        <f>0</f>
        <v>0</v>
      </c>
      <c r="I1972">
        <f>-42534977/10^6</f>
        <v>-42.534976999999998</v>
      </c>
      <c r="J1972">
        <f>0</f>
        <v>0</v>
      </c>
    </row>
    <row r="1973" spans="1:10" x14ac:dyDescent="0.25">
      <c r="A1973" t="s">
        <v>1982</v>
      </c>
      <c r="B1973" t="s">
        <v>11</v>
      </c>
      <c r="C1973">
        <v>115.58331250000001</v>
      </c>
      <c r="D1973">
        <f>0</f>
        <v>0</v>
      </c>
      <c r="E1973">
        <f>682207764/10^6</f>
        <v>682.207764</v>
      </c>
      <c r="F1973">
        <f>0</f>
        <v>0</v>
      </c>
      <c r="G1973">
        <f>23124205/10^5</f>
        <v>231.24205000000001</v>
      </c>
      <c r="H1973">
        <f>0</f>
        <v>0</v>
      </c>
      <c r="I1973">
        <f>-42771759/10^6</f>
        <v>-42.771759000000003</v>
      </c>
      <c r="J1973">
        <f>0</f>
        <v>0</v>
      </c>
    </row>
    <row r="1974" spans="1:10" x14ac:dyDescent="0.25">
      <c r="A1974" t="s">
        <v>1983</v>
      </c>
      <c r="B1974" t="s">
        <v>11</v>
      </c>
      <c r="C1974">
        <v>0</v>
      </c>
      <c r="D1974">
        <f>2</f>
        <v>2</v>
      </c>
      <c r="F1974">
        <f>2</f>
        <v>2</v>
      </c>
      <c r="H1974">
        <f>2</f>
        <v>2</v>
      </c>
      <c r="J1974">
        <f>2</f>
        <v>2</v>
      </c>
    </row>
    <row r="1975" spans="1:10" x14ac:dyDescent="0.25">
      <c r="A1975" t="s">
        <v>1984</v>
      </c>
      <c r="B1975" t="s">
        <v>11</v>
      </c>
      <c r="C1975">
        <v>115.38257812499999</v>
      </c>
      <c r="D1975">
        <f>0</f>
        <v>0</v>
      </c>
      <c r="E1975">
        <f>683065491/10^6</f>
        <v>683.06549099999995</v>
      </c>
      <c r="F1975">
        <f>0</f>
        <v>0</v>
      </c>
      <c r="G1975">
        <f>231144669/10^6</f>
        <v>231.14466899999999</v>
      </c>
      <c r="H1975">
        <f>0</f>
        <v>0</v>
      </c>
      <c r="I1975">
        <f>-42829247/10^6</f>
        <v>-42.829247000000002</v>
      </c>
      <c r="J1975">
        <f>0</f>
        <v>0</v>
      </c>
    </row>
    <row r="1976" spans="1:10" x14ac:dyDescent="0.25">
      <c r="A1976" t="s">
        <v>1985</v>
      </c>
      <c r="B1976" t="s">
        <v>11</v>
      </c>
      <c r="C1976">
        <v>0</v>
      </c>
      <c r="D1976">
        <f>2</f>
        <v>2</v>
      </c>
      <c r="F1976">
        <f>2</f>
        <v>2</v>
      </c>
      <c r="H1976">
        <f>2</f>
        <v>2</v>
      </c>
      <c r="J1976">
        <f>2</f>
        <v>2</v>
      </c>
    </row>
    <row r="1977" spans="1:10" x14ac:dyDescent="0.25">
      <c r="A1977" t="s">
        <v>1986</v>
      </c>
      <c r="B1977" t="s">
        <v>11</v>
      </c>
      <c r="C1977">
        <v>115.369765625</v>
      </c>
      <c r="D1977">
        <f>0</f>
        <v>0</v>
      </c>
      <c r="E1977">
        <f>683180298/10^6</f>
        <v>683.18029799999999</v>
      </c>
      <c r="F1977">
        <f>0</f>
        <v>0</v>
      </c>
      <c r="G1977">
        <f>231155472/10^6</f>
        <v>231.155472</v>
      </c>
      <c r="H1977">
        <f>0</f>
        <v>0</v>
      </c>
      <c r="I1977">
        <f>-4285611/10^5</f>
        <v>-42.856110000000001</v>
      </c>
      <c r="J1977">
        <f>0</f>
        <v>0</v>
      </c>
    </row>
    <row r="1978" spans="1:10" x14ac:dyDescent="0.25">
      <c r="A1978" t="s">
        <v>1987</v>
      </c>
      <c r="B1978" t="s">
        <v>11</v>
      </c>
      <c r="C1978">
        <v>115.34628125</v>
      </c>
      <c r="D1978">
        <f>0</f>
        <v>0</v>
      </c>
      <c r="E1978">
        <f>683327209/10^6</f>
        <v>683.32720900000004</v>
      </c>
      <c r="F1978">
        <f>0</f>
        <v>0</v>
      </c>
      <c r="G1978">
        <f>231145935/10^6</f>
        <v>231.14593500000001</v>
      </c>
      <c r="H1978">
        <f>0</f>
        <v>0</v>
      </c>
      <c r="I1978">
        <f>-42831345/10^6</f>
        <v>-42.831344999999999</v>
      </c>
      <c r="J1978">
        <f>0</f>
        <v>0</v>
      </c>
    </row>
    <row r="1979" spans="1:10" x14ac:dyDescent="0.25">
      <c r="A1979" t="s">
        <v>1988</v>
      </c>
      <c r="B1979" t="s">
        <v>11</v>
      </c>
      <c r="C1979">
        <v>115.31287500000001</v>
      </c>
      <c r="D1979">
        <f>0</f>
        <v>0</v>
      </c>
      <c r="E1979">
        <f>683712585/10^6</f>
        <v>683.71258499999999</v>
      </c>
      <c r="F1979">
        <f>0</f>
        <v>0</v>
      </c>
      <c r="G1979">
        <f>231187759/10^6</f>
        <v>231.187759</v>
      </c>
      <c r="H1979">
        <f>0</f>
        <v>0</v>
      </c>
      <c r="I1979">
        <f>-42973385/10^6</f>
        <v>-42.973385</v>
      </c>
      <c r="J1979">
        <f>0</f>
        <v>0</v>
      </c>
    </row>
    <row r="1980" spans="1:10" x14ac:dyDescent="0.25">
      <c r="A1980" t="s">
        <v>1989</v>
      </c>
      <c r="B1980" t="s">
        <v>11</v>
      </c>
      <c r="C1980">
        <v>115.27689062499999</v>
      </c>
      <c r="D1980">
        <f>0</f>
        <v>0</v>
      </c>
      <c r="E1980">
        <f>683811951/10^6</f>
        <v>683.81195100000002</v>
      </c>
      <c r="F1980">
        <f>0</f>
        <v>0</v>
      </c>
      <c r="G1980">
        <f>231181625/10^6</f>
        <v>231.181625</v>
      </c>
      <c r="H1980">
        <f>0</f>
        <v>0</v>
      </c>
      <c r="I1980">
        <f>-42876202/10^6</f>
        <v>-42.876201999999999</v>
      </c>
      <c r="J1980">
        <f>0</f>
        <v>0</v>
      </c>
    </row>
    <row r="1981" spans="1:10" x14ac:dyDescent="0.25">
      <c r="A1981" t="s">
        <v>1990</v>
      </c>
      <c r="B1981" t="s">
        <v>11</v>
      </c>
      <c r="C1981">
        <v>115.228703125</v>
      </c>
      <c r="D1981">
        <f>0</f>
        <v>0</v>
      </c>
      <c r="E1981">
        <f>683886902/10^6</f>
        <v>683.88690199999996</v>
      </c>
      <c r="F1981">
        <f>0</f>
        <v>0</v>
      </c>
      <c r="G1981">
        <f>231115707/10^6</f>
        <v>231.11570699999999</v>
      </c>
      <c r="H1981">
        <f>0</f>
        <v>0</v>
      </c>
      <c r="I1981">
        <f>-42772774/10^6</f>
        <v>-42.772773999999998</v>
      </c>
      <c r="J1981">
        <f>0</f>
        <v>0</v>
      </c>
    </row>
    <row r="1982" spans="1:10" x14ac:dyDescent="0.25">
      <c r="A1982" t="s">
        <v>1991</v>
      </c>
      <c r="B1982" t="s">
        <v>11</v>
      </c>
      <c r="C1982">
        <v>115.183773438</v>
      </c>
      <c r="D1982">
        <f>0</f>
        <v>0</v>
      </c>
      <c r="E1982">
        <f>684209961/10^6</f>
        <v>684.20996100000002</v>
      </c>
      <c r="F1982">
        <f>0</f>
        <v>0</v>
      </c>
      <c r="G1982">
        <f>231092621/10^6</f>
        <v>231.09262100000001</v>
      </c>
      <c r="H1982">
        <f>0</f>
        <v>0</v>
      </c>
      <c r="I1982">
        <f>-42920536/10^6</f>
        <v>-42.920535999999998</v>
      </c>
      <c r="J1982">
        <f>0</f>
        <v>0</v>
      </c>
    </row>
    <row r="1983" spans="1:10" x14ac:dyDescent="0.25">
      <c r="A1983" t="s">
        <v>1992</v>
      </c>
      <c r="B1983" t="s">
        <v>11</v>
      </c>
      <c r="C1983">
        <v>115.18817968800001</v>
      </c>
      <c r="D1983">
        <f>0</f>
        <v>0</v>
      </c>
      <c r="E1983">
        <f>684269104/10^6</f>
        <v>684.26910399999997</v>
      </c>
      <c r="F1983">
        <f>0</f>
        <v>0</v>
      </c>
      <c r="G1983">
        <f>231110291/10^6</f>
        <v>231.11029099999999</v>
      </c>
      <c r="H1983">
        <f>0</f>
        <v>0</v>
      </c>
      <c r="I1983">
        <f>-43025089/10^6</f>
        <v>-43.025089000000001</v>
      </c>
      <c r="J1983">
        <f>0</f>
        <v>0</v>
      </c>
    </row>
    <row r="1984" spans="1:10" x14ac:dyDescent="0.25">
      <c r="A1984" t="s">
        <v>1993</v>
      </c>
      <c r="B1984" t="s">
        <v>11</v>
      </c>
      <c r="C1984">
        <v>115.216773438</v>
      </c>
      <c r="D1984">
        <f>0</f>
        <v>0</v>
      </c>
      <c r="E1984">
        <f>684135071/10^6</f>
        <v>684.13507100000004</v>
      </c>
      <c r="F1984">
        <f>0</f>
        <v>0</v>
      </c>
      <c r="G1984">
        <f>231105682/10^6</f>
        <v>231.105682</v>
      </c>
      <c r="H1984">
        <f>0</f>
        <v>0</v>
      </c>
      <c r="I1984">
        <f>-43155682/10^6</f>
        <v>-43.155681999999999</v>
      </c>
      <c r="J1984">
        <f>0</f>
        <v>0</v>
      </c>
    </row>
    <row r="1985" spans="1:10" x14ac:dyDescent="0.25">
      <c r="A1985" t="s">
        <v>1994</v>
      </c>
      <c r="B1985" t="s">
        <v>11</v>
      </c>
      <c r="C1985">
        <v>115.2300625</v>
      </c>
      <c r="D1985">
        <f>0</f>
        <v>0</v>
      </c>
      <c r="E1985">
        <f>684022522/10^6</f>
        <v>684.02252199999998</v>
      </c>
      <c r="F1985">
        <f>0</f>
        <v>0</v>
      </c>
      <c r="G1985">
        <f>23113031/10^5</f>
        <v>231.13031000000001</v>
      </c>
      <c r="H1985">
        <f>0</f>
        <v>0</v>
      </c>
      <c r="I1985">
        <f>-43045395/10^6</f>
        <v>-43.045394999999999</v>
      </c>
      <c r="J1985">
        <f>0</f>
        <v>0</v>
      </c>
    </row>
    <row r="1986" spans="1:10" x14ac:dyDescent="0.25">
      <c r="A1986" t="s">
        <v>1995</v>
      </c>
      <c r="B1986" t="s">
        <v>11</v>
      </c>
      <c r="C1986">
        <v>115.281429688</v>
      </c>
      <c r="D1986">
        <f>0</f>
        <v>0</v>
      </c>
      <c r="E1986">
        <f>683707275/10^6</f>
        <v>683.70727499999998</v>
      </c>
      <c r="F1986">
        <f>0</f>
        <v>0</v>
      </c>
      <c r="G1986">
        <f>231127457/10^6</f>
        <v>231.12745699999999</v>
      </c>
      <c r="H1986">
        <f>0</f>
        <v>0</v>
      </c>
      <c r="I1986">
        <f>-42948326/10^6</f>
        <v>-42.948326000000002</v>
      </c>
      <c r="J1986">
        <f>0</f>
        <v>0</v>
      </c>
    </row>
    <row r="1987" spans="1:10" x14ac:dyDescent="0.25">
      <c r="A1987" t="s">
        <v>1996</v>
      </c>
      <c r="B1987" t="s">
        <v>11</v>
      </c>
      <c r="C1987">
        <v>115.38187499999999</v>
      </c>
      <c r="D1987">
        <f>0</f>
        <v>0</v>
      </c>
      <c r="E1987">
        <f>683288635/10^6</f>
        <v>683.288635</v>
      </c>
      <c r="F1987">
        <f>0</f>
        <v>0</v>
      </c>
      <c r="G1987">
        <f>231119446/10^6</f>
        <v>231.11944600000001</v>
      </c>
      <c r="H1987">
        <f>0</f>
        <v>0</v>
      </c>
      <c r="I1987">
        <f>-43207298/10^6</f>
        <v>-43.207298000000002</v>
      </c>
      <c r="J1987">
        <f>0</f>
        <v>0</v>
      </c>
    </row>
    <row r="1988" spans="1:10" x14ac:dyDescent="0.25">
      <c r="A1988" t="s">
        <v>1997</v>
      </c>
      <c r="B1988" t="s">
        <v>11</v>
      </c>
      <c r="C1988">
        <v>115.523554688</v>
      </c>
      <c r="D1988">
        <f>0</f>
        <v>0</v>
      </c>
      <c r="E1988">
        <f>682464966/10^6</f>
        <v>682.464966</v>
      </c>
      <c r="F1988">
        <f>0</f>
        <v>0</v>
      </c>
      <c r="G1988">
        <f>231183731/10^6</f>
        <v>231.18373099999999</v>
      </c>
      <c r="H1988">
        <f>0</f>
        <v>0</v>
      </c>
      <c r="I1988">
        <f>-43056561/10^6</f>
        <v>-43.056561000000002</v>
      </c>
      <c r="J1988">
        <f>0</f>
        <v>0</v>
      </c>
    </row>
    <row r="1989" spans="1:10" x14ac:dyDescent="0.25">
      <c r="A1989" t="s">
        <v>1998</v>
      </c>
      <c r="B1989" t="s">
        <v>11</v>
      </c>
      <c r="C1989">
        <v>115.71099218800001</v>
      </c>
      <c r="D1989">
        <f>0</f>
        <v>0</v>
      </c>
      <c r="E1989">
        <f>681393066/10^6</f>
        <v>681.39306599999998</v>
      </c>
      <c r="F1989">
        <f>0</f>
        <v>0</v>
      </c>
      <c r="G1989">
        <f>231264877/10^6</f>
        <v>231.26487700000001</v>
      </c>
      <c r="H1989">
        <f>0</f>
        <v>0</v>
      </c>
      <c r="I1989">
        <f>-42683979/10^6</f>
        <v>-42.683979000000001</v>
      </c>
      <c r="J1989">
        <f>0</f>
        <v>0</v>
      </c>
    </row>
    <row r="1990" spans="1:10" x14ac:dyDescent="0.25">
      <c r="A1990" t="s">
        <v>1999</v>
      </c>
      <c r="B1990" t="s">
        <v>11</v>
      </c>
      <c r="C1990">
        <v>115.924414063</v>
      </c>
      <c r="D1990">
        <f>0</f>
        <v>0</v>
      </c>
      <c r="E1990">
        <f>680304504/10^6</f>
        <v>680.30450399999995</v>
      </c>
      <c r="F1990">
        <f>0</f>
        <v>0</v>
      </c>
      <c r="G1990">
        <f>231326355/10^6</f>
        <v>231.32635500000001</v>
      </c>
      <c r="H1990">
        <f>0</f>
        <v>0</v>
      </c>
      <c r="I1990">
        <f>-4257885/10^5</f>
        <v>-42.578850000000003</v>
      </c>
      <c r="J1990">
        <f>0</f>
        <v>0</v>
      </c>
    </row>
    <row r="1991" spans="1:10" x14ac:dyDescent="0.25">
      <c r="A1991" t="s">
        <v>2000</v>
      </c>
      <c r="B1991" t="s">
        <v>11</v>
      </c>
      <c r="C1991">
        <v>116.16353125000001</v>
      </c>
      <c r="D1991">
        <f>0</f>
        <v>0</v>
      </c>
      <c r="E1991">
        <f>679007629/10^6</f>
        <v>679.00762899999995</v>
      </c>
      <c r="F1991">
        <f>0</f>
        <v>0</v>
      </c>
      <c r="G1991">
        <f>231383926/10^6</f>
        <v>231.383926</v>
      </c>
      <c r="H1991">
        <f>0</f>
        <v>0</v>
      </c>
      <c r="I1991">
        <f>-42481781/10^6</f>
        <v>-42.481780999999998</v>
      </c>
      <c r="J1991">
        <f>0</f>
        <v>0</v>
      </c>
    </row>
    <row r="1992" spans="1:10" x14ac:dyDescent="0.25">
      <c r="A1992" t="s">
        <v>2001</v>
      </c>
      <c r="B1992" t="s">
        <v>11</v>
      </c>
      <c r="C1992">
        <v>116.40763281300001</v>
      </c>
      <c r="D1992">
        <f>0</f>
        <v>0</v>
      </c>
      <c r="E1992">
        <f>677657471/10^6</f>
        <v>677.65747099999999</v>
      </c>
      <c r="F1992">
        <f>0</f>
        <v>0</v>
      </c>
      <c r="G1992">
        <f>231440002/10^6</f>
        <v>231.44000199999999</v>
      </c>
      <c r="H1992">
        <f>0</f>
        <v>0</v>
      </c>
      <c r="I1992">
        <f>-4243808/10^5</f>
        <v>-42.438079999999999</v>
      </c>
      <c r="J1992">
        <f>0</f>
        <v>0</v>
      </c>
    </row>
    <row r="1993" spans="1:10" x14ac:dyDescent="0.25">
      <c r="A1993" t="s">
        <v>2002</v>
      </c>
      <c r="B1993" t="s">
        <v>11</v>
      </c>
      <c r="C1993">
        <v>116.674007813</v>
      </c>
      <c r="D1993">
        <f>0</f>
        <v>0</v>
      </c>
      <c r="E1993">
        <f>676080933/10^6</f>
        <v>676.08093299999996</v>
      </c>
      <c r="F1993">
        <f>0</f>
        <v>0</v>
      </c>
      <c r="G1993">
        <f>231491959/10^6</f>
        <v>231.49195900000001</v>
      </c>
      <c r="H1993">
        <f>0</f>
        <v>0</v>
      </c>
      <c r="I1993">
        <f>-42286049/10^6</f>
        <v>-42.286048999999998</v>
      </c>
      <c r="J1993">
        <f>0</f>
        <v>0</v>
      </c>
    </row>
    <row r="1994" spans="1:10" x14ac:dyDescent="0.25">
      <c r="A1994" t="s">
        <v>2003</v>
      </c>
      <c r="B1994" t="s">
        <v>11</v>
      </c>
      <c r="C1994">
        <v>117.03634375</v>
      </c>
      <c r="D1994">
        <f>0</f>
        <v>0</v>
      </c>
      <c r="E1994">
        <f>673949158/10^6</f>
        <v>673.94915800000001</v>
      </c>
      <c r="F1994">
        <f>0</f>
        <v>0</v>
      </c>
      <c r="G1994">
        <f>231547333/10^6</f>
        <v>231.54733300000001</v>
      </c>
      <c r="H1994">
        <f>0</f>
        <v>0</v>
      </c>
      <c r="I1994">
        <f>-41945362/10^6</f>
        <v>-41.945362000000003</v>
      </c>
      <c r="J1994">
        <f>0</f>
        <v>0</v>
      </c>
    </row>
    <row r="1995" spans="1:10" x14ac:dyDescent="0.25">
      <c r="A1995" t="s">
        <v>2004</v>
      </c>
      <c r="B1995" t="s">
        <v>11</v>
      </c>
      <c r="C1995">
        <v>117.4869375</v>
      </c>
      <c r="D1995">
        <f>0</f>
        <v>0</v>
      </c>
      <c r="E1995">
        <f>671424011/10^6</f>
        <v>671.42401099999995</v>
      </c>
      <c r="F1995">
        <f>0</f>
        <v>0</v>
      </c>
      <c r="G1995">
        <f>231605194/10^6</f>
        <v>231.60519400000001</v>
      </c>
      <c r="H1995">
        <f>0</f>
        <v>0</v>
      </c>
      <c r="I1995">
        <f>-41747929/10^6</f>
        <v>-41.747928999999999</v>
      </c>
      <c r="J1995">
        <f>0</f>
        <v>0</v>
      </c>
    </row>
    <row r="1996" spans="1:10" x14ac:dyDescent="0.25">
      <c r="A1996" t="s">
        <v>2005</v>
      </c>
      <c r="B1996" t="s">
        <v>11</v>
      </c>
      <c r="C1996">
        <v>117.96940625000001</v>
      </c>
      <c r="D1996">
        <f>0</f>
        <v>0</v>
      </c>
      <c r="E1996">
        <f>668715393/10^6</f>
        <v>668.71539299999995</v>
      </c>
      <c r="F1996">
        <f>0</f>
        <v>0</v>
      </c>
      <c r="G1996">
        <f>231673782/10^6</f>
        <v>231.67378199999999</v>
      </c>
      <c r="H1996">
        <f>0</f>
        <v>0</v>
      </c>
      <c r="I1996">
        <f>-41538044/10^6</f>
        <v>-41.538043999999999</v>
      </c>
      <c r="J1996">
        <f>0</f>
        <v>0</v>
      </c>
    </row>
    <row r="1997" spans="1:10" x14ac:dyDescent="0.25">
      <c r="A1997" t="s">
        <v>2006</v>
      </c>
      <c r="B1997" t="s">
        <v>11</v>
      </c>
      <c r="C1997">
        <v>118.49437500000001</v>
      </c>
      <c r="D1997">
        <f>0</f>
        <v>0</v>
      </c>
      <c r="E1997">
        <f>665645752/10^6</f>
        <v>665.64575200000002</v>
      </c>
      <c r="F1997">
        <f>0</f>
        <v>0</v>
      </c>
      <c r="G1997">
        <f>231745438/10^6</f>
        <v>231.74543800000001</v>
      </c>
      <c r="H1997">
        <f>0</f>
        <v>0</v>
      </c>
      <c r="I1997">
        <f>-40975979/10^6</f>
        <v>-40.975979000000002</v>
      </c>
      <c r="J1997">
        <f>0</f>
        <v>0</v>
      </c>
    </row>
    <row r="1998" spans="1:10" x14ac:dyDescent="0.25">
      <c r="A1998" t="s">
        <v>2007</v>
      </c>
      <c r="B1998" t="s">
        <v>11</v>
      </c>
      <c r="C1998">
        <v>119.056015625</v>
      </c>
      <c r="D1998">
        <f>0</f>
        <v>0</v>
      </c>
      <c r="E1998">
        <f>662394714/10^6</f>
        <v>662.39471400000002</v>
      </c>
      <c r="F1998">
        <f>0</f>
        <v>0</v>
      </c>
      <c r="G1998">
        <f>231815933/10^6</f>
        <v>231.815933</v>
      </c>
      <c r="H1998">
        <f>0</f>
        <v>0</v>
      </c>
      <c r="I1998">
        <f>-4047747/10^5</f>
        <v>-40.477469999999997</v>
      </c>
      <c r="J1998">
        <f>0</f>
        <v>0</v>
      </c>
    </row>
    <row r="1999" spans="1:10" x14ac:dyDescent="0.25">
      <c r="A1999" t="s">
        <v>2008</v>
      </c>
      <c r="B1999" t="s">
        <v>11</v>
      </c>
      <c r="C1999">
        <v>119.600898438</v>
      </c>
      <c r="D1999">
        <f>0</f>
        <v>0</v>
      </c>
      <c r="E1999">
        <f>6593974/10^4</f>
        <v>659.39739999999995</v>
      </c>
      <c r="F1999">
        <f>0</f>
        <v>0</v>
      </c>
      <c r="G1999">
        <f>231883316/10^6</f>
        <v>231.88331600000001</v>
      </c>
      <c r="H1999">
        <f>0</f>
        <v>0</v>
      </c>
      <c r="I1999">
        <f>-40378574/10^6</f>
        <v>-40.378574</v>
      </c>
      <c r="J1999">
        <f>0</f>
        <v>0</v>
      </c>
    </row>
    <row r="2000" spans="1:10" x14ac:dyDescent="0.25">
      <c r="A2000" t="s">
        <v>2009</v>
      </c>
      <c r="B2000" t="s">
        <v>11</v>
      </c>
      <c r="C2000">
        <v>120.131140625</v>
      </c>
      <c r="D2000">
        <f>0</f>
        <v>0</v>
      </c>
      <c r="E2000">
        <f>656542175/10^6</f>
        <v>656.54217500000004</v>
      </c>
      <c r="F2000">
        <f>0</f>
        <v>0</v>
      </c>
      <c r="G2000">
        <f>231914948/10^6</f>
        <v>231.91494800000001</v>
      </c>
      <c r="H2000">
        <f>0</f>
        <v>0</v>
      </c>
      <c r="I2000">
        <f>-40357906/10^6</f>
        <v>-40.357906</v>
      </c>
      <c r="J2000">
        <f>0</f>
        <v>0</v>
      </c>
    </row>
    <row r="2001" spans="1:10" x14ac:dyDescent="0.25">
      <c r="A2001" t="s">
        <v>2010</v>
      </c>
      <c r="B2001" t="s">
        <v>11</v>
      </c>
      <c r="C2001">
        <v>120.669398438</v>
      </c>
      <c r="D2001">
        <f>0</f>
        <v>0</v>
      </c>
      <c r="E2001">
        <f>653379272/10^6</f>
        <v>653.37927200000001</v>
      </c>
      <c r="F2001">
        <f>0</f>
        <v>0</v>
      </c>
      <c r="G2001">
        <f>231953369/10^6</f>
        <v>231.95336900000001</v>
      </c>
      <c r="H2001">
        <f>0</f>
        <v>0</v>
      </c>
      <c r="I2001">
        <f>-39899441/10^6</f>
        <v>-39.899441000000003</v>
      </c>
      <c r="J2001">
        <f>0</f>
        <v>0</v>
      </c>
    </row>
    <row r="2002" spans="1:10" x14ac:dyDescent="0.25">
      <c r="A2002" t="s">
        <v>2011</v>
      </c>
      <c r="B2002" t="s">
        <v>11</v>
      </c>
      <c r="C2002">
        <v>121.129507813</v>
      </c>
      <c r="D2002">
        <f>0</f>
        <v>0</v>
      </c>
      <c r="E2002">
        <f>650602356/10^6</f>
        <v>650.60235599999999</v>
      </c>
      <c r="F2002">
        <f>0</f>
        <v>0</v>
      </c>
      <c r="G2002">
        <f>232006088/10^6</f>
        <v>232.00608800000001</v>
      </c>
      <c r="H2002">
        <f>0</f>
        <v>0</v>
      </c>
      <c r="I2002">
        <f>-39322269/10^6</f>
        <v>-39.322268999999999</v>
      </c>
      <c r="J2002">
        <f>0</f>
        <v>0</v>
      </c>
    </row>
    <row r="2003" spans="1:10" x14ac:dyDescent="0.25">
      <c r="A2003" t="s">
        <v>2012</v>
      </c>
      <c r="B2003" t="s">
        <v>11</v>
      </c>
      <c r="C2003">
        <v>121.427921875</v>
      </c>
      <c r="D2003">
        <f>0</f>
        <v>0</v>
      </c>
      <c r="E2003">
        <f>649058838/10^6</f>
        <v>649.05883800000004</v>
      </c>
      <c r="F2003">
        <f>0</f>
        <v>0</v>
      </c>
      <c r="G2003">
        <f>232043198/10^6</f>
        <v>232.04319799999999</v>
      </c>
      <c r="H2003">
        <f>0</f>
        <v>0</v>
      </c>
      <c r="I2003">
        <f>-39248604/10^6</f>
        <v>-39.248604</v>
      </c>
      <c r="J2003">
        <f>0</f>
        <v>0</v>
      </c>
    </row>
    <row r="2004" spans="1:10" x14ac:dyDescent="0.25">
      <c r="A2004" t="s">
        <v>2013</v>
      </c>
      <c r="B2004" t="s">
        <v>11</v>
      </c>
      <c r="C2004">
        <v>121.629210938</v>
      </c>
      <c r="D2004">
        <f>0</f>
        <v>0</v>
      </c>
      <c r="E2004">
        <f>648023865/10^6</f>
        <v>648.023865</v>
      </c>
      <c r="F2004">
        <f>0</f>
        <v>0</v>
      </c>
      <c r="G2004">
        <f>232088333/10^6</f>
        <v>232.08833300000001</v>
      </c>
      <c r="H2004">
        <f>0</f>
        <v>0</v>
      </c>
      <c r="I2004">
        <f>-39170174/10^6</f>
        <v>-39.170174000000003</v>
      </c>
      <c r="J2004">
        <f>0</f>
        <v>0</v>
      </c>
    </row>
    <row r="2005" spans="1:10" x14ac:dyDescent="0.25">
      <c r="A2005" t="s">
        <v>2014</v>
      </c>
      <c r="B2005" t="s">
        <v>11</v>
      </c>
      <c r="C2005">
        <v>121.79007812499999</v>
      </c>
      <c r="D2005">
        <f>0</f>
        <v>0</v>
      </c>
      <c r="E2005">
        <f>64721936/10^5</f>
        <v>647.21936000000005</v>
      </c>
      <c r="F2005">
        <f>0</f>
        <v>0</v>
      </c>
      <c r="G2005">
        <f>232125031/10^6</f>
        <v>232.12503100000001</v>
      </c>
      <c r="H2005">
        <f>0</f>
        <v>0</v>
      </c>
      <c r="I2005">
        <f>-39108177/10^6</f>
        <v>-39.108176999999998</v>
      </c>
      <c r="J2005">
        <f>0</f>
        <v>0</v>
      </c>
    </row>
    <row r="2006" spans="1:10" x14ac:dyDescent="0.25">
      <c r="A2006" t="s">
        <v>2015</v>
      </c>
      <c r="B2006" t="s">
        <v>11</v>
      </c>
      <c r="C2006">
        <v>121.890226563</v>
      </c>
      <c r="D2006">
        <f>0</f>
        <v>0</v>
      </c>
      <c r="E2006">
        <f>646781738/10^6</f>
        <v>646.78173800000002</v>
      </c>
      <c r="F2006">
        <f>0</f>
        <v>0</v>
      </c>
      <c r="G2006">
        <f>232149811/10^6</f>
        <v>232.149811</v>
      </c>
      <c r="H2006">
        <f>0</f>
        <v>0</v>
      </c>
      <c r="I2006">
        <f>-39056015/10^6</f>
        <v>-39.056015000000002</v>
      </c>
      <c r="J2006">
        <f>0</f>
        <v>0</v>
      </c>
    </row>
    <row r="2007" spans="1:10" x14ac:dyDescent="0.25">
      <c r="A2007" t="s">
        <v>2016</v>
      </c>
      <c r="B2007" t="s">
        <v>11</v>
      </c>
      <c r="C2007">
        <v>121.92208593800001</v>
      </c>
      <c r="D2007">
        <f>0</f>
        <v>0</v>
      </c>
      <c r="E2007">
        <f>646550537/10^6</f>
        <v>646.55053699999996</v>
      </c>
      <c r="F2007">
        <f>0</f>
        <v>0</v>
      </c>
      <c r="G2007">
        <f>23216803/10^5</f>
        <v>232.16802999999999</v>
      </c>
      <c r="H2007">
        <f>0</f>
        <v>0</v>
      </c>
      <c r="I2007">
        <f>-38804394/10^6</f>
        <v>-38.804394000000002</v>
      </c>
      <c r="J2007">
        <f>0</f>
        <v>0</v>
      </c>
    </row>
    <row r="2008" spans="1:10" x14ac:dyDescent="0.25">
      <c r="A2008" t="s">
        <v>2017</v>
      </c>
      <c r="B2008" t="s">
        <v>11</v>
      </c>
      <c r="C2008">
        <v>121.893625</v>
      </c>
      <c r="D2008">
        <f>0</f>
        <v>0</v>
      </c>
      <c r="E2008">
        <f>646819275/10^6</f>
        <v>646.81927499999995</v>
      </c>
      <c r="F2008">
        <f>0</f>
        <v>0</v>
      </c>
      <c r="G2008">
        <f>232180206/10^6</f>
        <v>232.180206</v>
      </c>
      <c r="H2008">
        <f>0</f>
        <v>0</v>
      </c>
      <c r="I2008">
        <f>-38907368/10^6</f>
        <v>-38.907367999999998</v>
      </c>
      <c r="J2008">
        <f>0</f>
        <v>0</v>
      </c>
    </row>
    <row r="2009" spans="1:10" x14ac:dyDescent="0.25">
      <c r="A2009" t="s">
        <v>2018</v>
      </c>
      <c r="B2009" t="s">
        <v>11</v>
      </c>
      <c r="C2009">
        <v>121.82364843800001</v>
      </c>
      <c r="D2009">
        <f>0</f>
        <v>0</v>
      </c>
      <c r="E2009">
        <f>647250366/10^6</f>
        <v>647.25036599999999</v>
      </c>
      <c r="F2009">
        <f>0</f>
        <v>0</v>
      </c>
      <c r="G2009">
        <f>232185135/10^6</f>
        <v>232.185135</v>
      </c>
      <c r="H2009">
        <f>0</f>
        <v>0</v>
      </c>
      <c r="I2009">
        <f>-38942463/10^6</f>
        <v>-38.942462999999996</v>
      </c>
      <c r="J2009">
        <f>0</f>
        <v>0</v>
      </c>
    </row>
    <row r="2010" spans="1:10" x14ac:dyDescent="0.25">
      <c r="A2010" t="s">
        <v>2019</v>
      </c>
      <c r="B2010" t="s">
        <v>11</v>
      </c>
      <c r="C2010">
        <v>121.729375</v>
      </c>
      <c r="D2010">
        <f>0</f>
        <v>0</v>
      </c>
      <c r="E2010">
        <f>647686523/10^6</f>
        <v>647.68652299999997</v>
      </c>
      <c r="F2010">
        <f>0</f>
        <v>0</v>
      </c>
      <c r="G2010">
        <f>232175644/10^6</f>
        <v>232.17564400000001</v>
      </c>
      <c r="H2010">
        <f>0</f>
        <v>0</v>
      </c>
      <c r="I2010">
        <f>-38844128/10^6</f>
        <v>-38.844127999999998</v>
      </c>
      <c r="J2010">
        <f>0</f>
        <v>0</v>
      </c>
    </row>
    <row r="2011" spans="1:10" x14ac:dyDescent="0.25">
      <c r="A2011" t="s">
        <v>2020</v>
      </c>
      <c r="B2011" t="s">
        <v>11</v>
      </c>
      <c r="C2011">
        <v>121.611492188</v>
      </c>
      <c r="D2011">
        <f>0</f>
        <v>0</v>
      </c>
      <c r="E2011">
        <f>648418213/10^6</f>
        <v>648.41821300000004</v>
      </c>
      <c r="F2011">
        <f>0</f>
        <v>0</v>
      </c>
      <c r="G2011">
        <f>232158752/10^6</f>
        <v>232.15875199999999</v>
      </c>
      <c r="H2011">
        <f>0</f>
        <v>0</v>
      </c>
      <c r="I2011">
        <f>-39078773/10^6</f>
        <v>-39.078772999999998</v>
      </c>
      <c r="J2011">
        <f>0</f>
        <v>0</v>
      </c>
    </row>
    <row r="2012" spans="1:10" x14ac:dyDescent="0.25">
      <c r="A2012" t="s">
        <v>2021</v>
      </c>
      <c r="B2012" t="s">
        <v>11</v>
      </c>
      <c r="C2012">
        <v>121.476054688</v>
      </c>
      <c r="D2012">
        <f>0</f>
        <v>0</v>
      </c>
      <c r="E2012">
        <f>649096863/10^6</f>
        <v>649.09686299999998</v>
      </c>
      <c r="F2012">
        <f>0</f>
        <v>0</v>
      </c>
      <c r="G2012">
        <f>232134644/10^6</f>
        <v>232.13464400000001</v>
      </c>
      <c r="H2012">
        <f>0</f>
        <v>0</v>
      </c>
      <c r="I2012">
        <f>-3914006/10^5</f>
        <v>-39.140059999999998</v>
      </c>
      <c r="J2012">
        <f>0</f>
        <v>0</v>
      </c>
    </row>
    <row r="2013" spans="1:10" x14ac:dyDescent="0.25">
      <c r="A2013" t="s">
        <v>2022</v>
      </c>
      <c r="B2013" t="s">
        <v>11</v>
      </c>
      <c r="C2013">
        <v>121.32441406300001</v>
      </c>
      <c r="D2013">
        <f>0</f>
        <v>0</v>
      </c>
      <c r="E2013">
        <f>649759521/10^6</f>
        <v>649.75952099999995</v>
      </c>
      <c r="F2013">
        <f>0</f>
        <v>0</v>
      </c>
      <c r="G2013">
        <f>23210321/10^5</f>
        <v>232.10320999999999</v>
      </c>
      <c r="H2013">
        <f>0</f>
        <v>0</v>
      </c>
      <c r="I2013">
        <f>-38958035/10^6</f>
        <v>-38.958035000000002</v>
      </c>
      <c r="J2013">
        <f>0</f>
        <v>0</v>
      </c>
    </row>
    <row r="2014" spans="1:10" x14ac:dyDescent="0.25">
      <c r="A2014" t="s">
        <v>2023</v>
      </c>
      <c r="B2014" t="s">
        <v>11</v>
      </c>
      <c r="C2014">
        <v>0</v>
      </c>
      <c r="D2014">
        <f>2</f>
        <v>2</v>
      </c>
      <c r="F2014">
        <f>2</f>
        <v>2</v>
      </c>
      <c r="H2014">
        <f>2</f>
        <v>2</v>
      </c>
      <c r="J2014">
        <f>2</f>
        <v>2</v>
      </c>
    </row>
    <row r="2015" spans="1:10" x14ac:dyDescent="0.25">
      <c r="A2015" t="s">
        <v>2024</v>
      </c>
      <c r="B2015" t="s">
        <v>11</v>
      </c>
      <c r="C2015">
        <v>120.97175781300001</v>
      </c>
      <c r="D2015">
        <f>0</f>
        <v>0</v>
      </c>
      <c r="E2015">
        <f>651690125/10^6</f>
        <v>651.69012499999997</v>
      </c>
      <c r="F2015">
        <f>0</f>
        <v>0</v>
      </c>
      <c r="G2015">
        <f>232045715/10^6</f>
        <v>232.045715</v>
      </c>
      <c r="H2015">
        <f>0</f>
        <v>0</v>
      </c>
      <c r="I2015">
        <f>-39018631/10^6</f>
        <v>-39.018630999999999</v>
      </c>
      <c r="J2015">
        <f>0</f>
        <v>0</v>
      </c>
    </row>
    <row r="2016" spans="1:10" x14ac:dyDescent="0.25">
      <c r="A2016" t="s">
        <v>2025</v>
      </c>
      <c r="B2016" t="s">
        <v>11</v>
      </c>
      <c r="C2016">
        <v>120.756257813</v>
      </c>
      <c r="D2016">
        <f>0</f>
        <v>0</v>
      </c>
      <c r="E2016">
        <f>65283667/10^5</f>
        <v>652.83667000000003</v>
      </c>
      <c r="F2016">
        <f>0</f>
        <v>0</v>
      </c>
      <c r="G2016">
        <f>232008621/10^6</f>
        <v>232.00862100000001</v>
      </c>
      <c r="H2016">
        <f>0</f>
        <v>0</v>
      </c>
      <c r="I2016">
        <f>-39162617/10^6</f>
        <v>-39.162616999999997</v>
      </c>
      <c r="J2016">
        <f>0</f>
        <v>0</v>
      </c>
    </row>
    <row r="2017" spans="1:10" x14ac:dyDescent="0.25">
      <c r="A2017" t="s">
        <v>2026</v>
      </c>
      <c r="B2017" t="s">
        <v>11</v>
      </c>
      <c r="C2017">
        <v>120.49953125</v>
      </c>
      <c r="D2017">
        <f>0</f>
        <v>0</v>
      </c>
      <c r="E2017">
        <f>654345764/10^6</f>
        <v>654.34576400000003</v>
      </c>
      <c r="F2017">
        <f>0</f>
        <v>0</v>
      </c>
      <c r="G2017">
        <f>231968857/10^6</f>
        <v>231.96885700000001</v>
      </c>
      <c r="H2017">
        <f>0</f>
        <v>0</v>
      </c>
      <c r="I2017">
        <f>-39464256/10^6</f>
        <v>-39.464255999999999</v>
      </c>
      <c r="J2017">
        <f>0</f>
        <v>0</v>
      </c>
    </row>
    <row r="2018" spans="1:10" x14ac:dyDescent="0.25">
      <c r="A2018" t="s">
        <v>2027</v>
      </c>
      <c r="B2018" t="s">
        <v>11</v>
      </c>
      <c r="C2018">
        <v>120.25456250000001</v>
      </c>
      <c r="D2018">
        <f>0</f>
        <v>0</v>
      </c>
      <c r="E2018">
        <f>655592224/10^6</f>
        <v>655.59222399999999</v>
      </c>
      <c r="F2018">
        <f>0</f>
        <v>0</v>
      </c>
      <c r="G2018">
        <f>231934738/10^6</f>
        <v>231.93473800000001</v>
      </c>
      <c r="H2018">
        <f>0</f>
        <v>0</v>
      </c>
      <c r="I2018">
        <f>-39485664/10^6</f>
        <v>-39.485664</v>
      </c>
      <c r="J2018">
        <f>0</f>
        <v>0</v>
      </c>
    </row>
    <row r="2019" spans="1:10" x14ac:dyDescent="0.25">
      <c r="A2019" t="s">
        <v>2028</v>
      </c>
      <c r="B2019" t="s">
        <v>11</v>
      </c>
      <c r="C2019">
        <v>120.01148437499999</v>
      </c>
      <c r="D2019">
        <f>0</f>
        <v>0</v>
      </c>
      <c r="E2019">
        <f>656873169/10^6</f>
        <v>656.87316899999996</v>
      </c>
      <c r="F2019">
        <f>0</f>
        <v>0</v>
      </c>
      <c r="G2019">
        <f>231893219/10^6</f>
        <v>231.89321899999999</v>
      </c>
      <c r="H2019">
        <f>0</f>
        <v>0</v>
      </c>
      <c r="I2019">
        <f>-39604916/10^6</f>
        <v>-39.604916000000003</v>
      </c>
      <c r="J2019">
        <f>0</f>
        <v>0</v>
      </c>
    </row>
    <row r="2020" spans="1:10" x14ac:dyDescent="0.25">
      <c r="A2020" t="s">
        <v>2029</v>
      </c>
      <c r="B2020" t="s">
        <v>11</v>
      </c>
      <c r="C2020">
        <v>119.745875</v>
      </c>
      <c r="D2020">
        <f>0</f>
        <v>0</v>
      </c>
      <c r="E2020">
        <f>658358459/10^6</f>
        <v>658.35845900000004</v>
      </c>
      <c r="F2020">
        <f>0</f>
        <v>0</v>
      </c>
      <c r="G2020">
        <f>231851913/10^6</f>
        <v>231.851913</v>
      </c>
      <c r="H2020">
        <f>0</f>
        <v>0</v>
      </c>
      <c r="I2020">
        <f>-39937294/10^6</f>
        <v>-39.937294000000001</v>
      </c>
      <c r="J2020">
        <f>0</f>
        <v>0</v>
      </c>
    </row>
    <row r="2021" spans="1:10" x14ac:dyDescent="0.25">
      <c r="A2021" t="s">
        <v>2030</v>
      </c>
      <c r="B2021" t="s">
        <v>11</v>
      </c>
      <c r="C2021">
        <v>119.50249218800001</v>
      </c>
      <c r="D2021">
        <f>0</f>
        <v>0</v>
      </c>
      <c r="E2021">
        <f>659596985/10^6</f>
        <v>659.59698500000002</v>
      </c>
      <c r="F2021">
        <f>0</f>
        <v>0</v>
      </c>
      <c r="G2021">
        <f>231805496/10^6</f>
        <v>231.80549600000001</v>
      </c>
      <c r="H2021">
        <f>0</f>
        <v>0</v>
      </c>
      <c r="I2021">
        <f>-39923336/10^6</f>
        <v>-39.923335999999999</v>
      </c>
      <c r="J2021">
        <f>0</f>
        <v>0</v>
      </c>
    </row>
    <row r="2022" spans="1:10" x14ac:dyDescent="0.25">
      <c r="A2022" t="s">
        <v>2031</v>
      </c>
      <c r="B2022" t="s">
        <v>11</v>
      </c>
      <c r="C2022">
        <v>119.25825</v>
      </c>
      <c r="D2022">
        <f>0</f>
        <v>0</v>
      </c>
      <c r="E2022">
        <f>661055725/10^6</f>
        <v>661.05572500000005</v>
      </c>
      <c r="F2022">
        <f>0</f>
        <v>0</v>
      </c>
      <c r="G2022">
        <f>231764923/10^6</f>
        <v>231.76492300000001</v>
      </c>
      <c r="H2022">
        <f>0</f>
        <v>0</v>
      </c>
      <c r="I2022">
        <f>-40065678/10^6</f>
        <v>-40.065677999999998</v>
      </c>
      <c r="J2022">
        <f>0</f>
        <v>0</v>
      </c>
    </row>
    <row r="2023" spans="1:10" x14ac:dyDescent="0.25">
      <c r="A2023" t="s">
        <v>2032</v>
      </c>
      <c r="B2023" t="s">
        <v>11</v>
      </c>
      <c r="C2023">
        <v>119.02691406300001</v>
      </c>
      <c r="D2023">
        <f>0</f>
        <v>0</v>
      </c>
      <c r="E2023">
        <f>662369934/10^6</f>
        <v>662.36993399999994</v>
      </c>
      <c r="F2023">
        <f>0</f>
        <v>0</v>
      </c>
      <c r="G2023">
        <f>231733795/10^6</f>
        <v>231.73379499999999</v>
      </c>
      <c r="H2023">
        <f>0</f>
        <v>0</v>
      </c>
      <c r="I2023">
        <f>-40226521/10^6</f>
        <v>-40.226520999999998</v>
      </c>
      <c r="J2023">
        <f>0</f>
        <v>0</v>
      </c>
    </row>
    <row r="2024" spans="1:10" x14ac:dyDescent="0.25">
      <c r="A2024" t="s">
        <v>2033</v>
      </c>
      <c r="B2024" t="s">
        <v>11</v>
      </c>
      <c r="C2024">
        <v>118.81989843800001</v>
      </c>
      <c r="D2024">
        <f>0</f>
        <v>0</v>
      </c>
      <c r="E2024">
        <f>663310669/10^6</f>
        <v>663.31066899999996</v>
      </c>
      <c r="F2024">
        <f>0</f>
        <v>0</v>
      </c>
      <c r="G2024">
        <f>231695221/10^6</f>
        <v>231.695221</v>
      </c>
      <c r="H2024">
        <f>0</f>
        <v>0</v>
      </c>
      <c r="I2024">
        <f>-40123825/10^6</f>
        <v>-40.123824999999997</v>
      </c>
      <c r="J2024">
        <f>0</f>
        <v>0</v>
      </c>
    </row>
    <row r="2025" spans="1:10" x14ac:dyDescent="0.25">
      <c r="A2025" t="s">
        <v>2034</v>
      </c>
      <c r="B2025" t="s">
        <v>11</v>
      </c>
      <c r="C2025">
        <v>118.581726563</v>
      </c>
      <c r="D2025">
        <f>0</f>
        <v>0</v>
      </c>
      <c r="E2025">
        <f>664703674/10^6</f>
        <v>664.70367399999998</v>
      </c>
      <c r="F2025">
        <f>0</f>
        <v>0</v>
      </c>
      <c r="G2025">
        <f>231668259/10^6</f>
        <v>231.66825900000001</v>
      </c>
      <c r="H2025">
        <f>0</f>
        <v>0</v>
      </c>
      <c r="I2025">
        <f>-4035091/10^5</f>
        <v>-40.350909999999999</v>
      </c>
      <c r="J2025">
        <f>0</f>
        <v>0</v>
      </c>
    </row>
    <row r="2026" spans="1:10" x14ac:dyDescent="0.25">
      <c r="A2026" t="s">
        <v>2035</v>
      </c>
      <c r="B2026" t="s">
        <v>11</v>
      </c>
      <c r="C2026">
        <v>118.314859375</v>
      </c>
      <c r="D2026">
        <f>0</f>
        <v>0</v>
      </c>
      <c r="E2026">
        <f>666279541/10^6</f>
        <v>666.27954099999999</v>
      </c>
      <c r="F2026">
        <f>0</f>
        <v>0</v>
      </c>
      <c r="G2026">
        <f>23162825/10^5</f>
        <v>231.62825000000001</v>
      </c>
      <c r="H2026">
        <f>0</f>
        <v>0</v>
      </c>
      <c r="I2026">
        <f>-40735523/10^6</f>
        <v>-40.735523000000001</v>
      </c>
      <c r="J2026">
        <f>0</f>
        <v>0</v>
      </c>
    </row>
    <row r="2027" spans="1:10" x14ac:dyDescent="0.25">
      <c r="A2027" t="s">
        <v>2036</v>
      </c>
      <c r="B2027" t="s">
        <v>11</v>
      </c>
      <c r="C2027">
        <v>118.03134375</v>
      </c>
      <c r="D2027">
        <f>0</f>
        <v>0</v>
      </c>
      <c r="E2027">
        <f>667739075/10^6</f>
        <v>667.73907499999996</v>
      </c>
      <c r="F2027">
        <f>0</f>
        <v>0</v>
      </c>
      <c r="G2027">
        <f>23157135/10^5</f>
        <v>231.57135</v>
      </c>
      <c r="H2027">
        <f>0</f>
        <v>0</v>
      </c>
      <c r="I2027">
        <f>-40798576/10^6</f>
        <v>-40.798575999999997</v>
      </c>
      <c r="J2027">
        <f>0</f>
        <v>0</v>
      </c>
    </row>
    <row r="2028" spans="1:10" x14ac:dyDescent="0.25">
      <c r="A2028" t="s">
        <v>2037</v>
      </c>
      <c r="B2028" t="s">
        <v>11</v>
      </c>
      <c r="C2028">
        <v>117.72715624999999</v>
      </c>
      <c r="D2028">
        <f>0</f>
        <v>0</v>
      </c>
      <c r="E2028">
        <f>669526672/10^6</f>
        <v>669.52667199999996</v>
      </c>
      <c r="F2028">
        <f>0</f>
        <v>0</v>
      </c>
      <c r="G2028">
        <f>231542892/10^6</f>
        <v>231.54289199999999</v>
      </c>
      <c r="H2028">
        <f>0</f>
        <v>0</v>
      </c>
      <c r="I2028">
        <f>-40951202/10^6</f>
        <v>-40.951202000000002</v>
      </c>
      <c r="J2028">
        <f>0</f>
        <v>0</v>
      </c>
    </row>
    <row r="2029" spans="1:10" x14ac:dyDescent="0.25">
      <c r="A2029" t="s">
        <v>2038</v>
      </c>
      <c r="B2029" t="s">
        <v>11</v>
      </c>
      <c r="C2029">
        <v>117.403492188</v>
      </c>
      <c r="D2029">
        <f>0</f>
        <v>0</v>
      </c>
      <c r="E2029">
        <f>671394653/10^6</f>
        <v>671.39465299999995</v>
      </c>
      <c r="F2029">
        <f>0</f>
        <v>0</v>
      </c>
      <c r="G2029">
        <f>231510025/10^6</f>
        <v>231.51002500000001</v>
      </c>
      <c r="H2029">
        <f>0</f>
        <v>0</v>
      </c>
      <c r="I2029">
        <f>-4119952/10^5</f>
        <v>-41.19952</v>
      </c>
      <c r="J2029">
        <f>0</f>
        <v>0</v>
      </c>
    </row>
    <row r="2030" spans="1:10" x14ac:dyDescent="0.25">
      <c r="A2030" t="s">
        <v>2039</v>
      </c>
      <c r="B2030" t="s">
        <v>11</v>
      </c>
      <c r="C2030">
        <v>117.075382813</v>
      </c>
      <c r="D2030">
        <f>0</f>
        <v>0</v>
      </c>
      <c r="E2030">
        <f>673240295/10^6</f>
        <v>673.24029499999995</v>
      </c>
      <c r="F2030">
        <f>0</f>
        <v>0</v>
      </c>
      <c r="G2030">
        <f>23145787/10^5</f>
        <v>231.45787000000001</v>
      </c>
      <c r="H2030">
        <f>0</f>
        <v>0</v>
      </c>
      <c r="I2030">
        <f>-41381554/10^6</f>
        <v>-41.381554000000001</v>
      </c>
      <c r="J2030">
        <f>0</f>
        <v>0</v>
      </c>
    </row>
    <row r="2031" spans="1:10" x14ac:dyDescent="0.25">
      <c r="A2031" t="s">
        <v>2040</v>
      </c>
      <c r="B2031" t="s">
        <v>11</v>
      </c>
      <c r="C2031">
        <v>116.753953125</v>
      </c>
      <c r="D2031">
        <f>0</f>
        <v>0</v>
      </c>
      <c r="E2031">
        <f>675094971/10^6</f>
        <v>675.09497099999999</v>
      </c>
      <c r="F2031">
        <f>0</f>
        <v>0</v>
      </c>
      <c r="G2031">
        <f>231412689/10^6</f>
        <v>231.412689</v>
      </c>
      <c r="H2031">
        <f>0</f>
        <v>0</v>
      </c>
      <c r="I2031">
        <f>-41558578/10^6</f>
        <v>-41.558577999999997</v>
      </c>
      <c r="J2031">
        <f>0</f>
        <v>0</v>
      </c>
    </row>
    <row r="2032" spans="1:10" x14ac:dyDescent="0.25">
      <c r="A2032" t="s">
        <v>2041</v>
      </c>
      <c r="B2032" t="s">
        <v>11</v>
      </c>
      <c r="C2032">
        <v>0</v>
      </c>
      <c r="D2032">
        <f>2</f>
        <v>2</v>
      </c>
      <c r="F2032">
        <f>2</f>
        <v>2</v>
      </c>
      <c r="H2032">
        <f>2</f>
        <v>2</v>
      </c>
      <c r="J2032">
        <f>2</f>
        <v>2</v>
      </c>
    </row>
    <row r="2033" spans="1:10" x14ac:dyDescent="0.25">
      <c r="A2033" t="s">
        <v>2042</v>
      </c>
      <c r="B2033" t="s">
        <v>11</v>
      </c>
      <c r="C2033">
        <v>116.10057031300001</v>
      </c>
      <c r="D2033">
        <f>0</f>
        <v>0</v>
      </c>
      <c r="E2033">
        <f>678904907/10^6</f>
        <v>678.90490699999998</v>
      </c>
      <c r="F2033">
        <f>0</f>
        <v>0</v>
      </c>
      <c r="G2033">
        <f>231293518/10^6</f>
        <v>231.29351800000001</v>
      </c>
      <c r="H2033">
        <f>0</f>
        <v>0</v>
      </c>
      <c r="I2033">
        <f>-4208115/10^5</f>
        <v>-42.081150000000001</v>
      </c>
      <c r="J2033">
        <f>0</f>
        <v>0</v>
      </c>
    </row>
    <row r="2034" spans="1:10" x14ac:dyDescent="0.25">
      <c r="A2034" t="s">
        <v>2043</v>
      </c>
      <c r="B2034" t="s">
        <v>11</v>
      </c>
      <c r="C2034">
        <v>115.773195313</v>
      </c>
      <c r="D2034">
        <f>0</f>
        <v>0</v>
      </c>
      <c r="E2034">
        <f>680910461/10^6</f>
        <v>680.91046100000005</v>
      </c>
      <c r="F2034">
        <f>0</f>
        <v>0</v>
      </c>
      <c r="G2034">
        <f>231247253/10^6</f>
        <v>231.247253</v>
      </c>
      <c r="H2034">
        <f>0</f>
        <v>0</v>
      </c>
      <c r="I2034">
        <f>-42565376/10^6</f>
        <v>-42.565376000000001</v>
      </c>
      <c r="J2034">
        <f>0</f>
        <v>0</v>
      </c>
    </row>
    <row r="2035" spans="1:10" x14ac:dyDescent="0.25">
      <c r="A2035" t="s">
        <v>2044</v>
      </c>
      <c r="B2035" t="s">
        <v>11</v>
      </c>
      <c r="C2035">
        <v>115.549632813</v>
      </c>
      <c r="D2035">
        <f>0</f>
        <v>0</v>
      </c>
      <c r="E2035">
        <f>682128174/10^6</f>
        <v>682.12817399999994</v>
      </c>
      <c r="F2035">
        <f>0</f>
        <v>0</v>
      </c>
      <c r="G2035">
        <f>23118483/10^5</f>
        <v>231.18483000000001</v>
      </c>
      <c r="H2035">
        <f>0</f>
        <v>0</v>
      </c>
      <c r="I2035">
        <f>-42712841/10^6</f>
        <v>-42.712840999999997</v>
      </c>
      <c r="J2035">
        <f>0</f>
        <v>0</v>
      </c>
    </row>
    <row r="2036" spans="1:10" x14ac:dyDescent="0.25">
      <c r="A2036" t="s">
        <v>2045</v>
      </c>
      <c r="B2036" t="s">
        <v>11</v>
      </c>
      <c r="C2036">
        <v>115.429179688</v>
      </c>
      <c r="D2036">
        <f>0</f>
        <v>0</v>
      </c>
      <c r="E2036">
        <f>682882019/10^6</f>
        <v>682.88201900000001</v>
      </c>
      <c r="F2036">
        <f>0</f>
        <v>0</v>
      </c>
      <c r="G2036">
        <f>231146973/10^6</f>
        <v>231.146973</v>
      </c>
      <c r="H2036">
        <f>0</f>
        <v>0</v>
      </c>
      <c r="I2036">
        <f>-42819866/10^6</f>
        <v>-42.819865999999998</v>
      </c>
      <c r="J2036">
        <f>0</f>
        <v>0</v>
      </c>
    </row>
    <row r="2037" spans="1:10" x14ac:dyDescent="0.25">
      <c r="A2037" t="s">
        <v>2046</v>
      </c>
      <c r="B2037" t="s">
        <v>11</v>
      </c>
      <c r="C2037">
        <v>0</v>
      </c>
      <c r="D2037">
        <f>2</f>
        <v>2</v>
      </c>
      <c r="F2037">
        <f>2</f>
        <v>2</v>
      </c>
      <c r="H2037">
        <f>2</f>
        <v>2</v>
      </c>
      <c r="J2037">
        <f>2</f>
        <v>2</v>
      </c>
    </row>
    <row r="2038" spans="1:10" x14ac:dyDescent="0.25">
      <c r="A2038" t="s">
        <v>2047</v>
      </c>
      <c r="B2038" t="s">
        <v>11</v>
      </c>
      <c r="C2038">
        <v>115.11984375</v>
      </c>
      <c r="D2038">
        <f>0</f>
        <v>0</v>
      </c>
      <c r="E2038">
        <f>684536926/10^6</f>
        <v>684.53692599999999</v>
      </c>
      <c r="F2038">
        <f>0</f>
        <v>0</v>
      </c>
      <c r="G2038">
        <f>231068314/10^6</f>
        <v>231.06831399999999</v>
      </c>
      <c r="H2038">
        <f>0</f>
        <v>0</v>
      </c>
      <c r="I2038">
        <f>-42915741/10^6</f>
        <v>-42.915740999999997</v>
      </c>
      <c r="J2038">
        <f>0</f>
        <v>0</v>
      </c>
    </row>
    <row r="2039" spans="1:10" x14ac:dyDescent="0.25">
      <c r="A2039" t="s">
        <v>2048</v>
      </c>
      <c r="B2039" t="s">
        <v>11</v>
      </c>
      <c r="C2039">
        <v>114.98946875</v>
      </c>
      <c r="D2039">
        <f>0</f>
        <v>0</v>
      </c>
      <c r="E2039">
        <f>685181519/10^6</f>
        <v>685.18151899999998</v>
      </c>
      <c r="F2039">
        <f>0</f>
        <v>0</v>
      </c>
      <c r="G2039">
        <f>230990112/10^6</f>
        <v>230.99011200000001</v>
      </c>
      <c r="H2039">
        <f>0</f>
        <v>0</v>
      </c>
      <c r="I2039">
        <f>-43159031/10^6</f>
        <v>-43.159030999999999</v>
      </c>
      <c r="J2039">
        <f>0</f>
        <v>0</v>
      </c>
    </row>
    <row r="2040" spans="1:10" x14ac:dyDescent="0.25">
      <c r="A2040" t="s">
        <v>2049</v>
      </c>
      <c r="B2040" t="s">
        <v>11</v>
      </c>
      <c r="C2040">
        <v>114.876625</v>
      </c>
      <c r="D2040">
        <f>0</f>
        <v>0</v>
      </c>
      <c r="E2040">
        <f>685548035/10^6</f>
        <v>685.54803500000003</v>
      </c>
      <c r="F2040">
        <f>0</f>
        <v>0</v>
      </c>
      <c r="G2040">
        <f>230881729/10^6</f>
        <v>230.88172900000001</v>
      </c>
      <c r="H2040">
        <f>0</f>
        <v>0</v>
      </c>
      <c r="I2040">
        <f>-43177402/10^6</f>
        <v>-43.177402000000001</v>
      </c>
      <c r="J2040">
        <f>0</f>
        <v>0</v>
      </c>
    </row>
    <row r="2041" spans="1:10" x14ac:dyDescent="0.25">
      <c r="A2041" t="s">
        <v>2050</v>
      </c>
      <c r="B2041" t="s">
        <v>11</v>
      </c>
      <c r="C2041">
        <v>114.76481250000001</v>
      </c>
      <c r="D2041">
        <f>0</f>
        <v>0</v>
      </c>
      <c r="E2041">
        <f>686218506/10^6</f>
        <v>686.21850600000005</v>
      </c>
      <c r="F2041">
        <f>0</f>
        <v>0</v>
      </c>
      <c r="G2041">
        <f>230849487/10^6</f>
        <v>230.84948700000001</v>
      </c>
      <c r="H2041">
        <f>0</f>
        <v>0</v>
      </c>
      <c r="I2041">
        <f>-43137505/10^6</f>
        <v>-43.137504999999997</v>
      </c>
      <c r="J2041">
        <f>0</f>
        <v>0</v>
      </c>
    </row>
    <row r="2042" spans="1:10" x14ac:dyDescent="0.25">
      <c r="A2042" t="s">
        <v>2051</v>
      </c>
      <c r="B2042" t="s">
        <v>11</v>
      </c>
      <c r="C2042">
        <v>114.68803906300001</v>
      </c>
      <c r="D2042">
        <f>0</f>
        <v>0</v>
      </c>
      <c r="E2042">
        <f>687012451/10^6</f>
        <v>687.01245100000006</v>
      </c>
      <c r="F2042">
        <f>0</f>
        <v>0</v>
      </c>
      <c r="G2042">
        <f>230903839/10^6</f>
        <v>230.903839</v>
      </c>
      <c r="H2042">
        <f>0</f>
        <v>0</v>
      </c>
      <c r="I2042">
        <f>-43465679/10^6</f>
        <v>-43.465679000000002</v>
      </c>
      <c r="J2042">
        <f>0</f>
        <v>0</v>
      </c>
    </row>
    <row r="2043" spans="1:10" x14ac:dyDescent="0.25">
      <c r="A2043" t="s">
        <v>2052</v>
      </c>
      <c r="B2043" t="s">
        <v>11</v>
      </c>
      <c r="C2043">
        <v>114.718507813</v>
      </c>
      <c r="D2043">
        <f>0</f>
        <v>0</v>
      </c>
      <c r="E2043">
        <f>686889832/10^6</f>
        <v>686.88983199999996</v>
      </c>
      <c r="F2043">
        <f>0</f>
        <v>0</v>
      </c>
      <c r="G2043">
        <f>230940536/10^6</f>
        <v>230.94053600000001</v>
      </c>
      <c r="H2043">
        <f>0</f>
        <v>0</v>
      </c>
      <c r="I2043">
        <f>-43542511/10^6</f>
        <v>-43.542510999999998</v>
      </c>
      <c r="J2043">
        <f>0</f>
        <v>0</v>
      </c>
    </row>
    <row r="2044" spans="1:10" x14ac:dyDescent="0.25">
      <c r="A2044" t="s">
        <v>2053</v>
      </c>
      <c r="B2044" t="s">
        <v>11</v>
      </c>
      <c r="C2044">
        <v>114.804875</v>
      </c>
      <c r="D2044">
        <f>0</f>
        <v>0</v>
      </c>
      <c r="E2044">
        <f>686348572/10^6</f>
        <v>686.34857199999999</v>
      </c>
      <c r="F2044">
        <f>0</f>
        <v>0</v>
      </c>
      <c r="G2044">
        <f>230962921/10^6</f>
        <v>230.96292099999999</v>
      </c>
      <c r="H2044">
        <f>0</f>
        <v>0</v>
      </c>
      <c r="I2044">
        <f>-43332607/10^6</f>
        <v>-43.332607000000003</v>
      </c>
      <c r="J2044">
        <f>0</f>
        <v>0</v>
      </c>
    </row>
    <row r="2045" spans="1:10" x14ac:dyDescent="0.25">
      <c r="A2045" t="s">
        <v>2054</v>
      </c>
      <c r="B2045" t="s">
        <v>11</v>
      </c>
      <c r="C2045">
        <v>114.853359375</v>
      </c>
      <c r="D2045">
        <f>0</f>
        <v>0</v>
      </c>
      <c r="E2045">
        <f>686115845/10^6</f>
        <v>686.11584500000004</v>
      </c>
      <c r="F2045">
        <f>0</f>
        <v>0</v>
      </c>
      <c r="G2045">
        <f>23099559/10^5</f>
        <v>230.99558999999999</v>
      </c>
      <c r="H2045">
        <f>0</f>
        <v>0</v>
      </c>
      <c r="I2045">
        <f>-4331208/10^5</f>
        <v>-43.312080000000002</v>
      </c>
      <c r="J2045">
        <f>0</f>
        <v>0</v>
      </c>
    </row>
    <row r="2046" spans="1:10" x14ac:dyDescent="0.25">
      <c r="A2046" t="s">
        <v>2055</v>
      </c>
      <c r="B2046" t="s">
        <v>11</v>
      </c>
      <c r="C2046">
        <v>114.923382813</v>
      </c>
      <c r="D2046">
        <f>0</f>
        <v>0</v>
      </c>
      <c r="E2046">
        <f>685602112/10^6</f>
        <v>685.60211200000003</v>
      </c>
      <c r="F2046">
        <f>0</f>
        <v>0</v>
      </c>
      <c r="G2046">
        <f>231006531/10^6</f>
        <v>231.006531</v>
      </c>
      <c r="H2046">
        <f>0</f>
        <v>0</v>
      </c>
      <c r="I2046">
        <f>-43194977/10^6</f>
        <v>-43.194977000000002</v>
      </c>
      <c r="J2046">
        <f>0</f>
        <v>0</v>
      </c>
    </row>
    <row r="2047" spans="1:10" x14ac:dyDescent="0.25">
      <c r="A2047" t="s">
        <v>2056</v>
      </c>
      <c r="B2047" t="s">
        <v>11</v>
      </c>
      <c r="C2047">
        <v>115.07940625000001</v>
      </c>
      <c r="D2047">
        <f>0</f>
        <v>0</v>
      </c>
      <c r="E2047">
        <f>684676086/10^6</f>
        <v>684.67608600000005</v>
      </c>
      <c r="F2047">
        <f>0</f>
        <v>0</v>
      </c>
      <c r="G2047">
        <f>231034088/10^6</f>
        <v>231.034088</v>
      </c>
      <c r="H2047">
        <f>0</f>
        <v>0</v>
      </c>
      <c r="I2047">
        <f>-43000774/10^6</f>
        <v>-43.000774</v>
      </c>
      <c r="J2047">
        <f>0</f>
        <v>0</v>
      </c>
    </row>
    <row r="2048" spans="1:10" x14ac:dyDescent="0.25">
      <c r="A2048" t="s">
        <v>2057</v>
      </c>
      <c r="B2048" t="s">
        <v>11</v>
      </c>
      <c r="C2048">
        <v>115.31303906300001</v>
      </c>
      <c r="D2048">
        <f>0</f>
        <v>0</v>
      </c>
      <c r="E2048">
        <f>683485474/10^6</f>
        <v>683.48547399999995</v>
      </c>
      <c r="F2048">
        <f>0</f>
        <v>0</v>
      </c>
      <c r="G2048">
        <f>23111937/10^5</f>
        <v>231.11937</v>
      </c>
      <c r="H2048">
        <f>0</f>
        <v>0</v>
      </c>
      <c r="I2048">
        <f>-42903549/10^6</f>
        <v>-42.903548999999998</v>
      </c>
      <c r="J2048">
        <f>0</f>
        <v>0</v>
      </c>
    </row>
    <row r="2049" spans="1:10" x14ac:dyDescent="0.25">
      <c r="A2049" t="s">
        <v>2058</v>
      </c>
      <c r="B2049" t="s">
        <v>11</v>
      </c>
      <c r="C2049">
        <v>115.59939843800001</v>
      </c>
      <c r="D2049">
        <f>0</f>
        <v>0</v>
      </c>
      <c r="E2049">
        <f>682094421/10^6</f>
        <v>682.09442100000001</v>
      </c>
      <c r="F2049">
        <f>0</f>
        <v>0</v>
      </c>
      <c r="G2049">
        <f>231243805/10^6</f>
        <v>231.24380500000001</v>
      </c>
      <c r="H2049">
        <f>0</f>
        <v>0</v>
      </c>
      <c r="I2049">
        <f>-4283408/10^5</f>
        <v>-42.83408</v>
      </c>
      <c r="J2049">
        <f>0</f>
        <v>0</v>
      </c>
    </row>
    <row r="2050" spans="1:10" x14ac:dyDescent="0.25">
      <c r="A2050" t="s">
        <v>2059</v>
      </c>
      <c r="B2050" t="s">
        <v>11</v>
      </c>
      <c r="C2050">
        <v>115.91678906300001</v>
      </c>
      <c r="D2050">
        <f>0</f>
        <v>0</v>
      </c>
      <c r="E2050">
        <f>680618347/10^6</f>
        <v>680.61834699999997</v>
      </c>
      <c r="F2050">
        <f>0</f>
        <v>0</v>
      </c>
      <c r="G2050">
        <f>231353073/10^6</f>
        <v>231.35307299999999</v>
      </c>
      <c r="H2050">
        <f>0</f>
        <v>0</v>
      </c>
      <c r="I2050">
        <f>-4295356/10^5</f>
        <v>-42.953560000000003</v>
      </c>
      <c r="J2050">
        <f>0</f>
        <v>0</v>
      </c>
    </row>
    <row r="2051" spans="1:10" x14ac:dyDescent="0.25">
      <c r="A2051" t="s">
        <v>2060</v>
      </c>
      <c r="B2051" t="s">
        <v>11</v>
      </c>
      <c r="C2051">
        <v>116.27809375</v>
      </c>
      <c r="D2051">
        <f>0</f>
        <v>0</v>
      </c>
      <c r="E2051">
        <f>678638855/10^6</f>
        <v>678.63885500000004</v>
      </c>
      <c r="F2051">
        <f>0</f>
        <v>0</v>
      </c>
      <c r="G2051">
        <f>231440735/10^6</f>
        <v>231.44073499999999</v>
      </c>
      <c r="H2051">
        <f>0</f>
        <v>0</v>
      </c>
      <c r="I2051">
        <f>-42775085/10^6</f>
        <v>-42.775084999999997</v>
      </c>
      <c r="J2051">
        <f>0</f>
        <v>0</v>
      </c>
    </row>
    <row r="2052" spans="1:10" x14ac:dyDescent="0.25">
      <c r="A2052" t="s">
        <v>2061</v>
      </c>
      <c r="B2052" t="s">
        <v>11</v>
      </c>
      <c r="C2052">
        <v>116.719976563</v>
      </c>
      <c r="D2052">
        <f>0</f>
        <v>0</v>
      </c>
      <c r="E2052">
        <f>675853943/10^6</f>
        <v>675.85394299999996</v>
      </c>
      <c r="F2052">
        <f>0</f>
        <v>0</v>
      </c>
      <c r="G2052">
        <f>231509384/10^6</f>
        <v>231.50938400000001</v>
      </c>
      <c r="H2052">
        <f>0</f>
        <v>0</v>
      </c>
      <c r="I2052">
        <f>-42174088/10^6</f>
        <v>-42.174087999999998</v>
      </c>
      <c r="J2052">
        <f>0</f>
        <v>0</v>
      </c>
    </row>
    <row r="2053" spans="1:10" x14ac:dyDescent="0.25">
      <c r="A2053" t="s">
        <v>2062</v>
      </c>
      <c r="B2053" t="s">
        <v>11</v>
      </c>
      <c r="C2053">
        <v>0</v>
      </c>
      <c r="D2053">
        <f>2</f>
        <v>2</v>
      </c>
      <c r="F2053">
        <f>2</f>
        <v>2</v>
      </c>
      <c r="H2053">
        <f>2</f>
        <v>2</v>
      </c>
      <c r="J2053">
        <f>2</f>
        <v>2</v>
      </c>
    </row>
    <row r="2054" spans="1:10" x14ac:dyDescent="0.25">
      <c r="A2054" t="s">
        <v>2063</v>
      </c>
      <c r="B2054" t="s">
        <v>11</v>
      </c>
      <c r="C2054">
        <v>117.8900625</v>
      </c>
      <c r="D2054">
        <f>0</f>
        <v>0</v>
      </c>
      <c r="E2054">
        <f>669176208/10^6</f>
        <v>669.17620799999997</v>
      </c>
      <c r="F2054">
        <f>0</f>
        <v>0</v>
      </c>
      <c r="G2054">
        <f>231649124/10^6</f>
        <v>231.649124</v>
      </c>
      <c r="H2054">
        <f>0</f>
        <v>0</v>
      </c>
      <c r="I2054">
        <f>-41665222/10^6</f>
        <v>-41.665222</v>
      </c>
      <c r="J2054">
        <f>0</f>
        <v>0</v>
      </c>
    </row>
    <row r="2055" spans="1:10" x14ac:dyDescent="0.25">
      <c r="A2055" t="s">
        <v>2064</v>
      </c>
      <c r="B2055" t="s">
        <v>11</v>
      </c>
      <c r="C2055">
        <v>118.59275781300001</v>
      </c>
      <c r="D2055">
        <f>0</f>
        <v>0</v>
      </c>
      <c r="E2055">
        <f>665188904/10^6</f>
        <v>665.18890399999998</v>
      </c>
      <c r="F2055">
        <f>0</f>
        <v>0</v>
      </c>
      <c r="G2055">
        <f>231735062/10^6</f>
        <v>231.735062</v>
      </c>
      <c r="H2055">
        <f>0</f>
        <v>0</v>
      </c>
      <c r="I2055">
        <f>-41250778/10^6</f>
        <v>-41.250777999999997</v>
      </c>
      <c r="J2055">
        <f>0</f>
        <v>0</v>
      </c>
    </row>
    <row r="2056" spans="1:10" x14ac:dyDescent="0.25">
      <c r="A2056" t="s">
        <v>2065</v>
      </c>
      <c r="B2056" t="s">
        <v>11</v>
      </c>
      <c r="C2056">
        <v>119.35626562500001</v>
      </c>
      <c r="D2056">
        <f>0</f>
        <v>0</v>
      </c>
      <c r="E2056">
        <f>660829346/10^6</f>
        <v>660.82934599999999</v>
      </c>
      <c r="F2056">
        <f>0</f>
        <v>0</v>
      </c>
      <c r="G2056">
        <f>231823074/10^6</f>
        <v>231.82307399999999</v>
      </c>
      <c r="H2056">
        <f>0</f>
        <v>0</v>
      </c>
      <c r="I2056">
        <f>-40697552/10^6</f>
        <v>-40.697552000000002</v>
      </c>
      <c r="J2056">
        <f>0</f>
        <v>0</v>
      </c>
    </row>
    <row r="2057" spans="1:10" x14ac:dyDescent="0.25">
      <c r="A2057" t="s">
        <v>2066</v>
      </c>
      <c r="B2057" t="s">
        <v>11</v>
      </c>
      <c r="C2057">
        <v>120.12971874999999</v>
      </c>
      <c r="D2057">
        <f>0</f>
        <v>0</v>
      </c>
      <c r="E2057">
        <f>656303345/10^6</f>
        <v>656.30334500000004</v>
      </c>
      <c r="F2057">
        <f>0</f>
        <v>0</v>
      </c>
      <c r="G2057">
        <f>231861938/10^6</f>
        <v>231.86193800000001</v>
      </c>
      <c r="H2057">
        <f>0</f>
        <v>0</v>
      </c>
      <c r="I2057">
        <f>-40213387/10^6</f>
        <v>-40.213386999999997</v>
      </c>
      <c r="J2057">
        <f>0</f>
        <v>0</v>
      </c>
    </row>
    <row r="2058" spans="1:10" x14ac:dyDescent="0.25">
      <c r="A2058" t="s">
        <v>2067</v>
      </c>
      <c r="B2058" t="s">
        <v>11</v>
      </c>
      <c r="C2058">
        <v>120.867875</v>
      </c>
      <c r="D2058">
        <f>0</f>
        <v>0</v>
      </c>
      <c r="E2058">
        <f>652067017/10^6</f>
        <v>652.06701699999996</v>
      </c>
      <c r="F2058">
        <f>0</f>
        <v>0</v>
      </c>
      <c r="G2058">
        <f>231881302/10^6</f>
        <v>231.88130200000001</v>
      </c>
      <c r="H2058">
        <f>0</f>
        <v>0</v>
      </c>
      <c r="I2058">
        <f>-39810863/10^6</f>
        <v>-39.810862999999998</v>
      </c>
      <c r="J2058">
        <f>0</f>
        <v>0</v>
      </c>
    </row>
    <row r="2059" spans="1:10" x14ac:dyDescent="0.25">
      <c r="A2059" t="s">
        <v>2068</v>
      </c>
      <c r="B2059" t="s">
        <v>11</v>
      </c>
      <c r="C2059">
        <v>121.43834375</v>
      </c>
      <c r="D2059">
        <f>0</f>
        <v>0</v>
      </c>
      <c r="E2059">
        <f>648709045/10^6</f>
        <v>648.70904499999995</v>
      </c>
      <c r="F2059">
        <f>0</f>
        <v>0</v>
      </c>
      <c r="G2059">
        <f>231915939/10^6</f>
        <v>231.91593900000001</v>
      </c>
      <c r="H2059">
        <f>0</f>
        <v>0</v>
      </c>
      <c r="I2059">
        <f>-39315254/10^6</f>
        <v>-39.315254000000003</v>
      </c>
      <c r="J2059">
        <f>0</f>
        <v>0</v>
      </c>
    </row>
    <row r="2060" spans="1:10" x14ac:dyDescent="0.25">
      <c r="A2060" t="s">
        <v>2069</v>
      </c>
      <c r="B2060" t="s">
        <v>11</v>
      </c>
      <c r="C2060">
        <v>121.785398438</v>
      </c>
      <c r="D2060">
        <f>0</f>
        <v>0</v>
      </c>
      <c r="E2060">
        <f>646735413/10^6</f>
        <v>646.73541299999999</v>
      </c>
      <c r="F2060">
        <f>0</f>
        <v>0</v>
      </c>
      <c r="G2060">
        <f>231960602/10^6</f>
        <v>231.96060199999999</v>
      </c>
      <c r="H2060">
        <f>0</f>
        <v>0</v>
      </c>
      <c r="I2060">
        <f>-38977253/10^6</f>
        <v>-38.977252999999997</v>
      </c>
      <c r="J2060">
        <f>0</f>
        <v>0</v>
      </c>
    </row>
    <row r="2061" spans="1:10" x14ac:dyDescent="0.25">
      <c r="A2061" t="s">
        <v>2070</v>
      </c>
      <c r="B2061" t="s">
        <v>11</v>
      </c>
      <c r="C2061">
        <v>122.001085938</v>
      </c>
      <c r="D2061">
        <f>0</f>
        <v>0</v>
      </c>
      <c r="E2061">
        <f>64583374/10^5</f>
        <v>645.83374000000003</v>
      </c>
      <c r="F2061">
        <f>0</f>
        <v>0</v>
      </c>
      <c r="G2061">
        <f>232018799/10^6</f>
        <v>232.018799</v>
      </c>
      <c r="H2061">
        <f>0</f>
        <v>0</v>
      </c>
      <c r="I2061">
        <f>-39010471/10^6</f>
        <v>-39.010471000000003</v>
      </c>
      <c r="J2061">
        <f>0</f>
        <v>0</v>
      </c>
    </row>
    <row r="2062" spans="1:10" x14ac:dyDescent="0.25">
      <c r="A2062" t="s">
        <v>2071</v>
      </c>
      <c r="B2062" t="s">
        <v>11</v>
      </c>
      <c r="C2062">
        <v>122.142515625</v>
      </c>
      <c r="D2062">
        <f>0</f>
        <v>0</v>
      </c>
      <c r="E2062">
        <f>645148987/10^6</f>
        <v>645.14898700000003</v>
      </c>
      <c r="F2062">
        <f>0</f>
        <v>0</v>
      </c>
      <c r="G2062">
        <f>232081024/10^6</f>
        <v>232.08102400000001</v>
      </c>
      <c r="H2062">
        <f>0</f>
        <v>0</v>
      </c>
      <c r="I2062">
        <f>-39058697/10^6</f>
        <v>-39.058697000000002</v>
      </c>
      <c r="J2062">
        <f>0</f>
        <v>0</v>
      </c>
    </row>
    <row r="2063" spans="1:10" x14ac:dyDescent="0.25">
      <c r="A2063" t="s">
        <v>2072</v>
      </c>
      <c r="B2063" t="s">
        <v>11</v>
      </c>
      <c r="C2063">
        <v>122.25203125</v>
      </c>
      <c r="D2063">
        <f>0</f>
        <v>0</v>
      </c>
      <c r="E2063">
        <f>644478638/10^6</f>
        <v>644.47863800000005</v>
      </c>
      <c r="F2063">
        <f>0</f>
        <v>0</v>
      </c>
      <c r="G2063">
        <f>232130157/10^6</f>
        <v>232.130157</v>
      </c>
      <c r="H2063">
        <f>0</f>
        <v>0</v>
      </c>
      <c r="I2063">
        <f>-38713322/10^6</f>
        <v>-38.713321999999998</v>
      </c>
      <c r="J2063">
        <f>0</f>
        <v>0</v>
      </c>
    </row>
    <row r="2064" spans="1:10" x14ac:dyDescent="0.25">
      <c r="A2064" t="s">
        <v>2073</v>
      </c>
      <c r="B2064" t="s">
        <v>11</v>
      </c>
      <c r="C2064">
        <v>122.309054688</v>
      </c>
      <c r="D2064">
        <f>0</f>
        <v>0</v>
      </c>
      <c r="E2064">
        <f>644193787/10^6</f>
        <v>644.19378700000004</v>
      </c>
      <c r="F2064">
        <f>0</f>
        <v>0</v>
      </c>
      <c r="G2064">
        <f>232166687/10^6</f>
        <v>232.166687</v>
      </c>
      <c r="H2064">
        <f>0</f>
        <v>0</v>
      </c>
      <c r="I2064">
        <f>-3840287/10^5</f>
        <v>-38.40287</v>
      </c>
      <c r="J2064">
        <f>0</f>
        <v>0</v>
      </c>
    </row>
    <row r="2065" spans="1:10" x14ac:dyDescent="0.25">
      <c r="A2065" t="s">
        <v>2074</v>
      </c>
      <c r="B2065" t="s">
        <v>11</v>
      </c>
      <c r="C2065">
        <v>122.28430468800001</v>
      </c>
      <c r="D2065">
        <f>0</f>
        <v>0</v>
      </c>
      <c r="E2065">
        <f>644474304/10^6</f>
        <v>644.47430399999996</v>
      </c>
      <c r="F2065">
        <f>0</f>
        <v>0</v>
      </c>
      <c r="G2065">
        <f>232199341/10^6</f>
        <v>232.199341</v>
      </c>
      <c r="H2065">
        <f>0</f>
        <v>0</v>
      </c>
      <c r="I2065">
        <f>-38493397/10^6</f>
        <v>-38.493397000000002</v>
      </c>
      <c r="J2065">
        <f>0</f>
        <v>0</v>
      </c>
    </row>
    <row r="2066" spans="1:10" x14ac:dyDescent="0.25">
      <c r="A2066" t="s">
        <v>2075</v>
      </c>
      <c r="B2066" t="s">
        <v>11</v>
      </c>
      <c r="C2066">
        <v>122.210414063</v>
      </c>
      <c r="D2066">
        <f>0</f>
        <v>0</v>
      </c>
      <c r="E2066">
        <f>645154602/10^6</f>
        <v>645.15460199999995</v>
      </c>
      <c r="F2066">
        <f>0</f>
        <v>0</v>
      </c>
      <c r="G2066">
        <f>232218491/10^6</f>
        <v>232.218491</v>
      </c>
      <c r="H2066">
        <f>0</f>
        <v>0</v>
      </c>
      <c r="I2066">
        <f>-38731785/10^6</f>
        <v>-38.731785000000002</v>
      </c>
      <c r="J2066">
        <f>0</f>
        <v>0</v>
      </c>
    </row>
    <row r="2067" spans="1:10" x14ac:dyDescent="0.25">
      <c r="A2067" t="s">
        <v>2076</v>
      </c>
      <c r="B2067" t="s">
        <v>11</v>
      </c>
      <c r="C2067">
        <v>122.0999375</v>
      </c>
      <c r="D2067">
        <f>0</f>
        <v>0</v>
      </c>
      <c r="E2067">
        <f>645761414/10^6</f>
        <v>645.76141399999995</v>
      </c>
      <c r="F2067">
        <f>0</f>
        <v>0</v>
      </c>
      <c r="G2067">
        <f>232228912/10^6</f>
        <v>232.22891200000001</v>
      </c>
      <c r="H2067">
        <f>0</f>
        <v>0</v>
      </c>
      <c r="I2067">
        <f>-38710201/10^6</f>
        <v>-38.710200999999998</v>
      </c>
      <c r="J2067">
        <f>0</f>
        <v>0</v>
      </c>
    </row>
    <row r="2068" spans="1:10" x14ac:dyDescent="0.25">
      <c r="A2068" t="s">
        <v>2077</v>
      </c>
      <c r="B2068" t="s">
        <v>11</v>
      </c>
      <c r="C2068">
        <v>121.947101563</v>
      </c>
      <c r="D2068">
        <f>0</f>
        <v>0</v>
      </c>
      <c r="E2068">
        <f>646510193/10^6</f>
        <v>646.51019299999996</v>
      </c>
      <c r="F2068">
        <f>0</f>
        <v>0</v>
      </c>
      <c r="G2068">
        <f>232226654/10^6</f>
        <v>232.226654</v>
      </c>
      <c r="H2068">
        <f>0</f>
        <v>0</v>
      </c>
      <c r="I2068">
        <f>-38711391/10^6</f>
        <v>-38.711390999999999</v>
      </c>
      <c r="J2068">
        <f>0</f>
        <v>0</v>
      </c>
    </row>
    <row r="2069" spans="1:10" x14ac:dyDescent="0.25">
      <c r="A2069" t="s">
        <v>2078</v>
      </c>
      <c r="B2069" t="s">
        <v>11</v>
      </c>
      <c r="C2069">
        <v>121.76267968800001</v>
      </c>
      <c r="D2069">
        <f>0</f>
        <v>0</v>
      </c>
      <c r="E2069">
        <f>647676514/10^6</f>
        <v>647.676514</v>
      </c>
      <c r="F2069">
        <f>0</f>
        <v>0</v>
      </c>
      <c r="G2069">
        <f>232211807/10^6</f>
        <v>232.21180699999999</v>
      </c>
      <c r="H2069">
        <f>0</f>
        <v>0</v>
      </c>
      <c r="I2069">
        <f>-38929905/10^6</f>
        <v>-38.929904999999998</v>
      </c>
      <c r="J2069">
        <f>0</f>
        <v>0</v>
      </c>
    </row>
    <row r="2070" spans="1:10" x14ac:dyDescent="0.25">
      <c r="A2070" t="s">
        <v>2079</v>
      </c>
      <c r="B2070" t="s">
        <v>11</v>
      </c>
      <c r="C2070">
        <v>121.561757813</v>
      </c>
      <c r="D2070">
        <f>0</f>
        <v>0</v>
      </c>
      <c r="E2070">
        <f>648764648/10^6</f>
        <v>648.76464799999997</v>
      </c>
      <c r="F2070">
        <f>0</f>
        <v>0</v>
      </c>
      <c r="G2070">
        <f>23218428/10^5</f>
        <v>232.18428</v>
      </c>
      <c r="H2070">
        <f>0</f>
        <v>0</v>
      </c>
      <c r="I2070">
        <f>-38968082/10^6</f>
        <v>-38.968082000000003</v>
      </c>
      <c r="J2070">
        <f>0</f>
        <v>0</v>
      </c>
    </row>
    <row r="2071" spans="1:10" x14ac:dyDescent="0.25">
      <c r="A2071" t="s">
        <v>2080</v>
      </c>
      <c r="B2071" t="s">
        <v>11</v>
      </c>
      <c r="C2071">
        <v>121.33940625</v>
      </c>
      <c r="D2071">
        <f>0</f>
        <v>0</v>
      </c>
      <c r="E2071">
        <f>64984967/10^5</f>
        <v>649.84966999999995</v>
      </c>
      <c r="F2071">
        <f>0</f>
        <v>0</v>
      </c>
      <c r="G2071">
        <f>232147186/10^6</f>
        <v>232.147186</v>
      </c>
      <c r="H2071">
        <f>0</f>
        <v>0</v>
      </c>
      <c r="I2071">
        <f>-38997478/10^6</f>
        <v>-38.997478000000001</v>
      </c>
      <c r="J2071">
        <f>0</f>
        <v>0</v>
      </c>
    </row>
    <row r="2072" spans="1:10" x14ac:dyDescent="0.25">
      <c r="A2072" t="s">
        <v>2081</v>
      </c>
      <c r="B2072" t="s">
        <v>11</v>
      </c>
      <c r="C2072">
        <v>121.076976563</v>
      </c>
      <c r="D2072">
        <f>0</f>
        <v>0</v>
      </c>
      <c r="E2072">
        <f>651263733/10^6</f>
        <v>651.263733</v>
      </c>
      <c r="F2072">
        <f>0</f>
        <v>0</v>
      </c>
      <c r="G2072">
        <f>232107513/10^6</f>
        <v>232.10751300000001</v>
      </c>
      <c r="H2072">
        <f>0</f>
        <v>0</v>
      </c>
      <c r="I2072">
        <f>-39029015/10^6</f>
        <v>-39.029015000000001</v>
      </c>
      <c r="J2072">
        <f>0</f>
        <v>0</v>
      </c>
    </row>
    <row r="2073" spans="1:10" x14ac:dyDescent="0.25">
      <c r="A2073" t="s">
        <v>2082</v>
      </c>
      <c r="B2073" t="s">
        <v>11</v>
      </c>
      <c r="C2073">
        <v>120.77469531300001</v>
      </c>
      <c r="D2073">
        <f>0</f>
        <v>0</v>
      </c>
      <c r="E2073">
        <f>652855347/10^6</f>
        <v>652.85534700000005</v>
      </c>
      <c r="F2073">
        <f>0</f>
        <v>0</v>
      </c>
      <c r="G2073">
        <f>232055939/10^6</f>
        <v>232.055939</v>
      </c>
      <c r="H2073">
        <f>0</f>
        <v>0</v>
      </c>
      <c r="I2073">
        <f>-39119705/10^6</f>
        <v>-39.119705000000003</v>
      </c>
      <c r="J2073">
        <f>0</f>
        <v>0</v>
      </c>
    </row>
    <row r="2074" spans="1:10" x14ac:dyDescent="0.25">
      <c r="A2074" t="s">
        <v>2083</v>
      </c>
      <c r="B2074" t="s">
        <v>11</v>
      </c>
      <c r="C2074">
        <v>120.449984375</v>
      </c>
      <c r="D2074">
        <f>0</f>
        <v>0</v>
      </c>
      <c r="E2074">
        <f>654613708/10^6</f>
        <v>654.61370799999997</v>
      </c>
      <c r="F2074">
        <f>0</f>
        <v>0</v>
      </c>
      <c r="G2074">
        <f>232002853/10^6</f>
        <v>232.00285299999999</v>
      </c>
      <c r="H2074">
        <f>0</f>
        <v>0</v>
      </c>
      <c r="I2074">
        <f>-39390392/10^6</f>
        <v>-39.390391999999999</v>
      </c>
      <c r="J2074">
        <f>0</f>
        <v>0</v>
      </c>
    </row>
    <row r="2075" spans="1:10" x14ac:dyDescent="0.25">
      <c r="A2075" t="s">
        <v>2084</v>
      </c>
      <c r="B2075" t="s">
        <v>11</v>
      </c>
      <c r="C2075">
        <v>120.11010937499999</v>
      </c>
      <c r="D2075">
        <f>0</f>
        <v>0</v>
      </c>
      <c r="E2075">
        <f>656533264/10^6</f>
        <v>656.53326400000003</v>
      </c>
      <c r="F2075">
        <f>0</f>
        <v>0</v>
      </c>
      <c r="G2075">
        <f>231955826/10^6</f>
        <v>231.955826</v>
      </c>
      <c r="H2075">
        <f>0</f>
        <v>0</v>
      </c>
      <c r="I2075">
        <f>-39623863/10^6</f>
        <v>-39.623863</v>
      </c>
      <c r="J2075">
        <f>0</f>
        <v>0</v>
      </c>
    </row>
    <row r="2076" spans="1:10" x14ac:dyDescent="0.25">
      <c r="A2076" t="s">
        <v>2085</v>
      </c>
      <c r="B2076" t="s">
        <v>11</v>
      </c>
      <c r="C2076">
        <v>119.770976563</v>
      </c>
      <c r="D2076">
        <f>0</f>
        <v>0</v>
      </c>
      <c r="E2076">
        <f>658233826/10^6</f>
        <v>658.23382600000002</v>
      </c>
      <c r="F2076">
        <f>0</f>
        <v>0</v>
      </c>
      <c r="G2076">
        <f>231899658/10^6</f>
        <v>231.89965799999999</v>
      </c>
      <c r="H2076">
        <f>0</f>
        <v>0</v>
      </c>
      <c r="I2076">
        <f>-3968462/10^5</f>
        <v>-39.684620000000002</v>
      </c>
      <c r="J2076">
        <f>0</f>
        <v>0</v>
      </c>
    </row>
    <row r="2077" spans="1:10" x14ac:dyDescent="0.25">
      <c r="A2077" t="s">
        <v>2086</v>
      </c>
      <c r="B2077" t="s">
        <v>11</v>
      </c>
      <c r="C2077">
        <v>0</v>
      </c>
      <c r="D2077">
        <f>2</f>
        <v>2</v>
      </c>
      <c r="F2077">
        <f>2</f>
        <v>2</v>
      </c>
      <c r="H2077">
        <f>2</f>
        <v>2</v>
      </c>
      <c r="J2077">
        <f>2</f>
        <v>2</v>
      </c>
    </row>
    <row r="2078" spans="1:10" x14ac:dyDescent="0.25">
      <c r="A2078" t="s">
        <v>2087</v>
      </c>
      <c r="B2078" t="s">
        <v>11</v>
      </c>
      <c r="C2078">
        <v>119.06295312500001</v>
      </c>
      <c r="D2078">
        <f>0</f>
        <v>0</v>
      </c>
      <c r="E2078">
        <f>662202759/10^6</f>
        <v>662.20275900000001</v>
      </c>
      <c r="F2078">
        <f>0</f>
        <v>0</v>
      </c>
      <c r="G2078">
        <f>231766144/10^6</f>
        <v>231.766144</v>
      </c>
      <c r="H2078">
        <f>0</f>
        <v>0</v>
      </c>
      <c r="I2078">
        <f>-40244228/10^6</f>
        <v>-40.244228</v>
      </c>
      <c r="J2078">
        <f>0</f>
        <v>0</v>
      </c>
    </row>
    <row r="2079" spans="1:10" x14ac:dyDescent="0.25">
      <c r="A2079" t="s">
        <v>2088</v>
      </c>
      <c r="B2079" t="s">
        <v>11</v>
      </c>
      <c r="C2079">
        <v>118.66553125</v>
      </c>
      <c r="D2079">
        <f>0</f>
        <v>0</v>
      </c>
      <c r="E2079">
        <f>664301208/10^6</f>
        <v>664.30120799999997</v>
      </c>
      <c r="F2079">
        <f>0</f>
        <v>0</v>
      </c>
      <c r="G2079">
        <f>231709213/10^6</f>
        <v>231.70921300000001</v>
      </c>
      <c r="H2079">
        <f>0</f>
        <v>0</v>
      </c>
      <c r="I2079">
        <f>-40201973/10^6</f>
        <v>-40.201973000000002</v>
      </c>
      <c r="J2079">
        <f>0</f>
        <v>0</v>
      </c>
    </row>
    <row r="2080" spans="1:10" x14ac:dyDescent="0.25">
      <c r="A2080" t="s">
        <v>2089</v>
      </c>
      <c r="B2080" t="s">
        <v>11</v>
      </c>
      <c r="C2080">
        <v>118.28748437500001</v>
      </c>
      <c r="D2080">
        <f>0</f>
        <v>0</v>
      </c>
      <c r="E2080">
        <f>666268921/10^6</f>
        <v>666.26892099999998</v>
      </c>
      <c r="F2080">
        <f>0</f>
        <v>0</v>
      </c>
      <c r="G2080">
        <f>231639069/10^6</f>
        <v>231.63906900000001</v>
      </c>
      <c r="H2080">
        <f>0</f>
        <v>0</v>
      </c>
      <c r="I2080">
        <f>-40227409/10^6</f>
        <v>-40.227409000000002</v>
      </c>
      <c r="J2080">
        <f>0</f>
        <v>0</v>
      </c>
    </row>
    <row r="2081" spans="1:10" x14ac:dyDescent="0.25">
      <c r="A2081" t="s">
        <v>2090</v>
      </c>
      <c r="B2081" t="s">
        <v>11</v>
      </c>
      <c r="C2081">
        <v>117.92671875000001</v>
      </c>
      <c r="D2081">
        <f>0</f>
        <v>0</v>
      </c>
      <c r="E2081">
        <f>668254944/10^6</f>
        <v>668.25494400000002</v>
      </c>
      <c r="F2081">
        <f>0</f>
        <v>0</v>
      </c>
      <c r="G2081">
        <f>231552246/10^6</f>
        <v>231.552246</v>
      </c>
      <c r="H2081">
        <f>0</f>
        <v>0</v>
      </c>
      <c r="I2081">
        <f>-40621822/10^6</f>
        <v>-40.621822000000002</v>
      </c>
      <c r="J2081">
        <f>0</f>
        <v>0</v>
      </c>
    </row>
    <row r="2082" spans="1:10" x14ac:dyDescent="0.25">
      <c r="A2082" t="s">
        <v>2091</v>
      </c>
      <c r="B2082" t="s">
        <v>11</v>
      </c>
      <c r="C2082">
        <v>117.56367968800001</v>
      </c>
      <c r="D2082">
        <f>0</f>
        <v>0</v>
      </c>
      <c r="E2082">
        <f>670320557/10^6</f>
        <v>670.32055700000001</v>
      </c>
      <c r="F2082">
        <f>0</f>
        <v>0</v>
      </c>
      <c r="G2082">
        <f>231480331/10^6</f>
        <v>231.48033100000001</v>
      </c>
      <c r="H2082">
        <f>0</f>
        <v>0</v>
      </c>
      <c r="I2082">
        <f>-41023792/10^6</f>
        <v>-41.023792</v>
      </c>
      <c r="J2082">
        <f>0</f>
        <v>0</v>
      </c>
    </row>
    <row r="2083" spans="1:10" x14ac:dyDescent="0.25">
      <c r="A2083" t="s">
        <v>2092</v>
      </c>
      <c r="B2083" t="s">
        <v>11</v>
      </c>
      <c r="C2083">
        <v>0</v>
      </c>
      <c r="D2083">
        <f>2</f>
        <v>2</v>
      </c>
      <c r="F2083">
        <f>2</f>
        <v>2</v>
      </c>
      <c r="H2083">
        <f>2</f>
        <v>2</v>
      </c>
      <c r="J2083">
        <f>2</f>
        <v>2</v>
      </c>
    </row>
    <row r="2084" spans="1:10" x14ac:dyDescent="0.25">
      <c r="A2084" t="s">
        <v>2093</v>
      </c>
      <c r="B2084" t="s">
        <v>11</v>
      </c>
      <c r="C2084">
        <v>116.863359375</v>
      </c>
      <c r="D2084">
        <f>0</f>
        <v>0</v>
      </c>
      <c r="E2084">
        <f>674334229/10^6</f>
        <v>674.33422900000005</v>
      </c>
      <c r="F2084">
        <f>0</f>
        <v>0</v>
      </c>
      <c r="G2084">
        <f>23135202/10^5</f>
        <v>231.35202000000001</v>
      </c>
      <c r="H2084">
        <f>0</f>
        <v>0</v>
      </c>
      <c r="I2084">
        <f>-41547161/10^6</f>
        <v>-41.547161000000003</v>
      </c>
      <c r="J2084">
        <f>0</f>
        <v>0</v>
      </c>
    </row>
    <row r="2085" spans="1:10" x14ac:dyDescent="0.25">
      <c r="A2085" t="s">
        <v>2094</v>
      </c>
      <c r="B2085" t="s">
        <v>11</v>
      </c>
      <c r="C2085">
        <v>0</v>
      </c>
      <c r="D2085">
        <f>2</f>
        <v>2</v>
      </c>
      <c r="F2085">
        <f>2</f>
        <v>2</v>
      </c>
      <c r="H2085">
        <f>2</f>
        <v>2</v>
      </c>
      <c r="J2085">
        <f>2</f>
        <v>2</v>
      </c>
    </row>
    <row r="2086" spans="1:10" x14ac:dyDescent="0.25">
      <c r="A2086" t="s">
        <v>2095</v>
      </c>
      <c r="B2086" t="s">
        <v>11</v>
      </c>
      <c r="C2086">
        <v>116.158609375</v>
      </c>
      <c r="D2086">
        <f>0</f>
        <v>0</v>
      </c>
      <c r="E2086">
        <f>678444946/10^6</f>
        <v>678.44494599999996</v>
      </c>
      <c r="F2086">
        <f>0</f>
        <v>0</v>
      </c>
      <c r="G2086">
        <f>231256378/10^6</f>
        <v>231.25637800000001</v>
      </c>
      <c r="H2086">
        <f>0</f>
        <v>0</v>
      </c>
      <c r="I2086">
        <f>-42172836/10^6</f>
        <v>-42.172835999999997</v>
      </c>
      <c r="J2086">
        <f>0</f>
        <v>0</v>
      </c>
    </row>
    <row r="2087" spans="1:10" x14ac:dyDescent="0.25">
      <c r="A2087" t="s">
        <v>2096</v>
      </c>
      <c r="B2087" t="s">
        <v>11</v>
      </c>
      <c r="C2087">
        <v>115.806203125</v>
      </c>
      <c r="D2087">
        <f>0</f>
        <v>0</v>
      </c>
      <c r="E2087">
        <f>680525635/10^6</f>
        <v>680.52563499999997</v>
      </c>
      <c r="F2087">
        <f>0</f>
        <v>0</v>
      </c>
      <c r="G2087">
        <f>231197296/10^6</f>
        <v>231.19729599999999</v>
      </c>
      <c r="H2087">
        <f>0</f>
        <v>0</v>
      </c>
      <c r="I2087">
        <f>-42467304/10^6</f>
        <v>-42.467303999999999</v>
      </c>
      <c r="J2087">
        <f>0</f>
        <v>0</v>
      </c>
    </row>
    <row r="2088" spans="1:10" x14ac:dyDescent="0.25">
      <c r="A2088" t="s">
        <v>2097</v>
      </c>
      <c r="B2088" t="s">
        <v>11</v>
      </c>
      <c r="C2088">
        <v>115.531234375</v>
      </c>
      <c r="D2088">
        <f>0</f>
        <v>0</v>
      </c>
      <c r="E2088">
        <f>68206665/10^5</f>
        <v>682.06664999999998</v>
      </c>
      <c r="F2088">
        <f>0</f>
        <v>0</v>
      </c>
      <c r="G2088">
        <f>23113147/10^5</f>
        <v>231.13147000000001</v>
      </c>
      <c r="H2088">
        <f>0</f>
        <v>0</v>
      </c>
      <c r="I2088">
        <f>-4252177/10^5</f>
        <v>-42.521769999999997</v>
      </c>
      <c r="J2088">
        <f>0</f>
        <v>0</v>
      </c>
    </row>
    <row r="2089" spans="1:10" x14ac:dyDescent="0.25">
      <c r="A2089" t="s">
        <v>2098</v>
      </c>
      <c r="B2089" t="s">
        <v>11</v>
      </c>
      <c r="C2089">
        <v>115.29384374999999</v>
      </c>
      <c r="D2089">
        <f>0</f>
        <v>0</v>
      </c>
      <c r="E2089">
        <f>683369263/10^6</f>
        <v>683.36926300000005</v>
      </c>
      <c r="F2089">
        <f>0</f>
        <v>0</v>
      </c>
      <c r="G2089">
        <f>231048813/10^6</f>
        <v>231.048813</v>
      </c>
      <c r="H2089">
        <f>0</f>
        <v>0</v>
      </c>
      <c r="I2089">
        <f>-42769543/10^6</f>
        <v>-42.769542999999999</v>
      </c>
      <c r="J2089">
        <f>0</f>
        <v>0</v>
      </c>
    </row>
    <row r="2090" spans="1:10" x14ac:dyDescent="0.25">
      <c r="A2090" t="s">
        <v>2099</v>
      </c>
      <c r="B2090" t="s">
        <v>11</v>
      </c>
      <c r="C2090">
        <v>115.11375781300001</v>
      </c>
      <c r="D2090">
        <f>0</f>
        <v>0</v>
      </c>
      <c r="E2090">
        <f>684414856/10^6</f>
        <v>684.41485599999999</v>
      </c>
      <c r="F2090">
        <f>0</f>
        <v>0</v>
      </c>
      <c r="G2090">
        <f>231003876/10^6</f>
        <v>231.00387599999999</v>
      </c>
      <c r="H2090">
        <f>0</f>
        <v>0</v>
      </c>
      <c r="I2090">
        <f>-43038624/10^6</f>
        <v>-43.038623999999999</v>
      </c>
      <c r="J2090">
        <f>0</f>
        <v>0</v>
      </c>
    </row>
    <row r="2091" spans="1:10" x14ac:dyDescent="0.25">
      <c r="A2091" t="s">
        <v>2100</v>
      </c>
      <c r="B2091" t="s">
        <v>11</v>
      </c>
      <c r="C2091">
        <v>115.04928125000001</v>
      </c>
      <c r="D2091">
        <f>0</f>
        <v>0</v>
      </c>
      <c r="E2091">
        <f>68486322/10^5</f>
        <v>684.86321999999996</v>
      </c>
      <c r="F2091">
        <f>0</f>
        <v>0</v>
      </c>
      <c r="G2091">
        <f>230994263/10^6</f>
        <v>230.99426299999999</v>
      </c>
      <c r="H2091">
        <f>0</f>
        <v>0</v>
      </c>
      <c r="I2091">
        <f>-43092121/10^6</f>
        <v>-43.092120999999999</v>
      </c>
      <c r="J2091">
        <f>0</f>
        <v>0</v>
      </c>
    </row>
    <row r="2092" spans="1:10" x14ac:dyDescent="0.25">
      <c r="A2092" t="s">
        <v>2101</v>
      </c>
      <c r="B2092" t="s">
        <v>11</v>
      </c>
      <c r="C2092">
        <v>115.01722656300001</v>
      </c>
      <c r="D2092">
        <f>0</f>
        <v>0</v>
      </c>
      <c r="E2092">
        <f>685071838/10^6</f>
        <v>685.07183799999996</v>
      </c>
      <c r="F2092">
        <f>0</f>
        <v>0</v>
      </c>
      <c r="G2092">
        <f>231000717/10^6</f>
        <v>231.00071700000001</v>
      </c>
      <c r="H2092">
        <f>0</f>
        <v>0</v>
      </c>
      <c r="I2092">
        <f>-43102161/10^6</f>
        <v>-43.102161000000002</v>
      </c>
      <c r="J2092">
        <f>0</f>
        <v>0</v>
      </c>
    </row>
    <row r="2093" spans="1:10" x14ac:dyDescent="0.25">
      <c r="A2093" t="s">
        <v>2102</v>
      </c>
      <c r="B2093" t="s">
        <v>11</v>
      </c>
      <c r="C2093">
        <v>114.96183593800001</v>
      </c>
      <c r="D2093">
        <f>0</f>
        <v>0</v>
      </c>
      <c r="E2093">
        <f>685293701/10^6</f>
        <v>685.29370100000006</v>
      </c>
      <c r="F2093">
        <f>0</f>
        <v>0</v>
      </c>
      <c r="G2093">
        <f>230986023/10^6</f>
        <v>230.98602299999999</v>
      </c>
      <c r="H2093">
        <f>0</f>
        <v>0</v>
      </c>
      <c r="I2093">
        <f>-43035942/10^6</f>
        <v>-43.035941999999999</v>
      </c>
      <c r="J2093">
        <f>0</f>
        <v>0</v>
      </c>
    </row>
    <row r="2094" spans="1:10" x14ac:dyDescent="0.25">
      <c r="A2094" t="s">
        <v>2103</v>
      </c>
      <c r="B2094" t="s">
        <v>11</v>
      </c>
      <c r="C2094">
        <v>114.877742188</v>
      </c>
      <c r="D2094">
        <f>0</f>
        <v>0</v>
      </c>
      <c r="E2094">
        <f>685701599/10^6</f>
        <v>685.70159899999999</v>
      </c>
      <c r="F2094">
        <f>0</f>
        <v>0</v>
      </c>
      <c r="G2094">
        <f>230931534/10^6</f>
        <v>230.931534</v>
      </c>
      <c r="H2094">
        <f>0</f>
        <v>0</v>
      </c>
      <c r="I2094">
        <f>-4311668/10^5</f>
        <v>-43.116680000000002</v>
      </c>
      <c r="J2094">
        <f>0</f>
        <v>0</v>
      </c>
    </row>
    <row r="2095" spans="1:10" x14ac:dyDescent="0.25">
      <c r="A2095" t="s">
        <v>2104</v>
      </c>
      <c r="B2095" t="s">
        <v>11</v>
      </c>
      <c r="C2095">
        <v>114.758335938</v>
      </c>
      <c r="D2095">
        <f>0</f>
        <v>0</v>
      </c>
      <c r="E2095">
        <f>686410461/10^6</f>
        <v>686.41046100000005</v>
      </c>
      <c r="F2095">
        <f>0</f>
        <v>0</v>
      </c>
      <c r="G2095">
        <f>230881454/10^6</f>
        <v>230.88145399999999</v>
      </c>
      <c r="H2095">
        <f>0</f>
        <v>0</v>
      </c>
      <c r="I2095">
        <f>-43435196/10^6</f>
        <v>-43.435195999999998</v>
      </c>
      <c r="J2095">
        <f>0</f>
        <v>0</v>
      </c>
    </row>
    <row r="2096" spans="1:10" x14ac:dyDescent="0.25">
      <c r="A2096" t="s">
        <v>2105</v>
      </c>
      <c r="B2096" t="s">
        <v>11</v>
      </c>
      <c r="C2096">
        <v>114.68322656300001</v>
      </c>
      <c r="D2096">
        <f>0</f>
        <v>0</v>
      </c>
      <c r="E2096">
        <f>686819458/10^6</f>
        <v>686.81945800000005</v>
      </c>
      <c r="F2096">
        <f>0</f>
        <v>0</v>
      </c>
      <c r="G2096">
        <f>230870178/10^6</f>
        <v>230.87017800000001</v>
      </c>
      <c r="H2096">
        <f>0</f>
        <v>0</v>
      </c>
      <c r="I2096">
        <f>-43392464/10^6</f>
        <v>-43.392463999999997</v>
      </c>
      <c r="J2096">
        <f>0</f>
        <v>0</v>
      </c>
    </row>
    <row r="2097" spans="1:10" x14ac:dyDescent="0.25">
      <c r="A2097" t="s">
        <v>2106</v>
      </c>
      <c r="B2097" t="s">
        <v>11</v>
      </c>
      <c r="C2097">
        <v>114.6718125</v>
      </c>
      <c r="D2097">
        <f>0</f>
        <v>0</v>
      </c>
      <c r="E2097">
        <f>686846008/10^6</f>
        <v>686.84600799999998</v>
      </c>
      <c r="F2097">
        <f>0</f>
        <v>0</v>
      </c>
      <c r="G2097">
        <f>230895386/10^6</f>
        <v>230.895386</v>
      </c>
      <c r="H2097">
        <f>0</f>
        <v>0</v>
      </c>
      <c r="I2097">
        <f>-43107105/10^6</f>
        <v>-43.107104999999997</v>
      </c>
      <c r="J2097">
        <f>0</f>
        <v>0</v>
      </c>
    </row>
    <row r="2098" spans="1:10" x14ac:dyDescent="0.25">
      <c r="A2098" t="s">
        <v>2107</v>
      </c>
      <c r="B2098" t="s">
        <v>11</v>
      </c>
      <c r="C2098">
        <v>114.64299218800001</v>
      </c>
      <c r="D2098">
        <f>0</f>
        <v>0</v>
      </c>
      <c r="E2098">
        <f>687039856/10^6</f>
        <v>687.03985599999999</v>
      </c>
      <c r="F2098">
        <f>0</f>
        <v>0</v>
      </c>
      <c r="G2098">
        <f>230906326/10^6</f>
        <v>230.90632600000001</v>
      </c>
      <c r="H2098">
        <f>0</f>
        <v>0</v>
      </c>
      <c r="I2098">
        <f>-43078697/10^6</f>
        <v>-43.078696999999998</v>
      </c>
      <c r="J2098">
        <f>0</f>
        <v>0</v>
      </c>
    </row>
    <row r="2099" spans="1:10" x14ac:dyDescent="0.25">
      <c r="A2099" t="s">
        <v>2108</v>
      </c>
      <c r="B2099" t="s">
        <v>11</v>
      </c>
      <c r="C2099">
        <v>114.56932031300001</v>
      </c>
      <c r="D2099">
        <f>0</f>
        <v>0</v>
      </c>
      <c r="E2099">
        <f>68755426/10^5</f>
        <v>687.55426</v>
      </c>
      <c r="F2099">
        <f>0</f>
        <v>0</v>
      </c>
      <c r="G2099">
        <f>230899567/10^6</f>
        <v>230.89956699999999</v>
      </c>
      <c r="H2099">
        <f>0</f>
        <v>0</v>
      </c>
      <c r="I2099">
        <f>-43318249/10^6</f>
        <v>-43.318249000000002</v>
      </c>
      <c r="J2099">
        <f>0</f>
        <v>0</v>
      </c>
    </row>
    <row r="2100" spans="1:10" x14ac:dyDescent="0.25">
      <c r="A2100" t="s">
        <v>2109</v>
      </c>
      <c r="B2100" t="s">
        <v>11</v>
      </c>
      <c r="C2100">
        <v>114.47679687500001</v>
      </c>
      <c r="D2100">
        <f>0</f>
        <v>0</v>
      </c>
      <c r="E2100">
        <f>688167358/10^6</f>
        <v>688.16735800000004</v>
      </c>
      <c r="F2100">
        <f>0</f>
        <v>0</v>
      </c>
      <c r="G2100">
        <f>230879257/10^6</f>
        <v>230.879257</v>
      </c>
      <c r="H2100">
        <f>0</f>
        <v>0</v>
      </c>
      <c r="I2100">
        <f>-43581261/10^6</f>
        <v>-43.581260999999998</v>
      </c>
      <c r="J2100">
        <f>0</f>
        <v>0</v>
      </c>
    </row>
    <row r="2101" spans="1:10" x14ac:dyDescent="0.25">
      <c r="A2101" t="s">
        <v>2110</v>
      </c>
      <c r="B2101" t="s">
        <v>11</v>
      </c>
      <c r="C2101">
        <v>114.409851563</v>
      </c>
      <c r="D2101">
        <f>0</f>
        <v>0</v>
      </c>
      <c r="E2101">
        <f>688444824/10^6</f>
        <v>688.44482400000004</v>
      </c>
      <c r="F2101">
        <f>0</f>
        <v>0</v>
      </c>
      <c r="G2101">
        <f>230806595/10^6</f>
        <v>230.80659499999999</v>
      </c>
      <c r="H2101">
        <f>0</f>
        <v>0</v>
      </c>
      <c r="I2101">
        <f>-43594028/10^6</f>
        <v>-43.594028000000002</v>
      </c>
      <c r="J2101">
        <f>0</f>
        <v>0</v>
      </c>
    </row>
    <row r="2102" spans="1:10" x14ac:dyDescent="0.25">
      <c r="A2102" t="s">
        <v>2111</v>
      </c>
      <c r="B2102" t="s">
        <v>11</v>
      </c>
      <c r="C2102">
        <v>114.408640625</v>
      </c>
      <c r="D2102">
        <f>0</f>
        <v>0</v>
      </c>
      <c r="E2102">
        <f>688267944/10^6</f>
        <v>688.26794400000006</v>
      </c>
      <c r="F2102">
        <f>0</f>
        <v>0</v>
      </c>
      <c r="G2102">
        <f>23073172/10^5</f>
        <v>230.73172</v>
      </c>
      <c r="H2102">
        <f>0</f>
        <v>0</v>
      </c>
      <c r="I2102">
        <f>-43649269/10^6</f>
        <v>-43.649268999999997</v>
      </c>
      <c r="J2102">
        <f>0</f>
        <v>0</v>
      </c>
    </row>
    <row r="2103" spans="1:10" x14ac:dyDescent="0.25">
      <c r="A2103" t="s">
        <v>2112</v>
      </c>
      <c r="B2103" t="s">
        <v>11</v>
      </c>
      <c r="C2103">
        <v>114.48388281300001</v>
      </c>
      <c r="D2103">
        <f>0</f>
        <v>0</v>
      </c>
      <c r="E2103">
        <f>687841003/10^6</f>
        <v>687.841003</v>
      </c>
      <c r="F2103">
        <f>0</f>
        <v>0</v>
      </c>
      <c r="G2103">
        <f>230754425/10^6</f>
        <v>230.754425</v>
      </c>
      <c r="H2103">
        <f>0</f>
        <v>0</v>
      </c>
      <c r="I2103">
        <f>-43681839/10^6</f>
        <v>-43.681838999999997</v>
      </c>
      <c r="J2103">
        <f>0</f>
        <v>0</v>
      </c>
    </row>
    <row r="2104" spans="1:10" x14ac:dyDescent="0.25">
      <c r="A2104" t="s">
        <v>2113</v>
      </c>
      <c r="B2104" t="s">
        <v>11</v>
      </c>
      <c r="C2104">
        <v>114.60815624999999</v>
      </c>
      <c r="D2104">
        <f>0</f>
        <v>0</v>
      </c>
      <c r="E2104">
        <f>687194275/10^6</f>
        <v>687.19427499999995</v>
      </c>
      <c r="F2104">
        <f>0</f>
        <v>0</v>
      </c>
      <c r="G2104">
        <f>230835571/10^6</f>
        <v>230.83557099999999</v>
      </c>
      <c r="H2104">
        <f>0</f>
        <v>0</v>
      </c>
      <c r="I2104">
        <f>-43434235/10^6</f>
        <v>-43.434235000000001</v>
      </c>
      <c r="J2104">
        <f>0</f>
        <v>0</v>
      </c>
    </row>
    <row r="2105" spans="1:10" x14ac:dyDescent="0.25">
      <c r="A2105" t="s">
        <v>2114</v>
      </c>
      <c r="B2105" t="s">
        <v>11</v>
      </c>
      <c r="C2105">
        <v>114.74377343800001</v>
      </c>
      <c r="D2105">
        <f>0</f>
        <v>0</v>
      </c>
      <c r="E2105">
        <f>686468201/10^6</f>
        <v>686.46820100000002</v>
      </c>
      <c r="F2105">
        <f>0</f>
        <v>0</v>
      </c>
      <c r="G2105">
        <f>230912292/10^6</f>
        <v>230.91229200000001</v>
      </c>
      <c r="H2105">
        <f>0</f>
        <v>0</v>
      </c>
      <c r="I2105">
        <f>-43247963/10^6</f>
        <v>-43.247962999999999</v>
      </c>
      <c r="J2105">
        <f>0</f>
        <v>0</v>
      </c>
    </row>
    <row r="2106" spans="1:10" x14ac:dyDescent="0.25">
      <c r="A2106" t="s">
        <v>2115</v>
      </c>
      <c r="B2106" t="s">
        <v>11</v>
      </c>
      <c r="C2106">
        <v>114.884726563</v>
      </c>
      <c r="D2106">
        <f>0</f>
        <v>0</v>
      </c>
      <c r="E2106">
        <f>685732971/10^6</f>
        <v>685.73297100000002</v>
      </c>
      <c r="F2106">
        <f>0</f>
        <v>0</v>
      </c>
      <c r="G2106">
        <f>230937119/10^6</f>
        <v>230.937119</v>
      </c>
      <c r="H2106">
        <f>0</f>
        <v>0</v>
      </c>
      <c r="I2106">
        <f>-43289394/10^6</f>
        <v>-43.289394000000001</v>
      </c>
      <c r="J2106">
        <f>0</f>
        <v>0</v>
      </c>
    </row>
    <row r="2107" spans="1:10" x14ac:dyDescent="0.25">
      <c r="A2107" t="s">
        <v>2116</v>
      </c>
      <c r="B2107" t="s">
        <v>11</v>
      </c>
      <c r="C2107">
        <v>115.056117188</v>
      </c>
      <c r="D2107">
        <f>0</f>
        <v>0</v>
      </c>
      <c r="E2107">
        <f>684920532/10^6</f>
        <v>684.92053199999998</v>
      </c>
      <c r="F2107">
        <f>0</f>
        <v>0</v>
      </c>
      <c r="G2107">
        <f>23097084/10^5</f>
        <v>230.97084000000001</v>
      </c>
      <c r="H2107">
        <f>0</f>
        <v>0</v>
      </c>
      <c r="I2107">
        <f>-43355721/10^6</f>
        <v>-43.355721000000003</v>
      </c>
      <c r="J2107">
        <f>0</f>
        <v>0</v>
      </c>
    </row>
    <row r="2108" spans="1:10" x14ac:dyDescent="0.25">
      <c r="A2108" t="s">
        <v>2117</v>
      </c>
      <c r="B2108" t="s">
        <v>11</v>
      </c>
      <c r="C2108">
        <v>115.265953125</v>
      </c>
      <c r="D2108">
        <f>0</f>
        <v>0</v>
      </c>
      <c r="E2108">
        <f>683857422/10^6</f>
        <v>683.85742200000004</v>
      </c>
      <c r="F2108">
        <f>0</f>
        <v>0</v>
      </c>
      <c r="G2108">
        <f>231061676/10^6</f>
        <v>231.06167600000001</v>
      </c>
      <c r="H2108">
        <f>0</f>
        <v>0</v>
      </c>
      <c r="I2108">
        <f>-43231449/10^6</f>
        <v>-43.231448999999998</v>
      </c>
      <c r="J2108">
        <f>0</f>
        <v>0</v>
      </c>
    </row>
    <row r="2109" spans="1:10" x14ac:dyDescent="0.25">
      <c r="A2109" t="s">
        <v>2118</v>
      </c>
      <c r="B2109" t="s">
        <v>11</v>
      </c>
      <c r="C2109">
        <v>115.49322656300001</v>
      </c>
      <c r="D2109">
        <f>0</f>
        <v>0</v>
      </c>
      <c r="E2109">
        <f>682430664/10^6</f>
        <v>682.43066399999998</v>
      </c>
      <c r="F2109">
        <f>0</f>
        <v>0</v>
      </c>
      <c r="G2109">
        <f>231125412/10^6</f>
        <v>231.12541200000001</v>
      </c>
      <c r="H2109">
        <f>0</f>
        <v>0</v>
      </c>
      <c r="I2109">
        <f>-42865082/10^6</f>
        <v>-42.865082000000001</v>
      </c>
      <c r="J2109">
        <f>0</f>
        <v>0</v>
      </c>
    </row>
    <row r="2110" spans="1:10" x14ac:dyDescent="0.25">
      <c r="A2110" t="s">
        <v>2119</v>
      </c>
      <c r="B2110" t="s">
        <v>11</v>
      </c>
      <c r="C2110">
        <v>115.684898438</v>
      </c>
      <c r="D2110">
        <f>0</f>
        <v>0</v>
      </c>
      <c r="E2110">
        <f>68129895/10^5</f>
        <v>681.29894999999999</v>
      </c>
      <c r="F2110">
        <f>0</f>
        <v>0</v>
      </c>
      <c r="G2110">
        <f>23116507/10^5</f>
        <v>231.16506999999999</v>
      </c>
      <c r="H2110">
        <f>0</f>
        <v>0</v>
      </c>
      <c r="I2110">
        <f>-4266592/10^5</f>
        <v>-42.66592</v>
      </c>
      <c r="J2110">
        <f>0</f>
        <v>0</v>
      </c>
    </row>
    <row r="2111" spans="1:10" x14ac:dyDescent="0.25">
      <c r="A2111" t="s">
        <v>2120</v>
      </c>
      <c r="B2111" t="s">
        <v>11</v>
      </c>
      <c r="C2111">
        <v>115.83725781300001</v>
      </c>
      <c r="D2111">
        <f>0</f>
        <v>0</v>
      </c>
      <c r="E2111">
        <f>680559143/10^6</f>
        <v>680.55914299999995</v>
      </c>
      <c r="F2111">
        <f>0</f>
        <v>0</v>
      </c>
      <c r="G2111">
        <f>231219376/10^6</f>
        <v>231.21937600000001</v>
      </c>
      <c r="H2111">
        <f>0</f>
        <v>0</v>
      </c>
      <c r="I2111">
        <f>-42731743/10^6</f>
        <v>-42.731743000000002</v>
      </c>
      <c r="J2111">
        <f>0</f>
        <v>0</v>
      </c>
    </row>
    <row r="2112" spans="1:10" x14ac:dyDescent="0.25">
      <c r="A2112" t="s">
        <v>2121</v>
      </c>
      <c r="B2112" t="s">
        <v>11</v>
      </c>
      <c r="C2112">
        <v>116.01185156300001</v>
      </c>
      <c r="D2112">
        <f>0</f>
        <v>0</v>
      </c>
      <c r="E2112">
        <f>679459839/10^6</f>
        <v>679.45983899999999</v>
      </c>
      <c r="F2112">
        <f>0</f>
        <v>0</v>
      </c>
      <c r="G2112">
        <f>231262207/10^6</f>
        <v>231.26220699999999</v>
      </c>
      <c r="H2112">
        <f>0</f>
        <v>0</v>
      </c>
      <c r="I2112">
        <f>-42527401/10^6</f>
        <v>-42.527400999999998</v>
      </c>
      <c r="J2112">
        <f>0</f>
        <v>0</v>
      </c>
    </row>
    <row r="2113" spans="1:10" x14ac:dyDescent="0.25">
      <c r="A2113" t="s">
        <v>2122</v>
      </c>
      <c r="B2113" t="s">
        <v>11</v>
      </c>
      <c r="C2113">
        <v>116.246492188</v>
      </c>
      <c r="D2113">
        <f>0</f>
        <v>0</v>
      </c>
      <c r="E2113">
        <f>678085571/10^6</f>
        <v>678.08557099999996</v>
      </c>
      <c r="F2113">
        <f>0</f>
        <v>0</v>
      </c>
      <c r="G2113">
        <f>231302246/10^6</f>
        <v>231.302246</v>
      </c>
      <c r="H2113">
        <f>0</f>
        <v>0</v>
      </c>
      <c r="I2113">
        <f>-42277912/10^6</f>
        <v>-42.277912000000001</v>
      </c>
      <c r="J2113">
        <f>0</f>
        <v>0</v>
      </c>
    </row>
    <row r="2114" spans="1:10" x14ac:dyDescent="0.25">
      <c r="A2114" t="s">
        <v>2123</v>
      </c>
      <c r="B2114" t="s">
        <v>11</v>
      </c>
      <c r="C2114">
        <v>116.544742188</v>
      </c>
      <c r="D2114">
        <f>0</f>
        <v>0</v>
      </c>
      <c r="E2114">
        <f>676462463/10^6</f>
        <v>676.46246299999996</v>
      </c>
      <c r="F2114">
        <f>0</f>
        <v>0</v>
      </c>
      <c r="G2114">
        <f>231358322/10^6</f>
        <v>231.35832199999999</v>
      </c>
      <c r="H2114">
        <f>0</f>
        <v>0</v>
      </c>
      <c r="I2114">
        <f>-42084938/10^6</f>
        <v>-42.084938000000001</v>
      </c>
      <c r="J2114">
        <f>0</f>
        <v>0</v>
      </c>
    </row>
    <row r="2115" spans="1:10" x14ac:dyDescent="0.25">
      <c r="A2115" t="s">
        <v>2124</v>
      </c>
      <c r="B2115" t="s">
        <v>11</v>
      </c>
      <c r="C2115">
        <v>116.88678125</v>
      </c>
      <c r="D2115">
        <f>0</f>
        <v>0</v>
      </c>
      <c r="E2115">
        <f>674476624/10^6</f>
        <v>674.47662400000002</v>
      </c>
      <c r="F2115">
        <f>0</f>
        <v>0</v>
      </c>
      <c r="G2115">
        <f>231414673/10^6</f>
        <v>231.41467299999999</v>
      </c>
      <c r="H2115">
        <f>0</f>
        <v>0</v>
      </c>
      <c r="I2115">
        <f>-41884682/10^6</f>
        <v>-41.884681999999998</v>
      </c>
      <c r="J2115">
        <f>0</f>
        <v>0</v>
      </c>
    </row>
    <row r="2116" spans="1:10" x14ac:dyDescent="0.25">
      <c r="A2116" t="s">
        <v>2125</v>
      </c>
      <c r="B2116" t="s">
        <v>11</v>
      </c>
      <c r="C2116">
        <v>117.24940625000001</v>
      </c>
      <c r="D2116">
        <f>0</f>
        <v>0</v>
      </c>
      <c r="E2116">
        <f>672519409/10^6</f>
        <v>672.519409</v>
      </c>
      <c r="F2116">
        <f>0</f>
        <v>0</v>
      </c>
      <c r="G2116">
        <f>231465912/10^6</f>
        <v>231.465912</v>
      </c>
      <c r="H2116">
        <f>0</f>
        <v>0</v>
      </c>
      <c r="I2116">
        <f>-41886673/10^6</f>
        <v>-41.886673000000002</v>
      </c>
      <c r="J2116">
        <f>0</f>
        <v>0</v>
      </c>
    </row>
    <row r="2117" spans="1:10" x14ac:dyDescent="0.25">
      <c r="A2117" t="s">
        <v>2126</v>
      </c>
      <c r="B2117" t="s">
        <v>11</v>
      </c>
      <c r="C2117">
        <v>117.65177343800001</v>
      </c>
      <c r="D2117">
        <f>0</f>
        <v>0</v>
      </c>
      <c r="E2117">
        <f>670257385/10^6</f>
        <v>670.257385</v>
      </c>
      <c r="F2117">
        <f>0</f>
        <v>0</v>
      </c>
      <c r="G2117">
        <f>231533432/10^6</f>
        <v>231.533432</v>
      </c>
      <c r="H2117">
        <f>0</f>
        <v>0</v>
      </c>
      <c r="I2117">
        <f>-41651764/10^6</f>
        <v>-41.651764</v>
      </c>
      <c r="J2117">
        <f>0</f>
        <v>0</v>
      </c>
    </row>
    <row r="2118" spans="1:10" x14ac:dyDescent="0.25">
      <c r="A2118" t="s">
        <v>2127</v>
      </c>
      <c r="B2118" t="s">
        <v>11</v>
      </c>
      <c r="C2118">
        <v>118.12128125</v>
      </c>
      <c r="D2118">
        <f>0</f>
        <v>0</v>
      </c>
      <c r="E2118">
        <f>667423157/10^6</f>
        <v>667.42315699999995</v>
      </c>
      <c r="F2118">
        <f>0</f>
        <v>0</v>
      </c>
      <c r="G2118">
        <f>231604126/10^6</f>
        <v>231.60412600000001</v>
      </c>
      <c r="H2118">
        <f>0</f>
        <v>0</v>
      </c>
      <c r="I2118">
        <f>-41239857/10^6</f>
        <v>-41.239857000000001</v>
      </c>
      <c r="J2118">
        <f>0</f>
        <v>0</v>
      </c>
    </row>
    <row r="2119" spans="1:10" x14ac:dyDescent="0.25">
      <c r="A2119" t="s">
        <v>2128</v>
      </c>
      <c r="B2119" t="s">
        <v>11</v>
      </c>
      <c r="C2119">
        <v>118.6389375</v>
      </c>
      <c r="D2119">
        <f>0</f>
        <v>0</v>
      </c>
      <c r="E2119">
        <f>664555115/10^6</f>
        <v>664.555115</v>
      </c>
      <c r="F2119">
        <f>0</f>
        <v>0</v>
      </c>
      <c r="G2119">
        <f>231674515/10^6</f>
        <v>231.67451500000001</v>
      </c>
      <c r="H2119">
        <f>0</f>
        <v>0</v>
      </c>
      <c r="I2119">
        <f>-41000256/10^6</f>
        <v>-41.000256</v>
      </c>
      <c r="J2119">
        <f>0</f>
        <v>0</v>
      </c>
    </row>
    <row r="2120" spans="1:10" x14ac:dyDescent="0.25">
      <c r="A2120" t="s">
        <v>2129</v>
      </c>
      <c r="B2120" t="s">
        <v>11</v>
      </c>
      <c r="C2120">
        <v>119.15311718800001</v>
      </c>
      <c r="D2120">
        <f>0</f>
        <v>0</v>
      </c>
      <c r="E2120">
        <f>661765259/10^6</f>
        <v>661.76525900000001</v>
      </c>
      <c r="F2120">
        <f>0</f>
        <v>0</v>
      </c>
      <c r="G2120">
        <f>231749817/10^6</f>
        <v>231.74981700000001</v>
      </c>
      <c r="H2120">
        <f>0</f>
        <v>0</v>
      </c>
      <c r="I2120">
        <f>-40731705/10^6</f>
        <v>-40.731704999999998</v>
      </c>
      <c r="J2120">
        <f>0</f>
        <v>0</v>
      </c>
    </row>
    <row r="2121" spans="1:10" x14ac:dyDescent="0.25">
      <c r="A2121" t="s">
        <v>2130</v>
      </c>
      <c r="B2121" t="s">
        <v>11</v>
      </c>
      <c r="C2121">
        <v>119.64500781300001</v>
      </c>
      <c r="D2121">
        <f>0</f>
        <v>0</v>
      </c>
      <c r="E2121">
        <f>658985229/10^6</f>
        <v>658.985229</v>
      </c>
      <c r="F2121">
        <f>0</f>
        <v>0</v>
      </c>
      <c r="G2121">
        <f>231820267/10^6</f>
        <v>231.820267</v>
      </c>
      <c r="H2121">
        <f>0</f>
        <v>0</v>
      </c>
      <c r="I2121">
        <f>-40324863/10^6</f>
        <v>-40.324863000000001</v>
      </c>
      <c r="J2121">
        <f>0</f>
        <v>0</v>
      </c>
    </row>
    <row r="2122" spans="1:10" x14ac:dyDescent="0.25">
      <c r="A2122" t="s">
        <v>2131</v>
      </c>
      <c r="B2122" t="s">
        <v>11</v>
      </c>
      <c r="C2122">
        <v>120.121679688</v>
      </c>
      <c r="D2122">
        <f>0</f>
        <v>0</v>
      </c>
      <c r="E2122">
        <f>656281555/10^6</f>
        <v>656.28155500000003</v>
      </c>
      <c r="F2122">
        <f>0</f>
        <v>0</v>
      </c>
      <c r="G2122">
        <f>231871674/10^6</f>
        <v>231.87167400000001</v>
      </c>
      <c r="H2122">
        <f>0</f>
        <v>0</v>
      </c>
      <c r="I2122">
        <f>-39973026/10^6</f>
        <v>-39.973025999999997</v>
      </c>
      <c r="J2122">
        <f>0</f>
        <v>0</v>
      </c>
    </row>
    <row r="2123" spans="1:10" x14ac:dyDescent="0.25">
      <c r="A2123" t="s">
        <v>2132</v>
      </c>
      <c r="B2123" t="s">
        <v>11</v>
      </c>
      <c r="C2123">
        <v>120.574867188</v>
      </c>
      <c r="D2123">
        <f>0</f>
        <v>0</v>
      </c>
      <c r="E2123">
        <f>653740234/10^6</f>
        <v>653.74023399999999</v>
      </c>
      <c r="F2123">
        <f>0</f>
        <v>0</v>
      </c>
      <c r="G2123">
        <f>231915634/10^6</f>
        <v>231.91563400000001</v>
      </c>
      <c r="H2123">
        <f>0</f>
        <v>0</v>
      </c>
      <c r="I2123">
        <f>-39749352/10^6</f>
        <v>-39.749352000000002</v>
      </c>
      <c r="J2123">
        <f>0</f>
        <v>0</v>
      </c>
    </row>
    <row r="2124" spans="1:10" x14ac:dyDescent="0.25">
      <c r="A2124" t="s">
        <v>2133</v>
      </c>
      <c r="B2124" t="s">
        <v>11</v>
      </c>
      <c r="C2124">
        <v>120.9593125</v>
      </c>
      <c r="D2124">
        <f>0</f>
        <v>0</v>
      </c>
      <c r="E2124">
        <f>651617065/10^6</f>
        <v>651.61706500000003</v>
      </c>
      <c r="F2124">
        <f>0</f>
        <v>0</v>
      </c>
      <c r="G2124">
        <f>231955429/10^6</f>
        <v>231.95542900000001</v>
      </c>
      <c r="H2124">
        <f>0</f>
        <v>0</v>
      </c>
      <c r="I2124">
        <f>-39582088/10^6</f>
        <v>-39.582087999999999</v>
      </c>
      <c r="J2124">
        <f>0</f>
        <v>0</v>
      </c>
    </row>
    <row r="2125" spans="1:10" x14ac:dyDescent="0.25">
      <c r="A2125" t="s">
        <v>2134</v>
      </c>
      <c r="B2125" t="s">
        <v>11</v>
      </c>
      <c r="C2125">
        <v>121.230492188</v>
      </c>
      <c r="D2125">
        <f>0</f>
        <v>0</v>
      </c>
      <c r="E2125">
        <f>650050049/10^6</f>
        <v>650.05004899999994</v>
      </c>
      <c r="F2125">
        <f>0</f>
        <v>0</v>
      </c>
      <c r="G2125">
        <f>23199147/10^5</f>
        <v>231.99146999999999</v>
      </c>
      <c r="H2125">
        <f>0</f>
        <v>0</v>
      </c>
      <c r="I2125">
        <f>-39332367/10^6</f>
        <v>-39.332366999999998</v>
      </c>
      <c r="J2125">
        <f>0</f>
        <v>0</v>
      </c>
    </row>
    <row r="2126" spans="1:10" x14ac:dyDescent="0.25">
      <c r="A2126" t="s">
        <v>2135</v>
      </c>
      <c r="B2126" t="s">
        <v>11</v>
      </c>
      <c r="C2126">
        <v>121.419320313</v>
      </c>
      <c r="D2126">
        <f>0</f>
        <v>0</v>
      </c>
      <c r="E2126">
        <f>649023865/10^6</f>
        <v>649.023865</v>
      </c>
      <c r="F2126">
        <f>0</f>
        <v>0</v>
      </c>
      <c r="G2126">
        <f>232036789/10^6</f>
        <v>232.036789</v>
      </c>
      <c r="H2126">
        <f>0</f>
        <v>0</v>
      </c>
      <c r="I2126">
        <f>-3912471/10^5</f>
        <v>-39.12471</v>
      </c>
      <c r="J2126">
        <f>0</f>
        <v>0</v>
      </c>
    </row>
    <row r="2127" spans="1:10" x14ac:dyDescent="0.25">
      <c r="A2127" t="s">
        <v>2136</v>
      </c>
      <c r="B2127" t="s">
        <v>11</v>
      </c>
      <c r="C2127">
        <v>121.55674999999999</v>
      </c>
      <c r="D2127">
        <f>0</f>
        <v>0</v>
      </c>
      <c r="E2127">
        <f>648456726/10^6</f>
        <v>648.456726</v>
      </c>
      <c r="F2127">
        <f>0</f>
        <v>0</v>
      </c>
      <c r="G2127">
        <f>232073898/10^6</f>
        <v>232.07389800000001</v>
      </c>
      <c r="H2127">
        <f>0</f>
        <v>0</v>
      </c>
      <c r="I2127">
        <f>-39125671/10^6</f>
        <v>-39.125670999999997</v>
      </c>
      <c r="J2127">
        <f>0</f>
        <v>0</v>
      </c>
    </row>
    <row r="2128" spans="1:10" x14ac:dyDescent="0.25">
      <c r="A2128" t="s">
        <v>2137</v>
      </c>
      <c r="B2128" t="s">
        <v>11</v>
      </c>
      <c r="C2128">
        <v>121.620023438</v>
      </c>
      <c r="D2128">
        <f>0</f>
        <v>0</v>
      </c>
      <c r="E2128">
        <f>648097534/10^6</f>
        <v>648.097534</v>
      </c>
      <c r="F2128">
        <f>0</f>
        <v>0</v>
      </c>
      <c r="G2128">
        <f>23209259/10^5</f>
        <v>232.09259</v>
      </c>
      <c r="H2128">
        <f>0</f>
        <v>0</v>
      </c>
      <c r="I2128">
        <f>-39061409/10^6</f>
        <v>-39.061408999999998</v>
      </c>
      <c r="J2128">
        <f>0</f>
        <v>0</v>
      </c>
    </row>
    <row r="2129" spans="1:10" x14ac:dyDescent="0.25">
      <c r="A2129" t="s">
        <v>2138</v>
      </c>
      <c r="B2129" t="s">
        <v>11</v>
      </c>
      <c r="C2129">
        <v>121.606359375</v>
      </c>
      <c r="D2129">
        <f>0</f>
        <v>0</v>
      </c>
      <c r="E2129">
        <f>648132751/10^6</f>
        <v>648.13275099999998</v>
      </c>
      <c r="F2129">
        <f>0</f>
        <v>0</v>
      </c>
      <c r="G2129">
        <f>232106537/10^6</f>
        <v>232.106537</v>
      </c>
      <c r="H2129">
        <f>0</f>
        <v>0</v>
      </c>
      <c r="I2129">
        <f>-38925453/10^6</f>
        <v>-38.925452999999997</v>
      </c>
      <c r="J2129">
        <f>0</f>
        <v>0</v>
      </c>
    </row>
    <row r="2130" spans="1:10" x14ac:dyDescent="0.25">
      <c r="A2130" t="s">
        <v>2139</v>
      </c>
      <c r="B2130" t="s">
        <v>11</v>
      </c>
      <c r="C2130">
        <v>121.539664063</v>
      </c>
      <c r="D2130">
        <f>0</f>
        <v>0</v>
      </c>
      <c r="E2130">
        <f>648628113/10^6</f>
        <v>648.62811299999998</v>
      </c>
      <c r="F2130">
        <f>0</f>
        <v>0</v>
      </c>
      <c r="G2130">
        <f>232118851/10^6</f>
        <v>232.11885100000001</v>
      </c>
      <c r="H2130">
        <f>0</f>
        <v>0</v>
      </c>
      <c r="I2130">
        <f>-38931873/10^6</f>
        <v>-38.931873000000003</v>
      </c>
      <c r="J2130">
        <f>0</f>
        <v>0</v>
      </c>
    </row>
    <row r="2131" spans="1:10" x14ac:dyDescent="0.25">
      <c r="A2131" t="s">
        <v>2140</v>
      </c>
      <c r="B2131" t="s">
        <v>11</v>
      </c>
      <c r="C2131">
        <v>121.43765625</v>
      </c>
      <c r="D2131">
        <f>0</f>
        <v>0</v>
      </c>
      <c r="E2131">
        <f>64911792/10^5</f>
        <v>649.11792000000003</v>
      </c>
      <c r="F2131">
        <f>0</f>
        <v>0</v>
      </c>
      <c r="G2131">
        <f>23211647/10^5</f>
        <v>232.11646999999999</v>
      </c>
      <c r="H2131">
        <f>0</f>
        <v>0</v>
      </c>
      <c r="I2131">
        <f>-38884575/10^6</f>
        <v>-38.884574999999998</v>
      </c>
      <c r="J2131">
        <f>0</f>
        <v>0</v>
      </c>
    </row>
    <row r="2132" spans="1:10" x14ac:dyDescent="0.25">
      <c r="A2132" t="s">
        <v>2141</v>
      </c>
      <c r="B2132" t="s">
        <v>11</v>
      </c>
      <c r="C2132">
        <v>121.308015625</v>
      </c>
      <c r="D2132">
        <f>0</f>
        <v>0</v>
      </c>
      <c r="E2132">
        <f>649815063/10^6</f>
        <v>649.81506300000001</v>
      </c>
      <c r="F2132">
        <f>0</f>
        <v>0</v>
      </c>
      <c r="G2132">
        <f>232097565/10^6</f>
        <v>232.097565</v>
      </c>
      <c r="H2132">
        <f>0</f>
        <v>0</v>
      </c>
      <c r="I2132">
        <f>-38867546/10^6</f>
        <v>-38.867545999999997</v>
      </c>
      <c r="J2132">
        <f>0</f>
        <v>0</v>
      </c>
    </row>
    <row r="2133" spans="1:10" x14ac:dyDescent="0.25">
      <c r="A2133" t="s">
        <v>2142</v>
      </c>
      <c r="B2133" t="s">
        <v>11</v>
      </c>
      <c r="C2133">
        <v>121.15178125</v>
      </c>
      <c r="D2133">
        <f>0</f>
        <v>0</v>
      </c>
      <c r="E2133">
        <f>65074054/10^5</f>
        <v>650.74054000000001</v>
      </c>
      <c r="F2133">
        <f>0</f>
        <v>0</v>
      </c>
      <c r="G2133">
        <f>232072815/10^6</f>
        <v>232.07281499999999</v>
      </c>
      <c r="H2133">
        <f>0</f>
        <v>0</v>
      </c>
      <c r="I2133">
        <f>-39038029/10^6</f>
        <v>-39.038029000000002</v>
      </c>
      <c r="J2133">
        <f>0</f>
        <v>0</v>
      </c>
    </row>
    <row r="2134" spans="1:10" x14ac:dyDescent="0.25">
      <c r="A2134" t="s">
        <v>2143</v>
      </c>
      <c r="B2134" t="s">
        <v>11</v>
      </c>
      <c r="C2134">
        <v>120.991679688</v>
      </c>
      <c r="D2134">
        <f>0</f>
        <v>0</v>
      </c>
      <c r="E2134">
        <f>651552185/10^6</f>
        <v>651.55218500000001</v>
      </c>
      <c r="F2134">
        <f>0</f>
        <v>0</v>
      </c>
      <c r="G2134">
        <f>232043762/10^6</f>
        <v>232.04376199999999</v>
      </c>
      <c r="H2134">
        <f>0</f>
        <v>0</v>
      </c>
      <c r="I2134">
        <f>-39186962/10^6</f>
        <v>-39.186962000000001</v>
      </c>
      <c r="J2134">
        <f>0</f>
        <v>0</v>
      </c>
    </row>
    <row r="2135" spans="1:10" x14ac:dyDescent="0.25">
      <c r="A2135" t="s">
        <v>2144</v>
      </c>
      <c r="B2135" t="s">
        <v>11</v>
      </c>
      <c r="C2135">
        <v>120.82239843800001</v>
      </c>
      <c r="D2135">
        <f>0</f>
        <v>0</v>
      </c>
      <c r="E2135">
        <f>652498169/10^6</f>
        <v>652.49816899999996</v>
      </c>
      <c r="F2135">
        <f>0</f>
        <v>0</v>
      </c>
      <c r="G2135">
        <f>232010849/10^6</f>
        <v>232.01084900000001</v>
      </c>
      <c r="H2135">
        <f>0</f>
        <v>0</v>
      </c>
      <c r="I2135">
        <f>-39315281/10^6</f>
        <v>-39.315280999999999</v>
      </c>
      <c r="J2135">
        <f>0</f>
        <v>0</v>
      </c>
    </row>
    <row r="2136" spans="1:10" x14ac:dyDescent="0.25">
      <c r="A2136" t="s">
        <v>2145</v>
      </c>
      <c r="B2136" t="s">
        <v>11</v>
      </c>
      <c r="C2136">
        <v>120.61739843800001</v>
      </c>
      <c r="D2136">
        <f>0</f>
        <v>0</v>
      </c>
      <c r="E2136">
        <f>653633911/10^6</f>
        <v>653.63391100000001</v>
      </c>
      <c r="F2136">
        <f>0</f>
        <v>0</v>
      </c>
      <c r="G2136">
        <f>231974625/10^6</f>
        <v>231.974625</v>
      </c>
      <c r="H2136">
        <f>0</f>
        <v>0</v>
      </c>
      <c r="I2136">
        <f>-39409664/10^6</f>
        <v>-39.409663999999999</v>
      </c>
      <c r="J2136">
        <f>0</f>
        <v>0</v>
      </c>
    </row>
    <row r="2137" spans="1:10" x14ac:dyDescent="0.25">
      <c r="A2137" t="s">
        <v>2146</v>
      </c>
      <c r="B2137" t="s">
        <v>11</v>
      </c>
      <c r="C2137">
        <v>0</v>
      </c>
      <c r="D2137">
        <f>2</f>
        <v>2</v>
      </c>
      <c r="F2137">
        <f>2</f>
        <v>2</v>
      </c>
      <c r="H2137">
        <f>2</f>
        <v>2</v>
      </c>
      <c r="J2137">
        <f>2</f>
        <v>2</v>
      </c>
    </row>
    <row r="2138" spans="1:10" x14ac:dyDescent="0.25">
      <c r="A2138" t="s">
        <v>2147</v>
      </c>
      <c r="B2138" t="s">
        <v>11</v>
      </c>
      <c r="C2138">
        <v>120.124195313</v>
      </c>
      <c r="D2138">
        <f>0</f>
        <v>0</v>
      </c>
      <c r="E2138">
        <f>656213135/10^6</f>
        <v>656.21313499999997</v>
      </c>
      <c r="F2138">
        <f>0</f>
        <v>0</v>
      </c>
      <c r="G2138">
        <f>231881973/10^6</f>
        <v>231.88197299999999</v>
      </c>
      <c r="H2138">
        <f>0</f>
        <v>0</v>
      </c>
      <c r="I2138">
        <f>-39508282/10^6</f>
        <v>-39.508282000000001</v>
      </c>
      <c r="J2138">
        <f>0</f>
        <v>0</v>
      </c>
    </row>
    <row r="2139" spans="1:10" x14ac:dyDescent="0.25">
      <c r="A2139" t="s">
        <v>2148</v>
      </c>
      <c r="B2139" t="s">
        <v>11</v>
      </c>
      <c r="C2139">
        <v>119.8324375</v>
      </c>
      <c r="D2139">
        <f>0</f>
        <v>0</v>
      </c>
      <c r="E2139">
        <f>657917053/10^6</f>
        <v>657.91705300000001</v>
      </c>
      <c r="F2139">
        <f>0</f>
        <v>0</v>
      </c>
      <c r="G2139">
        <f>231832825/10^6</f>
        <v>231.83282500000001</v>
      </c>
      <c r="H2139">
        <f>0</f>
        <v>0</v>
      </c>
      <c r="I2139">
        <f>-39714527/10^6</f>
        <v>-39.714526999999997</v>
      </c>
      <c r="J2139">
        <f>0</f>
        <v>0</v>
      </c>
    </row>
    <row r="2140" spans="1:10" x14ac:dyDescent="0.25">
      <c r="A2140" t="s">
        <v>2149</v>
      </c>
      <c r="B2140" t="s">
        <v>11</v>
      </c>
      <c r="C2140">
        <v>119.534757813</v>
      </c>
      <c r="D2140">
        <f>0</f>
        <v>0</v>
      </c>
      <c r="E2140">
        <f>65952356/10^5</f>
        <v>659.52355999999997</v>
      </c>
      <c r="F2140">
        <f>0</f>
        <v>0</v>
      </c>
      <c r="G2140">
        <f>231791565/10^6</f>
        <v>231.79156499999999</v>
      </c>
      <c r="H2140">
        <f>0</f>
        <v>0</v>
      </c>
      <c r="I2140">
        <f>-39894196/10^6</f>
        <v>-39.894196000000001</v>
      </c>
      <c r="J2140">
        <f>0</f>
        <v>0</v>
      </c>
    </row>
    <row r="2141" spans="1:10" x14ac:dyDescent="0.25">
      <c r="A2141" t="s">
        <v>2150</v>
      </c>
      <c r="B2141" t="s">
        <v>11</v>
      </c>
      <c r="C2141">
        <v>0</v>
      </c>
      <c r="D2141">
        <f>2</f>
        <v>2</v>
      </c>
      <c r="F2141">
        <f>2</f>
        <v>2</v>
      </c>
      <c r="H2141">
        <f>2</f>
        <v>2</v>
      </c>
      <c r="J2141">
        <f>2</f>
        <v>2</v>
      </c>
    </row>
    <row r="2142" spans="1:10" x14ac:dyDescent="0.25">
      <c r="A2142" t="s">
        <v>2151</v>
      </c>
      <c r="B2142" t="s">
        <v>11</v>
      </c>
      <c r="C2142">
        <v>118.9265625</v>
      </c>
      <c r="D2142">
        <f>0</f>
        <v>0</v>
      </c>
      <c r="E2142">
        <f>66269458/10^5</f>
        <v>662.69457999999997</v>
      </c>
      <c r="F2142">
        <f>0</f>
        <v>0</v>
      </c>
      <c r="G2142">
        <f>231694931/10^6</f>
        <v>231.694931</v>
      </c>
      <c r="H2142">
        <f>0</f>
        <v>0</v>
      </c>
      <c r="I2142">
        <f>-40112389/10^6</f>
        <v>-40.112389</v>
      </c>
      <c r="J2142">
        <f>0</f>
        <v>0</v>
      </c>
    </row>
    <row r="2143" spans="1:10" x14ac:dyDescent="0.25">
      <c r="A2143" t="s">
        <v>2152</v>
      </c>
      <c r="B2143" t="s">
        <v>11</v>
      </c>
      <c r="C2143">
        <v>118.616828125</v>
      </c>
      <c r="D2143">
        <f>0</f>
        <v>0</v>
      </c>
      <c r="E2143">
        <f>664378784/10^6</f>
        <v>664.378784</v>
      </c>
      <c r="F2143">
        <f>0</f>
        <v>0</v>
      </c>
      <c r="G2143">
        <f>23164003/10^5</f>
        <v>231.64003</v>
      </c>
      <c r="H2143">
        <f>0</f>
        <v>0</v>
      </c>
      <c r="I2143">
        <f>-40275719/10^6</f>
        <v>-40.275719000000002</v>
      </c>
      <c r="J2143">
        <f>0</f>
        <v>0</v>
      </c>
    </row>
    <row r="2144" spans="1:10" x14ac:dyDescent="0.25">
      <c r="A2144" t="s">
        <v>2153</v>
      </c>
      <c r="B2144" t="s">
        <v>11</v>
      </c>
      <c r="C2144">
        <v>118.3071875</v>
      </c>
      <c r="D2144">
        <f>0</f>
        <v>0</v>
      </c>
      <c r="E2144">
        <f>666097595/10^6</f>
        <v>666.09759499999996</v>
      </c>
      <c r="F2144">
        <f>0</f>
        <v>0</v>
      </c>
      <c r="G2144">
        <f>231558655/10^6</f>
        <v>231.55865499999999</v>
      </c>
      <c r="H2144">
        <f>0</f>
        <v>0</v>
      </c>
      <c r="I2144">
        <f>-40526455/10^6</f>
        <v>-40.526454999999999</v>
      </c>
      <c r="J2144">
        <f>0</f>
        <v>0</v>
      </c>
    </row>
    <row r="2145" spans="1:10" x14ac:dyDescent="0.25">
      <c r="A2145" t="s">
        <v>2154</v>
      </c>
      <c r="B2145" t="s">
        <v>11</v>
      </c>
      <c r="C2145">
        <v>117.97335156300001</v>
      </c>
      <c r="D2145">
        <f>0</f>
        <v>0</v>
      </c>
      <c r="E2145">
        <f>66796106/10^5</f>
        <v>667.96105999999997</v>
      </c>
      <c r="F2145">
        <f>0</f>
        <v>0</v>
      </c>
      <c r="G2145">
        <f>231500443/10^6</f>
        <v>231.50044299999999</v>
      </c>
      <c r="H2145">
        <f>0</f>
        <v>0</v>
      </c>
      <c r="I2145">
        <f>-40739445/10^6</f>
        <v>-40.739445000000003</v>
      </c>
      <c r="J2145">
        <f>0</f>
        <v>0</v>
      </c>
    </row>
    <row r="2146" spans="1:10" x14ac:dyDescent="0.25">
      <c r="A2146" t="s">
        <v>2155</v>
      </c>
      <c r="B2146" t="s">
        <v>11</v>
      </c>
      <c r="C2146">
        <v>117.64096875</v>
      </c>
      <c r="D2146">
        <f>0</f>
        <v>0</v>
      </c>
      <c r="E2146">
        <f>669740417/10^6</f>
        <v>669.74041699999998</v>
      </c>
      <c r="F2146">
        <f>0</f>
        <v>0</v>
      </c>
      <c r="G2146">
        <f>231450272/10^6</f>
        <v>231.45027200000001</v>
      </c>
      <c r="H2146">
        <f>0</f>
        <v>0</v>
      </c>
      <c r="I2146">
        <f>-40905048/10^6</f>
        <v>-40.905048000000001</v>
      </c>
      <c r="J2146">
        <f>0</f>
        <v>0</v>
      </c>
    </row>
    <row r="2147" spans="1:10" x14ac:dyDescent="0.25">
      <c r="A2147" t="s">
        <v>2156</v>
      </c>
      <c r="B2147" t="s">
        <v>11</v>
      </c>
      <c r="C2147">
        <v>117.308914063</v>
      </c>
      <c r="D2147">
        <f>0</f>
        <v>0</v>
      </c>
      <c r="E2147">
        <f>671636841/10^6</f>
        <v>671.636841</v>
      </c>
      <c r="F2147">
        <f>0</f>
        <v>0</v>
      </c>
      <c r="G2147">
        <f>231387756/10^6</f>
        <v>231.387756</v>
      </c>
      <c r="H2147">
        <f>0</f>
        <v>0</v>
      </c>
      <c r="I2147">
        <f>-41162544/10^6</f>
        <v>-41.162543999999997</v>
      </c>
      <c r="J2147">
        <f>0</f>
        <v>0</v>
      </c>
    </row>
    <row r="2148" spans="1:10" x14ac:dyDescent="0.25">
      <c r="A2148" t="s">
        <v>2157</v>
      </c>
      <c r="B2148" t="s">
        <v>11</v>
      </c>
      <c r="C2148">
        <v>116.963578125</v>
      </c>
      <c r="D2148">
        <f>0</f>
        <v>0</v>
      </c>
      <c r="E2148">
        <f>673686584/10^6</f>
        <v>673.68658400000004</v>
      </c>
      <c r="F2148">
        <f>0</f>
        <v>0</v>
      </c>
      <c r="G2148">
        <f>231345581/10^6</f>
        <v>231.34558100000001</v>
      </c>
      <c r="H2148">
        <f>0</f>
        <v>0</v>
      </c>
      <c r="I2148">
        <f>-4133252/10^5</f>
        <v>-41.332520000000002</v>
      </c>
      <c r="J2148">
        <f>0</f>
        <v>0</v>
      </c>
    </row>
    <row r="2149" spans="1:10" x14ac:dyDescent="0.25">
      <c r="A2149" t="s">
        <v>2158</v>
      </c>
      <c r="B2149" t="s">
        <v>11</v>
      </c>
      <c r="C2149">
        <v>116.60404687499999</v>
      </c>
      <c r="D2149">
        <f>0</f>
        <v>0</v>
      </c>
      <c r="E2149">
        <f>675830627/10^6</f>
        <v>675.83062700000005</v>
      </c>
      <c r="F2149">
        <f>0</f>
        <v>0</v>
      </c>
      <c r="G2149">
        <f>231306152/10^6</f>
        <v>231.306152</v>
      </c>
      <c r="H2149">
        <f>0</f>
        <v>0</v>
      </c>
      <c r="I2149">
        <f>-41673805/10^6</f>
        <v>-41.673805000000002</v>
      </c>
      <c r="J2149">
        <f>0</f>
        <v>0</v>
      </c>
    </row>
    <row r="2150" spans="1:10" x14ac:dyDescent="0.25">
      <c r="A2150" t="s">
        <v>2159</v>
      </c>
      <c r="B2150" t="s">
        <v>11</v>
      </c>
      <c r="C2150">
        <v>116.234734375</v>
      </c>
      <c r="D2150">
        <f>0</f>
        <v>0</v>
      </c>
      <c r="E2150">
        <f>677965149/10^6</f>
        <v>677.965149</v>
      </c>
      <c r="F2150">
        <f>0</f>
        <v>0</v>
      </c>
      <c r="G2150">
        <f>231253433/10^6</f>
        <v>231.253433</v>
      </c>
      <c r="H2150">
        <f>0</f>
        <v>0</v>
      </c>
      <c r="I2150">
        <f>-42069313/10^6</f>
        <v>-42.069313000000001</v>
      </c>
      <c r="J2150">
        <f>0</f>
        <v>0</v>
      </c>
    </row>
    <row r="2151" spans="1:10" x14ac:dyDescent="0.25">
      <c r="A2151" t="s">
        <v>2160</v>
      </c>
      <c r="B2151" t="s">
        <v>11</v>
      </c>
      <c r="C2151">
        <v>115.894484375</v>
      </c>
      <c r="D2151">
        <f>0</f>
        <v>0</v>
      </c>
      <c r="E2151">
        <f>679814087/10^6</f>
        <v>679.81408699999997</v>
      </c>
      <c r="F2151">
        <f>0</f>
        <v>0</v>
      </c>
      <c r="G2151">
        <f>231153458/10^6</f>
        <v>231.153458</v>
      </c>
      <c r="H2151">
        <f>0</f>
        <v>0</v>
      </c>
      <c r="I2151">
        <f>-42236687/10^6</f>
        <v>-42.236687000000003</v>
      </c>
      <c r="J2151">
        <f>0</f>
        <v>0</v>
      </c>
    </row>
    <row r="2152" spans="1:10" x14ac:dyDescent="0.25">
      <c r="A2152" t="s">
        <v>2161</v>
      </c>
      <c r="B2152" t="s">
        <v>11</v>
      </c>
      <c r="C2152">
        <v>115.6005</v>
      </c>
      <c r="D2152">
        <f>0</f>
        <v>0</v>
      </c>
      <c r="E2152">
        <f>681646118/10^6</f>
        <v>681.646118</v>
      </c>
      <c r="F2152">
        <f>0</f>
        <v>0</v>
      </c>
      <c r="G2152">
        <f>231077499/10^6</f>
        <v>231.07749899999999</v>
      </c>
      <c r="H2152">
        <f>0</f>
        <v>0</v>
      </c>
      <c r="I2152">
        <f>-42646561/10^6</f>
        <v>-42.646560999999998</v>
      </c>
      <c r="J2152">
        <f>0</f>
        <v>0</v>
      </c>
    </row>
    <row r="2153" spans="1:10" x14ac:dyDescent="0.25">
      <c r="A2153" t="s">
        <v>2162</v>
      </c>
      <c r="B2153" t="s">
        <v>11</v>
      </c>
      <c r="C2153">
        <v>115.35439062499999</v>
      </c>
      <c r="D2153">
        <f>0</f>
        <v>0</v>
      </c>
      <c r="E2153">
        <f>683043152/10^6</f>
        <v>683.04315199999996</v>
      </c>
      <c r="F2153">
        <f>0</f>
        <v>0</v>
      </c>
      <c r="G2153">
        <f>231017288/10^6</f>
        <v>231.01728800000001</v>
      </c>
      <c r="H2153">
        <f>0</f>
        <v>0</v>
      </c>
      <c r="I2153">
        <f>-42913036/10^6</f>
        <v>-42.913035999999998</v>
      </c>
      <c r="J2153">
        <f>0</f>
        <v>0</v>
      </c>
    </row>
    <row r="2154" spans="1:10" x14ac:dyDescent="0.25">
      <c r="A2154" t="s">
        <v>2163</v>
      </c>
      <c r="B2154" t="s">
        <v>11</v>
      </c>
      <c r="C2154">
        <v>115.178679688</v>
      </c>
      <c r="D2154">
        <f>0</f>
        <v>0</v>
      </c>
      <c r="E2154">
        <f>683753296/10^6</f>
        <v>683.75329599999998</v>
      </c>
      <c r="F2154">
        <f>0</f>
        <v>0</v>
      </c>
      <c r="G2154">
        <f>230916794/10^6</f>
        <v>230.91679400000001</v>
      </c>
      <c r="H2154">
        <f>0</f>
        <v>0</v>
      </c>
      <c r="I2154">
        <f>-42828953/10^6</f>
        <v>-42.828952999999998</v>
      </c>
      <c r="J2154">
        <f>0</f>
        <v>0</v>
      </c>
    </row>
    <row r="2155" spans="1:10" x14ac:dyDescent="0.25">
      <c r="A2155" t="s">
        <v>2164</v>
      </c>
      <c r="B2155" t="s">
        <v>11</v>
      </c>
      <c r="C2155">
        <v>0</v>
      </c>
      <c r="D2155">
        <f>2</f>
        <v>2</v>
      </c>
      <c r="F2155">
        <f>2</f>
        <v>2</v>
      </c>
      <c r="H2155">
        <f>2</f>
        <v>2</v>
      </c>
      <c r="J2155">
        <f>2</f>
        <v>2</v>
      </c>
    </row>
    <row r="2156" spans="1:10" x14ac:dyDescent="0.25">
      <c r="A2156" t="s">
        <v>2165</v>
      </c>
      <c r="B2156" t="s">
        <v>11</v>
      </c>
      <c r="C2156">
        <v>114.895382813</v>
      </c>
      <c r="D2156">
        <f>0</f>
        <v>0</v>
      </c>
      <c r="E2156">
        <f>685619141/10^6</f>
        <v>685.61914100000001</v>
      </c>
      <c r="F2156">
        <f>0</f>
        <v>0</v>
      </c>
      <c r="G2156">
        <f>230924911/10^6</f>
        <v>230.92491100000001</v>
      </c>
      <c r="H2156">
        <f>0</f>
        <v>0</v>
      </c>
      <c r="I2156">
        <f>-43140362/10^6</f>
        <v>-43.140362000000003</v>
      </c>
      <c r="J2156">
        <f>0</f>
        <v>0</v>
      </c>
    </row>
    <row r="2157" spans="1:10" x14ac:dyDescent="0.25">
      <c r="A2157" t="s">
        <v>2166</v>
      </c>
      <c r="B2157" t="s">
        <v>11</v>
      </c>
      <c r="C2157">
        <v>114.813804688</v>
      </c>
      <c r="D2157">
        <f>0</f>
        <v>0</v>
      </c>
      <c r="E2157">
        <f>686059021/10^6</f>
        <v>686.05902100000003</v>
      </c>
      <c r="F2157">
        <f>0</f>
        <v>0</v>
      </c>
      <c r="G2157">
        <f>230860779/10^6</f>
        <v>230.86077900000001</v>
      </c>
      <c r="H2157">
        <f>0</f>
        <v>0</v>
      </c>
      <c r="I2157">
        <f>-43357567/10^6</f>
        <v>-43.357567000000003</v>
      </c>
      <c r="J2157">
        <f>0</f>
        <v>0</v>
      </c>
    </row>
    <row r="2158" spans="1:10" x14ac:dyDescent="0.25">
      <c r="A2158" t="s">
        <v>2167</v>
      </c>
      <c r="B2158" t="s">
        <v>11</v>
      </c>
      <c r="C2158">
        <v>114.772429688</v>
      </c>
      <c r="D2158">
        <f>0</f>
        <v>0</v>
      </c>
      <c r="E2158">
        <f>686380676/10^6</f>
        <v>686.38067599999999</v>
      </c>
      <c r="F2158">
        <f>0</f>
        <v>0</v>
      </c>
      <c r="G2158">
        <f>230843781/10^6</f>
        <v>230.84378100000001</v>
      </c>
      <c r="H2158">
        <f>0</f>
        <v>0</v>
      </c>
      <c r="I2158">
        <f>-43482048/10^6</f>
        <v>-43.482047999999999</v>
      </c>
      <c r="J2158">
        <f>0</f>
        <v>0</v>
      </c>
    </row>
    <row r="2159" spans="1:10" x14ac:dyDescent="0.25">
      <c r="A2159" t="s">
        <v>2168</v>
      </c>
      <c r="B2159" t="s">
        <v>11</v>
      </c>
      <c r="C2159">
        <v>114.68678125</v>
      </c>
      <c r="D2159">
        <f>0</f>
        <v>0</v>
      </c>
      <c r="E2159">
        <f>686577881/10^6</f>
        <v>686.57788100000005</v>
      </c>
      <c r="F2159">
        <f>0</f>
        <v>0</v>
      </c>
      <c r="G2159">
        <f>230803772/10^6</f>
        <v>230.80377200000001</v>
      </c>
      <c r="H2159">
        <f>0</f>
        <v>0</v>
      </c>
      <c r="I2159">
        <f>-43223488/10^6</f>
        <v>-43.223488000000003</v>
      </c>
      <c r="J2159">
        <f>0</f>
        <v>0</v>
      </c>
    </row>
    <row r="2160" spans="1:10" x14ac:dyDescent="0.25">
      <c r="A2160" t="s">
        <v>2169</v>
      </c>
      <c r="B2160" t="s">
        <v>11</v>
      </c>
      <c r="C2160">
        <v>114.5909375</v>
      </c>
      <c r="D2160">
        <f>0</f>
        <v>0</v>
      </c>
      <c r="E2160">
        <f>68715271/10^5</f>
        <v>687.15270999999996</v>
      </c>
      <c r="F2160">
        <f>0</f>
        <v>0</v>
      </c>
      <c r="G2160">
        <f>230788269/10^6</f>
        <v>230.78826900000001</v>
      </c>
      <c r="H2160">
        <f>0</f>
        <v>0</v>
      </c>
      <c r="I2160">
        <f>-43261833/10^6</f>
        <v>-43.261833000000003</v>
      </c>
      <c r="J2160">
        <f>0</f>
        <v>0</v>
      </c>
    </row>
    <row r="2161" spans="1:10" x14ac:dyDescent="0.25">
      <c r="A2161" t="s">
        <v>2170</v>
      </c>
      <c r="B2161" t="s">
        <v>11</v>
      </c>
      <c r="C2161">
        <v>114.59075</v>
      </c>
      <c r="D2161">
        <f>0</f>
        <v>0</v>
      </c>
      <c r="E2161">
        <f>687588989/10^6</f>
        <v>687.58898899999997</v>
      </c>
      <c r="F2161">
        <f>0</f>
        <v>0</v>
      </c>
      <c r="G2161">
        <f>230838348/10^6</f>
        <v>230.838348</v>
      </c>
      <c r="H2161">
        <f>0</f>
        <v>0</v>
      </c>
      <c r="I2161">
        <f>-43653492/10^6</f>
        <v>-43.653492</v>
      </c>
      <c r="J2161">
        <f>0</f>
        <v>0</v>
      </c>
    </row>
    <row r="2162" spans="1:10" x14ac:dyDescent="0.25">
      <c r="A2162" t="s">
        <v>2171</v>
      </c>
      <c r="B2162" t="s">
        <v>11</v>
      </c>
      <c r="C2162">
        <v>114.650835938</v>
      </c>
      <c r="D2162">
        <f>0</f>
        <v>0</v>
      </c>
      <c r="E2162">
        <f>687296387/10^6</f>
        <v>687.29638699999998</v>
      </c>
      <c r="F2162">
        <f>0</f>
        <v>0</v>
      </c>
      <c r="G2162">
        <f>230908859/10^6</f>
        <v>230.90885900000001</v>
      </c>
      <c r="H2162">
        <f>0</f>
        <v>0</v>
      </c>
      <c r="I2162">
        <f>-43546459/10^6</f>
        <v>-43.546458999999999</v>
      </c>
      <c r="J2162">
        <f>0</f>
        <v>0</v>
      </c>
    </row>
    <row r="2163" spans="1:10" x14ac:dyDescent="0.25">
      <c r="A2163" t="s">
        <v>2172</v>
      </c>
      <c r="B2163" t="s">
        <v>11</v>
      </c>
      <c r="C2163">
        <v>114.70874999999999</v>
      </c>
      <c r="D2163">
        <f>0</f>
        <v>0</v>
      </c>
      <c r="E2163">
        <f>68672229/10^5</f>
        <v>686.72229000000004</v>
      </c>
      <c r="F2163">
        <f>0</f>
        <v>0</v>
      </c>
      <c r="G2163">
        <f>23090712/10^5</f>
        <v>230.90711999999999</v>
      </c>
      <c r="H2163">
        <f>0</f>
        <v>0</v>
      </c>
      <c r="I2163">
        <f>-4322459/10^5</f>
        <v>-43.224589999999999</v>
      </c>
      <c r="J2163">
        <f>0</f>
        <v>0</v>
      </c>
    </row>
    <row r="2164" spans="1:10" x14ac:dyDescent="0.25">
      <c r="A2164" t="s">
        <v>2173</v>
      </c>
      <c r="B2164" t="s">
        <v>11</v>
      </c>
      <c r="C2164">
        <v>114.79843750000001</v>
      </c>
      <c r="D2164">
        <f>0</f>
        <v>0</v>
      </c>
      <c r="E2164">
        <f>686171631/10^6</f>
        <v>686.17163100000005</v>
      </c>
      <c r="F2164">
        <f>0</f>
        <v>0</v>
      </c>
      <c r="G2164">
        <f>230914276/10^6</f>
        <v>230.914276</v>
      </c>
      <c r="H2164">
        <f>0</f>
        <v>0</v>
      </c>
      <c r="I2164">
        <f>-43134045/10^6</f>
        <v>-43.134045</v>
      </c>
      <c r="J2164">
        <f>0</f>
        <v>0</v>
      </c>
    </row>
    <row r="2165" spans="1:10" x14ac:dyDescent="0.25">
      <c r="A2165" t="s">
        <v>2174</v>
      </c>
      <c r="B2165" t="s">
        <v>11</v>
      </c>
      <c r="C2165">
        <v>114.900273438</v>
      </c>
      <c r="D2165">
        <f>0</f>
        <v>0</v>
      </c>
      <c r="E2165">
        <f>685881775/10^6</f>
        <v>685.88177499999995</v>
      </c>
      <c r="F2165">
        <f>0</f>
        <v>0</v>
      </c>
      <c r="G2165">
        <f>230990189/10^6</f>
        <v>230.99018899999999</v>
      </c>
      <c r="H2165">
        <f>0</f>
        <v>0</v>
      </c>
      <c r="I2165">
        <f>-43308914/10^6</f>
        <v>-43.308914000000001</v>
      </c>
      <c r="J2165">
        <f>0</f>
        <v>0</v>
      </c>
    </row>
    <row r="2166" spans="1:10" x14ac:dyDescent="0.25">
      <c r="A2166" t="s">
        <v>2175</v>
      </c>
      <c r="B2166" t="s">
        <v>11</v>
      </c>
      <c r="C2166">
        <v>115.01615624999999</v>
      </c>
      <c r="D2166">
        <f>0</f>
        <v>0</v>
      </c>
      <c r="E2166">
        <f>685485596/10^6</f>
        <v>685.48559599999999</v>
      </c>
      <c r="F2166">
        <f>0</f>
        <v>0</v>
      </c>
      <c r="G2166">
        <f>231058411/10^6</f>
        <v>231.05841100000001</v>
      </c>
      <c r="H2166">
        <f>0</f>
        <v>0</v>
      </c>
      <c r="I2166">
        <f>-43416439/10^6</f>
        <v>-43.416438999999997</v>
      </c>
      <c r="J2166">
        <f>0</f>
        <v>0</v>
      </c>
    </row>
    <row r="2167" spans="1:10" x14ac:dyDescent="0.25">
      <c r="A2167" t="s">
        <v>2176</v>
      </c>
      <c r="B2167" t="s">
        <v>11</v>
      </c>
      <c r="C2167">
        <v>115.18975</v>
      </c>
      <c r="D2167">
        <f>0</f>
        <v>0</v>
      </c>
      <c r="E2167">
        <f>684553284/10^6</f>
        <v>684.55328399999996</v>
      </c>
      <c r="F2167">
        <f>0</f>
        <v>0</v>
      </c>
      <c r="G2167">
        <f>23113916/10^5</f>
        <v>231.13916</v>
      </c>
      <c r="H2167">
        <f>0</f>
        <v>0</v>
      </c>
      <c r="I2167">
        <f>-43291756/10^6</f>
        <v>-43.291755999999999</v>
      </c>
      <c r="J2167">
        <f>0</f>
        <v>0</v>
      </c>
    </row>
    <row r="2168" spans="1:10" x14ac:dyDescent="0.25">
      <c r="A2168" t="s">
        <v>2177</v>
      </c>
      <c r="B2168" t="s">
        <v>11</v>
      </c>
      <c r="C2168">
        <v>115.415007813</v>
      </c>
      <c r="D2168">
        <f>0</f>
        <v>0</v>
      </c>
      <c r="E2168">
        <f>683197327/10^6</f>
        <v>683.19732699999997</v>
      </c>
      <c r="F2168">
        <f>0</f>
        <v>0</v>
      </c>
      <c r="G2168">
        <f>231199921/10^6</f>
        <v>231.19992099999999</v>
      </c>
      <c r="H2168">
        <f>0</f>
        <v>0</v>
      </c>
      <c r="I2168">
        <f>-43094826/10^6</f>
        <v>-43.094825999999998</v>
      </c>
      <c r="J2168">
        <f>0</f>
        <v>0</v>
      </c>
    </row>
    <row r="2169" spans="1:10" x14ac:dyDescent="0.25">
      <c r="A2169" t="s">
        <v>2178</v>
      </c>
      <c r="B2169" t="s">
        <v>11</v>
      </c>
      <c r="C2169">
        <v>115.65122656300001</v>
      </c>
      <c r="D2169">
        <f>0</f>
        <v>0</v>
      </c>
      <c r="E2169">
        <f>681898804/10^6</f>
        <v>681.89880400000004</v>
      </c>
      <c r="F2169">
        <f>0</f>
        <v>0</v>
      </c>
      <c r="G2169">
        <f>231255463/10^6</f>
        <v>231.25546299999999</v>
      </c>
      <c r="H2169">
        <f>0</f>
        <v>0</v>
      </c>
      <c r="I2169">
        <f>-42906441/10^6</f>
        <v>-42.906441000000001</v>
      </c>
      <c r="J2169">
        <f>0</f>
        <v>0</v>
      </c>
    </row>
    <row r="2170" spans="1:10" x14ac:dyDescent="0.25">
      <c r="A2170" t="s">
        <v>2179</v>
      </c>
      <c r="B2170" t="s">
        <v>11</v>
      </c>
      <c r="C2170">
        <v>115.88740625</v>
      </c>
      <c r="D2170">
        <f>0</f>
        <v>0</v>
      </c>
      <c r="E2170">
        <f>680684265/10^6</f>
        <v>680.68426499999998</v>
      </c>
      <c r="F2170">
        <f>0</f>
        <v>0</v>
      </c>
      <c r="G2170">
        <f>231321808/10^6</f>
        <v>231.321808</v>
      </c>
      <c r="H2170">
        <f>0</f>
        <v>0</v>
      </c>
      <c r="I2170">
        <f>-42822132/10^6</f>
        <v>-42.822132000000003</v>
      </c>
      <c r="J2170">
        <f>0</f>
        <v>0</v>
      </c>
    </row>
    <row r="2171" spans="1:10" x14ac:dyDescent="0.25">
      <c r="A2171" t="s">
        <v>2180</v>
      </c>
      <c r="B2171" t="s">
        <v>11</v>
      </c>
      <c r="C2171">
        <v>116.17083593800001</v>
      </c>
      <c r="D2171">
        <f>0</f>
        <v>0</v>
      </c>
      <c r="E2171">
        <f>679069214/10^6</f>
        <v>679.06921399999999</v>
      </c>
      <c r="F2171">
        <f>0</f>
        <v>0</v>
      </c>
      <c r="G2171">
        <f>231373215/10^6</f>
        <v>231.37321499999999</v>
      </c>
      <c r="H2171">
        <f>0</f>
        <v>0</v>
      </c>
      <c r="I2171">
        <f>-42678757/10^6</f>
        <v>-42.678756999999997</v>
      </c>
      <c r="J2171">
        <f>0</f>
        <v>0</v>
      </c>
    </row>
    <row r="2172" spans="1:10" x14ac:dyDescent="0.25">
      <c r="A2172" t="s">
        <v>2181</v>
      </c>
      <c r="B2172" t="s">
        <v>11</v>
      </c>
      <c r="C2172">
        <v>116.52449218800001</v>
      </c>
      <c r="D2172">
        <f>0</f>
        <v>0</v>
      </c>
      <c r="E2172">
        <f>67696283/10^5</f>
        <v>676.96283000000005</v>
      </c>
      <c r="F2172">
        <f>0</f>
        <v>0</v>
      </c>
      <c r="G2172">
        <f>23141954/10^5</f>
        <v>231.41954000000001</v>
      </c>
      <c r="H2172">
        <f>0</f>
        <v>0</v>
      </c>
      <c r="I2172">
        <f>-42415108/10^6</f>
        <v>-42.415107999999996</v>
      </c>
      <c r="J2172">
        <f>0</f>
        <v>0</v>
      </c>
    </row>
    <row r="2173" spans="1:10" x14ac:dyDescent="0.25">
      <c r="A2173" t="s">
        <v>2182</v>
      </c>
      <c r="B2173" t="s">
        <v>11</v>
      </c>
      <c r="C2173">
        <v>116.937382813</v>
      </c>
      <c r="D2173">
        <f>0</f>
        <v>0</v>
      </c>
      <c r="E2173">
        <f>674526672/10^6</f>
        <v>674.52667199999996</v>
      </c>
      <c r="F2173">
        <f>0</f>
        <v>0</v>
      </c>
      <c r="G2173">
        <f>231489746/10^6</f>
        <v>231.489746</v>
      </c>
      <c r="H2173">
        <f>0</f>
        <v>0</v>
      </c>
      <c r="I2173">
        <f>-42095249/10^6</f>
        <v>-42.095249000000003</v>
      </c>
      <c r="J2173">
        <f>0</f>
        <v>0</v>
      </c>
    </row>
    <row r="2174" spans="1:10" x14ac:dyDescent="0.25">
      <c r="A2174" t="s">
        <v>2183</v>
      </c>
      <c r="B2174" t="s">
        <v>11</v>
      </c>
      <c r="C2174">
        <v>117.414546875</v>
      </c>
      <c r="D2174">
        <f>0</f>
        <v>0</v>
      </c>
      <c r="E2174">
        <f>67179895/10^5</f>
        <v>671.79894999999999</v>
      </c>
      <c r="F2174">
        <f>0</f>
        <v>0</v>
      </c>
      <c r="G2174">
        <f>231577057/10^6</f>
        <v>231.577057</v>
      </c>
      <c r="H2174">
        <f>0</f>
        <v>0</v>
      </c>
      <c r="I2174">
        <f>-41723923/10^6</f>
        <v>-41.723922999999999</v>
      </c>
      <c r="J2174">
        <f>0</f>
        <v>0</v>
      </c>
    </row>
    <row r="2175" spans="1:10" x14ac:dyDescent="0.25">
      <c r="A2175" t="s">
        <v>2184</v>
      </c>
      <c r="B2175" t="s">
        <v>11</v>
      </c>
      <c r="C2175">
        <v>117.955171875</v>
      </c>
      <c r="D2175">
        <f>0</f>
        <v>0</v>
      </c>
      <c r="E2175">
        <f>668609131/10^6</f>
        <v>668.60913100000005</v>
      </c>
      <c r="F2175">
        <f>0</f>
        <v>0</v>
      </c>
      <c r="G2175">
        <f>231608505/10^6</f>
        <v>231.60850500000001</v>
      </c>
      <c r="H2175">
        <f>0</f>
        <v>0</v>
      </c>
      <c r="I2175">
        <f>-4143401/10^5</f>
        <v>-41.434010000000001</v>
      </c>
      <c r="J2175">
        <f>0</f>
        <v>0</v>
      </c>
    </row>
    <row r="2176" spans="1:10" x14ac:dyDescent="0.25">
      <c r="A2176" t="s">
        <v>2185</v>
      </c>
      <c r="B2176" t="s">
        <v>11</v>
      </c>
      <c r="C2176">
        <v>118.521101563</v>
      </c>
      <c r="D2176">
        <f>0</f>
        <v>0</v>
      </c>
      <c r="E2176">
        <f>665027771/10^6</f>
        <v>665.02777100000003</v>
      </c>
      <c r="F2176">
        <f>0</f>
        <v>0</v>
      </c>
      <c r="G2176">
        <f>231553131/10^6</f>
        <v>231.55313100000001</v>
      </c>
      <c r="H2176">
        <f>0</f>
        <v>0</v>
      </c>
      <c r="I2176">
        <f>-41117226/10^6</f>
        <v>-41.117226000000002</v>
      </c>
      <c r="J2176">
        <f>0</f>
        <v>0</v>
      </c>
    </row>
    <row r="2177" spans="1:10" x14ac:dyDescent="0.25">
      <c r="A2177" t="s">
        <v>2186</v>
      </c>
      <c r="B2177" t="s">
        <v>11</v>
      </c>
      <c r="C2177">
        <v>119.08502343800001</v>
      </c>
      <c r="D2177">
        <f>0</f>
        <v>0</v>
      </c>
      <c r="E2177">
        <f>661675354/10^6</f>
        <v>661.67535399999997</v>
      </c>
      <c r="F2177">
        <f>0</f>
        <v>0</v>
      </c>
      <c r="G2177">
        <f>231551514/10^6</f>
        <v>231.551514</v>
      </c>
      <c r="H2177">
        <f>0</f>
        <v>0</v>
      </c>
      <c r="I2177">
        <f>-40797546/10^6</f>
        <v>-40.797545999999997</v>
      </c>
      <c r="J2177">
        <f>0</f>
        <v>0</v>
      </c>
    </row>
    <row r="2178" spans="1:10" x14ac:dyDescent="0.25">
      <c r="A2178" t="s">
        <v>2187</v>
      </c>
      <c r="B2178" t="s">
        <v>11</v>
      </c>
      <c r="C2178">
        <v>119.660625</v>
      </c>
      <c r="D2178">
        <f>0</f>
        <v>0</v>
      </c>
      <c r="E2178">
        <f>658532349/10^6</f>
        <v>658.53234899999995</v>
      </c>
      <c r="F2178">
        <f>0</f>
        <v>0</v>
      </c>
      <c r="G2178">
        <f>231676193/10^6</f>
        <v>231.67619300000001</v>
      </c>
      <c r="H2178">
        <f>0</f>
        <v>0</v>
      </c>
      <c r="I2178">
        <f>-40398251/10^6</f>
        <v>-40.398251000000002</v>
      </c>
      <c r="J2178">
        <f>0</f>
        <v>0</v>
      </c>
    </row>
    <row r="2179" spans="1:10" x14ac:dyDescent="0.25">
      <c r="A2179" t="s">
        <v>2188</v>
      </c>
      <c r="B2179" t="s">
        <v>11</v>
      </c>
      <c r="C2179">
        <v>120.23444531300001</v>
      </c>
      <c r="D2179">
        <f>0</f>
        <v>0</v>
      </c>
      <c r="E2179">
        <f>655476074/10^6</f>
        <v>655.47607400000004</v>
      </c>
      <c r="F2179">
        <f>0</f>
        <v>0</v>
      </c>
      <c r="G2179">
        <f>231811035/10^6</f>
        <v>231.811035</v>
      </c>
      <c r="H2179">
        <f>0</f>
        <v>0</v>
      </c>
      <c r="I2179">
        <f>-39953941/10^6</f>
        <v>-39.953941</v>
      </c>
      <c r="J2179">
        <f>0</f>
        <v>0</v>
      </c>
    </row>
    <row r="2180" spans="1:10" x14ac:dyDescent="0.25">
      <c r="A2180" t="s">
        <v>2189</v>
      </c>
      <c r="B2180" t="s">
        <v>11</v>
      </c>
      <c r="C2180">
        <v>120.755078125</v>
      </c>
      <c r="D2180">
        <f>0</f>
        <v>0</v>
      </c>
      <c r="E2180">
        <f>65265155/10^5</f>
        <v>652.65155000000004</v>
      </c>
      <c r="F2180">
        <f>0</f>
        <v>0</v>
      </c>
      <c r="G2180">
        <f>231893234/10^6</f>
        <v>231.89323400000001</v>
      </c>
      <c r="H2180">
        <f>0</f>
        <v>0</v>
      </c>
      <c r="I2180">
        <f>-39592487/10^6</f>
        <v>-39.592486999999998</v>
      </c>
      <c r="J2180">
        <f>0</f>
        <v>0</v>
      </c>
    </row>
    <row r="2181" spans="1:10" x14ac:dyDescent="0.25">
      <c r="A2181" t="s">
        <v>2190</v>
      </c>
      <c r="B2181" t="s">
        <v>11</v>
      </c>
      <c r="C2181">
        <v>121.125101563</v>
      </c>
      <c r="D2181">
        <f>0</f>
        <v>0</v>
      </c>
      <c r="E2181">
        <f>65049646/10^5</f>
        <v>650.49645999999996</v>
      </c>
      <c r="F2181">
        <f>0</f>
        <v>0</v>
      </c>
      <c r="G2181">
        <f>231950043/10^6</f>
        <v>231.95004299999999</v>
      </c>
      <c r="H2181">
        <f>0</f>
        <v>0</v>
      </c>
      <c r="I2181">
        <f>-39208286/10^6</f>
        <v>-39.208286000000001</v>
      </c>
      <c r="J2181">
        <f>0</f>
        <v>0</v>
      </c>
    </row>
    <row r="2182" spans="1:10" x14ac:dyDescent="0.25">
      <c r="A2182" t="s">
        <v>2191</v>
      </c>
      <c r="B2182" t="s">
        <v>11</v>
      </c>
      <c r="C2182">
        <v>121.342234375</v>
      </c>
      <c r="D2182">
        <f>0</f>
        <v>0</v>
      </c>
      <c r="E2182">
        <f>649420105/10^6</f>
        <v>649.42010500000004</v>
      </c>
      <c r="F2182">
        <f>0</f>
        <v>0</v>
      </c>
      <c r="G2182">
        <f>232012512/10^6</f>
        <v>232.01251199999999</v>
      </c>
      <c r="H2182">
        <f>0</f>
        <v>0</v>
      </c>
      <c r="I2182">
        <f>-39115807/10^6</f>
        <v>-39.115806999999997</v>
      </c>
      <c r="J2182">
        <f>0</f>
        <v>0</v>
      </c>
    </row>
    <row r="2183" spans="1:10" x14ac:dyDescent="0.25">
      <c r="A2183" t="s">
        <v>2192</v>
      </c>
      <c r="B2183" t="s">
        <v>11</v>
      </c>
      <c r="C2183">
        <v>121.522109375</v>
      </c>
      <c r="D2183">
        <f>0</f>
        <v>0</v>
      </c>
      <c r="E2183">
        <f>648656433/10^6</f>
        <v>648.65643299999999</v>
      </c>
      <c r="F2183">
        <f>0</f>
        <v>0</v>
      </c>
      <c r="G2183">
        <f>23207225/10^5</f>
        <v>232.07225</v>
      </c>
      <c r="H2183">
        <f>0</f>
        <v>0</v>
      </c>
      <c r="I2183">
        <f>-39281799/10^6</f>
        <v>-39.281798999999999</v>
      </c>
      <c r="J2183">
        <f>0</f>
        <v>0</v>
      </c>
    </row>
    <row r="2184" spans="1:10" x14ac:dyDescent="0.25">
      <c r="A2184" t="s">
        <v>2193</v>
      </c>
      <c r="B2184" t="s">
        <v>11</v>
      </c>
      <c r="C2184">
        <v>121.676523438</v>
      </c>
      <c r="D2184">
        <f>0</f>
        <v>0</v>
      </c>
      <c r="E2184">
        <f>647843384/10^6</f>
        <v>647.84338400000001</v>
      </c>
      <c r="F2184">
        <f>0</f>
        <v>0</v>
      </c>
      <c r="G2184">
        <f>232110718/10^6</f>
        <v>232.11071799999999</v>
      </c>
      <c r="H2184">
        <f>0</f>
        <v>0</v>
      </c>
      <c r="I2184">
        <f>-3921236/10^5</f>
        <v>-39.212359999999997</v>
      </c>
      <c r="J2184">
        <f>0</f>
        <v>0</v>
      </c>
    </row>
    <row r="2185" spans="1:10" x14ac:dyDescent="0.25">
      <c r="A2185" t="s">
        <v>2194</v>
      </c>
      <c r="B2185" t="s">
        <v>11</v>
      </c>
      <c r="C2185">
        <v>121.74446875</v>
      </c>
      <c r="D2185">
        <f>0</f>
        <v>0</v>
      </c>
      <c r="E2185">
        <f>647533875/10^6</f>
        <v>647.53387499999997</v>
      </c>
      <c r="F2185">
        <f>0</f>
        <v>0</v>
      </c>
      <c r="G2185">
        <f>232137207/10^6</f>
        <v>232.13720699999999</v>
      </c>
      <c r="H2185">
        <f>0</f>
        <v>0</v>
      </c>
      <c r="I2185">
        <f>-39050583/10^6</f>
        <v>-39.050583000000003</v>
      </c>
      <c r="J2185">
        <f>0</f>
        <v>0</v>
      </c>
    </row>
    <row r="2186" spans="1:10" x14ac:dyDescent="0.25">
      <c r="A2186" t="s">
        <v>2195</v>
      </c>
      <c r="B2186" t="s">
        <v>11</v>
      </c>
      <c r="C2186">
        <v>121.724125</v>
      </c>
      <c r="D2186">
        <f>0</f>
        <v>0</v>
      </c>
      <c r="E2186">
        <f>647708801/10^6</f>
        <v>647.70880099999999</v>
      </c>
      <c r="F2186">
        <f>0</f>
        <v>0</v>
      </c>
      <c r="G2186">
        <f>232158508/10^6</f>
        <v>232.15850800000001</v>
      </c>
      <c r="H2186">
        <f>0</f>
        <v>0</v>
      </c>
      <c r="I2186">
        <f>-39074646/10^6</f>
        <v>-39.074646000000001</v>
      </c>
      <c r="J2186">
        <f>0</f>
        <v>0</v>
      </c>
    </row>
    <row r="2187" spans="1:10" x14ac:dyDescent="0.25">
      <c r="A2187" t="s">
        <v>2196</v>
      </c>
      <c r="B2187" t="s">
        <v>11</v>
      </c>
      <c r="C2187">
        <v>121.662632813</v>
      </c>
      <c r="D2187">
        <f>0</f>
        <v>0</v>
      </c>
      <c r="E2187">
        <f>648064575/10^6</f>
        <v>648.06457499999999</v>
      </c>
      <c r="F2187">
        <f>0</f>
        <v>0</v>
      </c>
      <c r="G2187">
        <f>232173294/10^6</f>
        <v>232.173294</v>
      </c>
      <c r="H2187">
        <f>0</f>
        <v>0</v>
      </c>
      <c r="I2187">
        <f>-39040718/10^6</f>
        <v>-39.040717999999998</v>
      </c>
      <c r="J2187">
        <f>0</f>
        <v>0</v>
      </c>
    </row>
    <row r="2188" spans="1:10" x14ac:dyDescent="0.25">
      <c r="A2188" t="s">
        <v>2197</v>
      </c>
      <c r="B2188" t="s">
        <v>11</v>
      </c>
      <c r="C2188">
        <v>121.58357031300001</v>
      </c>
      <c r="D2188">
        <f>0</f>
        <v>0</v>
      </c>
      <c r="E2188">
        <f>648596619/10^6</f>
        <v>648.59661900000003</v>
      </c>
      <c r="F2188">
        <f>0</f>
        <v>0</v>
      </c>
      <c r="G2188">
        <f>232174957/10^6</f>
        <v>232.17495700000001</v>
      </c>
      <c r="H2188">
        <f>0</f>
        <v>0</v>
      </c>
      <c r="I2188">
        <f>-38973934/10^6</f>
        <v>-38.973934</v>
      </c>
      <c r="J2188">
        <f>0</f>
        <v>0</v>
      </c>
    </row>
    <row r="2189" spans="1:10" x14ac:dyDescent="0.25">
      <c r="A2189" t="s">
        <v>2198</v>
      </c>
      <c r="B2189" t="s">
        <v>11</v>
      </c>
      <c r="C2189">
        <v>121.485742188</v>
      </c>
      <c r="D2189">
        <f>0</f>
        <v>0</v>
      </c>
      <c r="E2189">
        <f>649119324/10^6</f>
        <v>649.11932400000001</v>
      </c>
      <c r="F2189">
        <f>0</f>
        <v>0</v>
      </c>
      <c r="G2189">
        <f>23217009/10^5</f>
        <v>232.17008999999999</v>
      </c>
      <c r="H2189">
        <f>0</f>
        <v>0</v>
      </c>
      <c r="I2189">
        <f>-38971352/10^6</f>
        <v>-38.971352000000003</v>
      </c>
      <c r="J2189">
        <f>0</f>
        <v>0</v>
      </c>
    </row>
    <row r="2190" spans="1:10" x14ac:dyDescent="0.25">
      <c r="A2190" t="s">
        <v>2199</v>
      </c>
      <c r="B2190" t="s">
        <v>11</v>
      </c>
      <c r="C2190">
        <v>121.364898438</v>
      </c>
      <c r="D2190">
        <f>0</f>
        <v>0</v>
      </c>
      <c r="E2190">
        <f>649770386/10^6</f>
        <v>649.77038600000003</v>
      </c>
      <c r="F2190">
        <f>0</f>
        <v>0</v>
      </c>
      <c r="G2190">
        <f>232160355/10^6</f>
        <v>232.16035500000001</v>
      </c>
      <c r="H2190">
        <f>0</f>
        <v>0</v>
      </c>
      <c r="I2190">
        <f>-39044609/10^6</f>
        <v>-39.044609000000001</v>
      </c>
      <c r="J2190">
        <f>0</f>
        <v>0</v>
      </c>
    </row>
    <row r="2191" spans="1:10" x14ac:dyDescent="0.25">
      <c r="A2191" t="s">
        <v>2200</v>
      </c>
      <c r="B2191" t="s">
        <v>11</v>
      </c>
      <c r="C2191">
        <v>121.230625</v>
      </c>
      <c r="D2191">
        <f>0</f>
        <v>0</v>
      </c>
      <c r="E2191">
        <f>650545471/10^6</f>
        <v>650.54547100000002</v>
      </c>
      <c r="F2191">
        <f>0</f>
        <v>0</v>
      </c>
      <c r="G2191">
        <f>232144791/10^6</f>
        <v>232.144791</v>
      </c>
      <c r="H2191">
        <f>0</f>
        <v>0</v>
      </c>
      <c r="I2191">
        <f>-39144024/10^6</f>
        <v>-39.144024000000002</v>
      </c>
      <c r="J2191">
        <f>0</f>
        <v>0</v>
      </c>
    </row>
    <row r="2192" spans="1:10" x14ac:dyDescent="0.25">
      <c r="A2192" t="s">
        <v>2201</v>
      </c>
      <c r="B2192" t="s">
        <v>11</v>
      </c>
      <c r="C2192">
        <v>121.0851875</v>
      </c>
      <c r="D2192">
        <f>0</f>
        <v>0</v>
      </c>
      <c r="E2192">
        <f>651220093/10^6</f>
        <v>651.22009300000002</v>
      </c>
      <c r="F2192">
        <f>0</f>
        <v>0</v>
      </c>
      <c r="G2192">
        <f>232113586/10^6</f>
        <v>232.113586</v>
      </c>
      <c r="H2192">
        <f>0</f>
        <v>0</v>
      </c>
      <c r="I2192">
        <f>-39076786/10^6</f>
        <v>-39.076785999999998</v>
      </c>
      <c r="J2192">
        <f>0</f>
        <v>0</v>
      </c>
    </row>
    <row r="2193" spans="1:10" x14ac:dyDescent="0.25">
      <c r="A2193" t="s">
        <v>2202</v>
      </c>
      <c r="B2193" t="s">
        <v>11</v>
      </c>
      <c r="C2193">
        <v>120.90921874999999</v>
      </c>
      <c r="D2193">
        <f>0</f>
        <v>0</v>
      </c>
      <c r="E2193">
        <f>652188782/10^6</f>
        <v>652.18878199999995</v>
      </c>
      <c r="F2193">
        <f>0</f>
        <v>0</v>
      </c>
      <c r="G2193">
        <f>232074539/10^6</f>
        <v>232.07453899999999</v>
      </c>
      <c r="H2193">
        <f>0</f>
        <v>0</v>
      </c>
      <c r="I2193">
        <f>-39195599/10^6</f>
        <v>-39.195599000000001</v>
      </c>
      <c r="J2193">
        <f>0</f>
        <v>0</v>
      </c>
    </row>
    <row r="2194" spans="1:10" x14ac:dyDescent="0.25">
      <c r="A2194" t="s">
        <v>2203</v>
      </c>
      <c r="B2194" t="s">
        <v>11</v>
      </c>
      <c r="C2194">
        <v>120.718210938</v>
      </c>
      <c r="D2194">
        <f>0</f>
        <v>0</v>
      </c>
      <c r="E2194">
        <f>653299194/10^6</f>
        <v>653.29919400000006</v>
      </c>
      <c r="F2194">
        <f>0</f>
        <v>0</v>
      </c>
      <c r="G2194">
        <f>232047668/10^6</f>
        <v>232.04766799999999</v>
      </c>
      <c r="H2194">
        <f>0</f>
        <v>0</v>
      </c>
      <c r="I2194">
        <f>-39417221/10^6</f>
        <v>-39.417220999999998</v>
      </c>
      <c r="J2194">
        <f>0</f>
        <v>0</v>
      </c>
    </row>
    <row r="2195" spans="1:10" x14ac:dyDescent="0.25">
      <c r="A2195" t="s">
        <v>2204</v>
      </c>
      <c r="B2195" t="s">
        <v>11</v>
      </c>
      <c r="C2195">
        <v>120.50889062500001</v>
      </c>
      <c r="D2195">
        <f>0</f>
        <v>0</v>
      </c>
      <c r="E2195">
        <f>654305359/10^6</f>
        <v>654.30535899999995</v>
      </c>
      <c r="F2195">
        <f>0</f>
        <v>0</v>
      </c>
      <c r="G2195">
        <f>232011948/10^6</f>
        <v>232.01194799999999</v>
      </c>
      <c r="H2195">
        <f>0</f>
        <v>0</v>
      </c>
      <c r="I2195">
        <f>-39317371/10^6</f>
        <v>-39.317371000000001</v>
      </c>
      <c r="J2195">
        <f>0</f>
        <v>0</v>
      </c>
    </row>
    <row r="2196" spans="1:10" x14ac:dyDescent="0.25">
      <c r="A2196" t="s">
        <v>2205</v>
      </c>
      <c r="B2196" t="s">
        <v>11</v>
      </c>
      <c r="C2196">
        <v>120.25705468800001</v>
      </c>
      <c r="D2196">
        <f>0</f>
        <v>0</v>
      </c>
      <c r="E2196">
        <f>655581726/10^6</f>
        <v>655.581726</v>
      </c>
      <c r="F2196">
        <f>0</f>
        <v>0</v>
      </c>
      <c r="G2196">
        <f>231965118/10^6</f>
        <v>231.96511799999999</v>
      </c>
      <c r="H2196">
        <f>0</f>
        <v>0</v>
      </c>
      <c r="I2196">
        <f>-39303551/10^6</f>
        <v>-39.303550999999999</v>
      </c>
      <c r="J2196">
        <f>0</f>
        <v>0</v>
      </c>
    </row>
    <row r="2197" spans="1:10" x14ac:dyDescent="0.25">
      <c r="A2197" t="s">
        <v>2206</v>
      </c>
      <c r="B2197" t="s">
        <v>11</v>
      </c>
      <c r="C2197">
        <v>119.956570313</v>
      </c>
      <c r="D2197">
        <f>0</f>
        <v>0</v>
      </c>
      <c r="E2197">
        <f>657224609/10^6</f>
        <v>657.22460899999999</v>
      </c>
      <c r="F2197">
        <f>0</f>
        <v>0</v>
      </c>
      <c r="G2197">
        <f>231924438/10^6</f>
        <v>231.92443800000001</v>
      </c>
      <c r="H2197">
        <f>0</f>
        <v>0</v>
      </c>
      <c r="I2197">
        <f>-39462543/10^6</f>
        <v>-39.462542999999997</v>
      </c>
      <c r="J2197">
        <f>0</f>
        <v>0</v>
      </c>
    </row>
    <row r="2198" spans="1:10" x14ac:dyDescent="0.25">
      <c r="A2198" t="s">
        <v>2207</v>
      </c>
      <c r="B2198" t="s">
        <v>11</v>
      </c>
      <c r="C2198">
        <v>119.64428125000001</v>
      </c>
      <c r="D2198">
        <f>0</f>
        <v>0</v>
      </c>
      <c r="E2198">
        <f>659012634/10^6</f>
        <v>659.01263400000005</v>
      </c>
      <c r="F2198">
        <f>0</f>
        <v>0</v>
      </c>
      <c r="G2198">
        <f>231878998/10^6</f>
        <v>231.878998</v>
      </c>
      <c r="H2198">
        <f>0</f>
        <v>0</v>
      </c>
      <c r="I2198">
        <f>-39741169/10^6</f>
        <v>-39.741168999999999</v>
      </c>
      <c r="J2198">
        <f>0</f>
        <v>0</v>
      </c>
    </row>
    <row r="2199" spans="1:10" x14ac:dyDescent="0.25">
      <c r="A2199" t="s">
        <v>2208</v>
      </c>
      <c r="B2199" t="s">
        <v>11</v>
      </c>
      <c r="C2199">
        <v>119.350453125</v>
      </c>
      <c r="D2199">
        <f>0</f>
        <v>0</v>
      </c>
      <c r="E2199">
        <f>660681641/10^6</f>
        <v>660.68164100000001</v>
      </c>
      <c r="F2199">
        <f>0</f>
        <v>0</v>
      </c>
      <c r="G2199">
        <f>231822556/10^6</f>
        <v>231.82255599999999</v>
      </c>
      <c r="H2199">
        <f>0</f>
        <v>0</v>
      </c>
      <c r="I2199">
        <f>-40098583/10^6</f>
        <v>-40.098582999999998</v>
      </c>
      <c r="J2199">
        <f>0</f>
        <v>0</v>
      </c>
    </row>
    <row r="2200" spans="1:10" x14ac:dyDescent="0.25">
      <c r="A2200" t="s">
        <v>2209</v>
      </c>
      <c r="B2200" t="s">
        <v>11</v>
      </c>
      <c r="C2200">
        <v>119.066625</v>
      </c>
      <c r="D2200">
        <f>0</f>
        <v>0</v>
      </c>
      <c r="E2200">
        <f>662050903/10^6</f>
        <v>662.05090299999995</v>
      </c>
      <c r="F2200">
        <f>0</f>
        <v>0</v>
      </c>
      <c r="G2200">
        <f>231769394/10^6</f>
        <v>231.76939400000001</v>
      </c>
      <c r="H2200">
        <f>0</f>
        <v>0</v>
      </c>
      <c r="I2200">
        <f>-40118095/10^6</f>
        <v>-40.118094999999997</v>
      </c>
      <c r="J2200">
        <f>0</f>
        <v>0</v>
      </c>
    </row>
    <row r="2201" spans="1:10" x14ac:dyDescent="0.25">
      <c r="A2201" t="s">
        <v>2210</v>
      </c>
      <c r="B2201" t="s">
        <v>11</v>
      </c>
      <c r="C2201">
        <v>118.79090625000001</v>
      </c>
      <c r="D2201">
        <f>0</f>
        <v>0</v>
      </c>
      <c r="E2201">
        <f>663544067/10^6</f>
        <v>663.54406700000004</v>
      </c>
      <c r="F2201">
        <f>0</f>
        <v>0</v>
      </c>
      <c r="G2201">
        <f>231721985/10^6</f>
        <v>231.72198499999999</v>
      </c>
      <c r="H2201">
        <f>0</f>
        <v>0</v>
      </c>
      <c r="I2201">
        <f>-40259632/10^6</f>
        <v>-40.259632000000003</v>
      </c>
      <c r="J2201">
        <f>0</f>
        <v>0</v>
      </c>
    </row>
    <row r="2202" spans="1:10" x14ac:dyDescent="0.25">
      <c r="A2202" t="s">
        <v>2211</v>
      </c>
      <c r="B2202" t="s">
        <v>11</v>
      </c>
      <c r="C2202">
        <v>0</v>
      </c>
      <c r="D2202">
        <f>2</f>
        <v>2</v>
      </c>
      <c r="F2202">
        <f>2</f>
        <v>2</v>
      </c>
      <c r="H2202">
        <f>2</f>
        <v>2</v>
      </c>
      <c r="J2202">
        <f>2</f>
        <v>2</v>
      </c>
    </row>
    <row r="2203" spans="1:10" x14ac:dyDescent="0.25">
      <c r="A2203" t="s">
        <v>2212</v>
      </c>
      <c r="B2203" t="s">
        <v>11</v>
      </c>
      <c r="C2203">
        <v>118.177734375</v>
      </c>
      <c r="D2203">
        <f>0</f>
        <v>0</v>
      </c>
      <c r="E2203">
        <f>66702655/10^5</f>
        <v>667.02655000000004</v>
      </c>
      <c r="F2203">
        <f>0</f>
        <v>0</v>
      </c>
      <c r="G2203">
        <f>231612335/10^6</f>
        <v>231.612335</v>
      </c>
      <c r="H2203">
        <f>0</f>
        <v>0</v>
      </c>
      <c r="I2203">
        <f>-40688633/10^6</f>
        <v>-40.688633000000003</v>
      </c>
      <c r="J2203">
        <f>0</f>
        <v>0</v>
      </c>
    </row>
    <row r="2204" spans="1:10" x14ac:dyDescent="0.25">
      <c r="A2204" t="s">
        <v>2213</v>
      </c>
      <c r="B2204" t="s">
        <v>11</v>
      </c>
      <c r="C2204">
        <v>117.83667187499999</v>
      </c>
      <c r="D2204">
        <f>0</f>
        <v>0</v>
      </c>
      <c r="E2204">
        <f>668950317/10^6</f>
        <v>668.95031700000004</v>
      </c>
      <c r="F2204">
        <f>0</f>
        <v>0</v>
      </c>
      <c r="G2204">
        <f>231563171/10^6</f>
        <v>231.56317100000001</v>
      </c>
      <c r="H2204">
        <f>0</f>
        <v>0</v>
      </c>
      <c r="I2204">
        <f>-40883282/10^6</f>
        <v>-40.883282000000001</v>
      </c>
      <c r="J2204">
        <f>0</f>
        <v>0</v>
      </c>
    </row>
    <row r="2205" spans="1:10" x14ac:dyDescent="0.25">
      <c r="A2205" t="s">
        <v>2214</v>
      </c>
      <c r="B2205" t="s">
        <v>11</v>
      </c>
      <c r="C2205">
        <v>117.474109375</v>
      </c>
      <c r="D2205">
        <f>0</f>
        <v>0</v>
      </c>
      <c r="E2205">
        <f>671075928/10^6</f>
        <v>671.07592799999998</v>
      </c>
      <c r="F2205">
        <f>0</f>
        <v>0</v>
      </c>
      <c r="G2205">
        <f>231515015/10^6</f>
        <v>231.51501500000001</v>
      </c>
      <c r="H2205">
        <f>0</f>
        <v>0</v>
      </c>
      <c r="I2205">
        <f>-41091648/10^6</f>
        <v>-41.091647999999999</v>
      </c>
      <c r="J2205">
        <f>0</f>
        <v>0</v>
      </c>
    </row>
    <row r="2206" spans="1:10" x14ac:dyDescent="0.25">
      <c r="A2206" t="s">
        <v>2215</v>
      </c>
      <c r="B2206" t="s">
        <v>11</v>
      </c>
      <c r="C2206">
        <v>117.089</v>
      </c>
      <c r="D2206">
        <f>0</f>
        <v>0</v>
      </c>
      <c r="E2206">
        <f>673268738/10^6</f>
        <v>673.26873799999998</v>
      </c>
      <c r="F2206">
        <f>0</f>
        <v>0</v>
      </c>
      <c r="G2206">
        <f>231467361/10^6</f>
        <v>231.46736100000001</v>
      </c>
      <c r="H2206">
        <f>0</f>
        <v>0</v>
      </c>
      <c r="I2206">
        <f>-41272991/10^6</f>
        <v>-41.272990999999998</v>
      </c>
      <c r="J2206">
        <f>0</f>
        <v>0</v>
      </c>
    </row>
    <row r="2207" spans="1:10" x14ac:dyDescent="0.25">
      <c r="A2207" t="s">
        <v>2216</v>
      </c>
      <c r="B2207" t="s">
        <v>11</v>
      </c>
      <c r="C2207">
        <v>116.682</v>
      </c>
      <c r="D2207">
        <f>0</f>
        <v>0</v>
      </c>
      <c r="E2207">
        <f>675633789/10^6</f>
        <v>675.63378899999998</v>
      </c>
      <c r="F2207">
        <f>0</f>
        <v>0</v>
      </c>
      <c r="G2207">
        <f>231414856/10^6</f>
        <v>231.41485599999999</v>
      </c>
      <c r="H2207">
        <f>0</f>
        <v>0</v>
      </c>
      <c r="I2207">
        <f>-4164146/10^5</f>
        <v>-41.641460000000002</v>
      </c>
      <c r="J2207">
        <f>0</f>
        <v>0</v>
      </c>
    </row>
    <row r="2208" spans="1:10" x14ac:dyDescent="0.25">
      <c r="A2208" t="s">
        <v>2217</v>
      </c>
      <c r="B2208" t="s">
        <v>11</v>
      </c>
      <c r="C2208">
        <v>0</v>
      </c>
      <c r="D2208">
        <f>2</f>
        <v>2</v>
      </c>
      <c r="F2208">
        <f>2</f>
        <v>2</v>
      </c>
      <c r="H2208">
        <f>2</f>
        <v>2</v>
      </c>
      <c r="J2208">
        <f>2</f>
        <v>2</v>
      </c>
    </row>
    <row r="2209" spans="1:10" x14ac:dyDescent="0.25">
      <c r="A2209" t="s">
        <v>2218</v>
      </c>
      <c r="B2209" t="s">
        <v>11</v>
      </c>
      <c r="C2209">
        <v>115.87239062499999</v>
      </c>
      <c r="D2209">
        <f>0</f>
        <v>0</v>
      </c>
      <c r="E2209">
        <f>68030481/10^5</f>
        <v>680.30480999999997</v>
      </c>
      <c r="F2209">
        <f>0</f>
        <v>0</v>
      </c>
      <c r="G2209">
        <f>231252411/10^6</f>
        <v>231.252411</v>
      </c>
      <c r="H2209">
        <f>0</f>
        <v>0</v>
      </c>
      <c r="I2209">
        <f>-42370384/10^6</f>
        <v>-42.370384000000001</v>
      </c>
      <c r="J2209">
        <f>0</f>
        <v>0</v>
      </c>
    </row>
    <row r="2210" spans="1:10" x14ac:dyDescent="0.25">
      <c r="A2210" t="s">
        <v>2219</v>
      </c>
      <c r="B2210" t="s">
        <v>11</v>
      </c>
      <c r="C2210">
        <v>115.56917187499999</v>
      </c>
      <c r="D2210">
        <f>0</f>
        <v>0</v>
      </c>
      <c r="E2210">
        <f>682010925/10^6</f>
        <v>682.01092500000004</v>
      </c>
      <c r="F2210">
        <f>0</f>
        <v>0</v>
      </c>
      <c r="G2210">
        <f>231175018/10^6</f>
        <v>231.17501799999999</v>
      </c>
      <c r="H2210">
        <f>0</f>
        <v>0</v>
      </c>
      <c r="I2210">
        <f>-42596672/10^6</f>
        <v>-42.596671999999998</v>
      </c>
      <c r="J2210">
        <f>0</f>
        <v>0</v>
      </c>
    </row>
    <row r="2211" spans="1:10" x14ac:dyDescent="0.25">
      <c r="A2211" t="s">
        <v>2220</v>
      </c>
      <c r="B2211" t="s">
        <v>11</v>
      </c>
      <c r="C2211">
        <v>115.34541406300001</v>
      </c>
      <c r="D2211">
        <f>0</f>
        <v>0</v>
      </c>
      <c r="E2211">
        <f>683175354/10^6</f>
        <v>683.17535399999997</v>
      </c>
      <c r="F2211">
        <f>0</f>
        <v>0</v>
      </c>
      <c r="G2211">
        <f>231103195/10^6</f>
        <v>231.103195</v>
      </c>
      <c r="H2211">
        <f>0</f>
        <v>0</v>
      </c>
      <c r="I2211">
        <f>-42680717/10^6</f>
        <v>-42.680717000000001</v>
      </c>
      <c r="J2211">
        <f>0</f>
        <v>0</v>
      </c>
    </row>
    <row r="2212" spans="1:10" x14ac:dyDescent="0.25">
      <c r="A2212" t="s">
        <v>2221</v>
      </c>
      <c r="B2212" t="s">
        <v>11</v>
      </c>
      <c r="C2212">
        <v>0</v>
      </c>
      <c r="D2212">
        <f>2</f>
        <v>2</v>
      </c>
      <c r="F2212">
        <f>2</f>
        <v>2</v>
      </c>
      <c r="H2212">
        <f>2</f>
        <v>2</v>
      </c>
      <c r="J2212">
        <f>2</f>
        <v>2</v>
      </c>
    </row>
    <row r="2213" spans="1:10" x14ac:dyDescent="0.25">
      <c r="A2213" t="s">
        <v>2222</v>
      </c>
      <c r="B2213" t="s">
        <v>11</v>
      </c>
      <c r="C2213">
        <v>115.00346875</v>
      </c>
      <c r="D2213">
        <f>0</f>
        <v>0</v>
      </c>
      <c r="E2213">
        <f>685068848/10^6</f>
        <v>685.068848</v>
      </c>
      <c r="F2213">
        <f>0</f>
        <v>0</v>
      </c>
      <c r="G2213">
        <f>230981171/10^6</f>
        <v>230.98117099999999</v>
      </c>
      <c r="H2213">
        <f>0</f>
        <v>0</v>
      </c>
      <c r="I2213">
        <f>-42978436/10^6</f>
        <v>-42.978436000000002</v>
      </c>
      <c r="J2213">
        <f>0</f>
        <v>0</v>
      </c>
    </row>
    <row r="2214" spans="1:10" x14ac:dyDescent="0.25">
      <c r="A2214" t="s">
        <v>2223</v>
      </c>
      <c r="B2214" t="s">
        <v>11</v>
      </c>
      <c r="C2214">
        <v>114.84776562499999</v>
      </c>
      <c r="D2214">
        <f>0</f>
        <v>0</v>
      </c>
      <c r="E2214">
        <f>686006287/10^6</f>
        <v>686.00628700000004</v>
      </c>
      <c r="F2214">
        <f>0</f>
        <v>0</v>
      </c>
      <c r="G2214">
        <f>230961411/10^6</f>
        <v>230.961411</v>
      </c>
      <c r="H2214">
        <f>0</f>
        <v>0</v>
      </c>
      <c r="I2214">
        <f>-43098061/10^6</f>
        <v>-43.098061000000001</v>
      </c>
      <c r="J2214">
        <f>0</f>
        <v>0</v>
      </c>
    </row>
    <row r="2215" spans="1:10" x14ac:dyDescent="0.25">
      <c r="A2215" t="s">
        <v>2224</v>
      </c>
      <c r="B2215" t="s">
        <v>11</v>
      </c>
      <c r="C2215">
        <v>114.66788281300001</v>
      </c>
      <c r="D2215">
        <f>0</f>
        <v>0</v>
      </c>
      <c r="E2215">
        <f>68691449/10^5</f>
        <v>686.91449</v>
      </c>
      <c r="F2215">
        <f>0</f>
        <v>0</v>
      </c>
      <c r="G2215">
        <f>230878998/10^6</f>
        <v>230.878998</v>
      </c>
      <c r="H2215">
        <f>0</f>
        <v>0</v>
      </c>
      <c r="I2215">
        <f>-43252819/10^6</f>
        <v>-43.252819000000002</v>
      </c>
      <c r="J2215">
        <f>0</f>
        <v>0</v>
      </c>
    </row>
    <row r="2216" spans="1:10" x14ac:dyDescent="0.25">
      <c r="A2216" t="s">
        <v>2225</v>
      </c>
      <c r="B2216" t="s">
        <v>11</v>
      </c>
      <c r="C2216">
        <v>114.47340625</v>
      </c>
      <c r="D2216">
        <f>0</f>
        <v>0</v>
      </c>
      <c r="E2216">
        <f>687846741/10^6</f>
        <v>687.84674099999995</v>
      </c>
      <c r="F2216">
        <f>0</f>
        <v>0</v>
      </c>
      <c r="G2216">
        <f>230768478/10^6</f>
        <v>230.76847799999999</v>
      </c>
      <c r="H2216">
        <f>0</f>
        <v>0</v>
      </c>
      <c r="I2216">
        <f>-43345375/10^6</f>
        <v>-43.345374999999997</v>
      </c>
      <c r="J2216">
        <f>0</f>
        <v>0</v>
      </c>
    </row>
    <row r="2217" spans="1:10" x14ac:dyDescent="0.25">
      <c r="A2217" t="s">
        <v>2226</v>
      </c>
      <c r="B2217" t="s">
        <v>11</v>
      </c>
      <c r="C2217">
        <v>114.3058125</v>
      </c>
      <c r="D2217">
        <f>0</f>
        <v>0</v>
      </c>
      <c r="E2217">
        <f>688756836/10^6</f>
        <v>688.75683600000002</v>
      </c>
      <c r="F2217">
        <f>0</f>
        <v>0</v>
      </c>
      <c r="G2217">
        <f>230725189/10^6</f>
        <v>230.725189</v>
      </c>
      <c r="H2217">
        <f>0</f>
        <v>0</v>
      </c>
      <c r="I2217">
        <f>-43467804/10^6</f>
        <v>-43.467804000000001</v>
      </c>
      <c r="J2217">
        <f>0</f>
        <v>0</v>
      </c>
    </row>
    <row r="2218" spans="1:10" x14ac:dyDescent="0.25">
      <c r="A2218" t="s">
        <v>2227</v>
      </c>
      <c r="B2218" t="s">
        <v>11</v>
      </c>
      <c r="C2218">
        <v>0</v>
      </c>
      <c r="D2218">
        <f>2</f>
        <v>2</v>
      </c>
      <c r="F2218">
        <f>2</f>
        <v>2</v>
      </c>
      <c r="H2218">
        <f>2</f>
        <v>2</v>
      </c>
      <c r="J2218">
        <f>2</f>
        <v>2</v>
      </c>
    </row>
    <row r="2219" spans="1:10" x14ac:dyDescent="0.25">
      <c r="A2219" t="s">
        <v>2228</v>
      </c>
      <c r="B2219" t="s">
        <v>11</v>
      </c>
      <c r="C2219">
        <v>114.400890625</v>
      </c>
      <c r="D2219">
        <f>0</f>
        <v>0</v>
      </c>
      <c r="E2219">
        <f>688615051/10^6</f>
        <v>688.61505099999999</v>
      </c>
      <c r="F2219">
        <f>0</f>
        <v>0</v>
      </c>
      <c r="G2219">
        <f>230811859/10^6</f>
        <v>230.811859</v>
      </c>
      <c r="H2219">
        <f>0</f>
        <v>0</v>
      </c>
      <c r="I2219">
        <f>-43923534/10^6</f>
        <v>-43.923533999999997</v>
      </c>
      <c r="J2219">
        <f>0</f>
        <v>0</v>
      </c>
    </row>
    <row r="2220" spans="1:10" x14ac:dyDescent="0.25">
      <c r="A2220" t="s">
        <v>2229</v>
      </c>
      <c r="B2220" t="s">
        <v>11</v>
      </c>
      <c r="C2220">
        <v>114.542789063</v>
      </c>
      <c r="D2220">
        <f>0</f>
        <v>0</v>
      </c>
      <c r="E2220">
        <f>687670471/10^6</f>
        <v>687.67047100000002</v>
      </c>
      <c r="F2220">
        <f>0</f>
        <v>0</v>
      </c>
      <c r="G2220">
        <f>230882736/10^6</f>
        <v>230.88273599999999</v>
      </c>
      <c r="H2220">
        <f>0</f>
        <v>0</v>
      </c>
      <c r="I2220">
        <f>-43429291/10^6</f>
        <v>-43.429290999999999</v>
      </c>
      <c r="J2220">
        <f>0</f>
        <v>0</v>
      </c>
    </row>
    <row r="2221" spans="1:10" x14ac:dyDescent="0.25">
      <c r="A2221" t="s">
        <v>2230</v>
      </c>
      <c r="B2221" t="s">
        <v>11</v>
      </c>
      <c r="C2221">
        <v>114.611515625</v>
      </c>
      <c r="D2221">
        <f>0</f>
        <v>0</v>
      </c>
      <c r="E2221">
        <f>687429199/10^6</f>
        <v>687.42919900000004</v>
      </c>
      <c r="F2221">
        <f>0</f>
        <v>0</v>
      </c>
      <c r="G2221">
        <f>230935471/10^6</f>
        <v>230.93547100000001</v>
      </c>
      <c r="H2221">
        <f>0</f>
        <v>0</v>
      </c>
      <c r="I2221">
        <f>-43423397/10^6</f>
        <v>-43.423397000000001</v>
      </c>
      <c r="J2221">
        <f>0</f>
        <v>0</v>
      </c>
    </row>
    <row r="2222" spans="1:10" x14ac:dyDescent="0.25">
      <c r="A2222" t="s">
        <v>2231</v>
      </c>
      <c r="B2222" t="s">
        <v>11</v>
      </c>
      <c r="C2222">
        <v>114.69342968800001</v>
      </c>
      <c r="D2222">
        <f>0</f>
        <v>0</v>
      </c>
      <c r="E2222">
        <f>687105713/10^6</f>
        <v>687.10571300000004</v>
      </c>
      <c r="F2222">
        <f>0</f>
        <v>0</v>
      </c>
      <c r="G2222">
        <f>230969833/10^6</f>
        <v>230.96983299999999</v>
      </c>
      <c r="H2222">
        <f>0</f>
        <v>0</v>
      </c>
      <c r="I2222">
        <f>-43503414/10^6</f>
        <v>-43.503413999999999</v>
      </c>
      <c r="J2222">
        <f>0</f>
        <v>0</v>
      </c>
    </row>
    <row r="2223" spans="1:10" x14ac:dyDescent="0.25">
      <c r="A2223" t="s">
        <v>2232</v>
      </c>
      <c r="B2223" t="s">
        <v>11</v>
      </c>
      <c r="C2223">
        <v>114.81796875000001</v>
      </c>
      <c r="D2223">
        <f>0</f>
        <v>0</v>
      </c>
      <c r="E2223">
        <f>6863797/10^4</f>
        <v>686.37969999999996</v>
      </c>
      <c r="F2223">
        <f>0</f>
        <v>0</v>
      </c>
      <c r="G2223">
        <f>230990936/10^6</f>
        <v>230.990936</v>
      </c>
      <c r="H2223">
        <f>0</f>
        <v>0</v>
      </c>
      <c r="I2223">
        <f>-43394344/10^6</f>
        <v>-43.394343999999997</v>
      </c>
      <c r="J2223">
        <f>0</f>
        <v>0</v>
      </c>
    </row>
    <row r="2224" spans="1:10" x14ac:dyDescent="0.25">
      <c r="A2224" t="s">
        <v>2233</v>
      </c>
      <c r="B2224" t="s">
        <v>11</v>
      </c>
      <c r="C2224">
        <v>114.97981249999999</v>
      </c>
      <c r="D2224">
        <f>0</f>
        <v>0</v>
      </c>
      <c r="E2224">
        <f>685691101/10^6</f>
        <v>685.691101</v>
      </c>
      <c r="F2224">
        <f>0</f>
        <v>0</v>
      </c>
      <c r="G2224">
        <f>231063812/10^6</f>
        <v>231.06381200000001</v>
      </c>
      <c r="H2224">
        <f>0</f>
        <v>0</v>
      </c>
      <c r="I2224">
        <f>-43470692/10^6</f>
        <v>-43.470692</v>
      </c>
      <c r="J2224">
        <f>0</f>
        <v>0</v>
      </c>
    </row>
    <row r="2225" spans="1:10" x14ac:dyDescent="0.25">
      <c r="A2225" t="s">
        <v>2234</v>
      </c>
      <c r="B2225" t="s">
        <v>11</v>
      </c>
      <c r="C2225">
        <v>0</v>
      </c>
      <c r="D2225">
        <f>2</f>
        <v>2</v>
      </c>
      <c r="F2225">
        <f>2</f>
        <v>2</v>
      </c>
      <c r="H2225">
        <f>2</f>
        <v>2</v>
      </c>
      <c r="J2225">
        <f>2</f>
        <v>2</v>
      </c>
    </row>
    <row r="2226" spans="1:10" x14ac:dyDescent="0.25">
      <c r="A2226" t="s">
        <v>2235</v>
      </c>
      <c r="B2226" t="s">
        <v>11</v>
      </c>
      <c r="C2226">
        <v>115.504203125</v>
      </c>
      <c r="D2226">
        <f>0</f>
        <v>0</v>
      </c>
      <c r="E2226">
        <f>682873901/10^6</f>
        <v>682.87390100000005</v>
      </c>
      <c r="F2226">
        <f>0</f>
        <v>0</v>
      </c>
      <c r="G2226">
        <f>231258148/10^6</f>
        <v>231.25814800000001</v>
      </c>
      <c r="H2226">
        <f>0</f>
        <v>0</v>
      </c>
      <c r="I2226">
        <f>-42982494/10^6</f>
        <v>-42.982494000000003</v>
      </c>
      <c r="J2226">
        <f>0</f>
        <v>0</v>
      </c>
    </row>
    <row r="2227" spans="1:10" x14ac:dyDescent="0.25">
      <c r="A2227" t="s">
        <v>2236</v>
      </c>
      <c r="B2227" t="s">
        <v>11</v>
      </c>
      <c r="C2227">
        <v>0</v>
      </c>
      <c r="D2227">
        <f>2</f>
        <v>2</v>
      </c>
      <c r="F2227">
        <f>2</f>
        <v>2</v>
      </c>
      <c r="H2227">
        <f>2</f>
        <v>2</v>
      </c>
      <c r="J2227">
        <f>2</f>
        <v>2</v>
      </c>
    </row>
    <row r="2228" spans="1:10" x14ac:dyDescent="0.25">
      <c r="A2228" t="s">
        <v>2237</v>
      </c>
      <c r="B2228" t="s">
        <v>11</v>
      </c>
      <c r="C2228">
        <v>116.26064062499999</v>
      </c>
      <c r="D2228">
        <f>0</f>
        <v>0</v>
      </c>
      <c r="E2228">
        <f>678464417/10^6</f>
        <v>678.46441700000003</v>
      </c>
      <c r="F2228">
        <f>0</f>
        <v>0</v>
      </c>
      <c r="G2228">
        <f>231389221/10^6</f>
        <v>231.38922099999999</v>
      </c>
      <c r="H2228">
        <f>0</f>
        <v>0</v>
      </c>
      <c r="I2228">
        <f>-42591263/10^6</f>
        <v>-42.591262999999998</v>
      </c>
      <c r="J2228">
        <f>0</f>
        <v>0</v>
      </c>
    </row>
    <row r="2229" spans="1:10" x14ac:dyDescent="0.25">
      <c r="A2229" t="s">
        <v>2238</v>
      </c>
      <c r="B2229" t="s">
        <v>11</v>
      </c>
      <c r="C2229">
        <v>116.75438281300001</v>
      </c>
      <c r="D2229">
        <f>0</f>
        <v>0</v>
      </c>
      <c r="E2229">
        <f>675619507/10^6</f>
        <v>675.619507</v>
      </c>
      <c r="F2229">
        <f>0</f>
        <v>0</v>
      </c>
      <c r="G2229">
        <f>231470551/10^6</f>
        <v>231.470551</v>
      </c>
      <c r="H2229">
        <f>0</f>
        <v>0</v>
      </c>
      <c r="I2229">
        <f>-4228072/10^5</f>
        <v>-42.280720000000002</v>
      </c>
      <c r="J2229">
        <f>0</f>
        <v>0</v>
      </c>
    </row>
    <row r="2230" spans="1:10" x14ac:dyDescent="0.25">
      <c r="A2230" t="s">
        <v>2239</v>
      </c>
      <c r="B2230" t="s">
        <v>11</v>
      </c>
      <c r="C2230">
        <v>117.322265625</v>
      </c>
      <c r="D2230">
        <f>0</f>
        <v>0</v>
      </c>
      <c r="E2230">
        <f>672317566/10^6</f>
        <v>672.31756600000006</v>
      </c>
      <c r="F2230">
        <f>0</f>
        <v>0</v>
      </c>
      <c r="G2230">
        <f>231552734/10^6</f>
        <v>231.55273399999999</v>
      </c>
      <c r="H2230">
        <f>0</f>
        <v>0</v>
      </c>
      <c r="I2230">
        <f>-41822857/10^6</f>
        <v>-41.822856999999999</v>
      </c>
      <c r="J2230">
        <f>0</f>
        <v>0</v>
      </c>
    </row>
    <row r="2231" spans="1:10" x14ac:dyDescent="0.25">
      <c r="A2231" t="s">
        <v>2240</v>
      </c>
      <c r="B2231" t="s">
        <v>11</v>
      </c>
      <c r="C2231">
        <v>0</v>
      </c>
      <c r="D2231">
        <f>2</f>
        <v>2</v>
      </c>
      <c r="F2231">
        <f>2</f>
        <v>2</v>
      </c>
      <c r="H2231">
        <f>2</f>
        <v>2</v>
      </c>
      <c r="J2231">
        <f>2</f>
        <v>2</v>
      </c>
    </row>
    <row r="2232" spans="1:10" x14ac:dyDescent="0.25">
      <c r="A2232" t="s">
        <v>2241</v>
      </c>
      <c r="B2232" t="s">
        <v>11</v>
      </c>
      <c r="C2232">
        <v>118.58900781300001</v>
      </c>
      <c r="D2232">
        <f>0</f>
        <v>0</v>
      </c>
      <c r="E2232">
        <f>665181274/10^6</f>
        <v>665.18127400000003</v>
      </c>
      <c r="F2232">
        <f>0</f>
        <v>0</v>
      </c>
      <c r="G2232">
        <f>231716461/10^6</f>
        <v>231.71646100000001</v>
      </c>
      <c r="H2232">
        <f>0</f>
        <v>0</v>
      </c>
      <c r="I2232">
        <f>-4121627/10^5</f>
        <v>-41.216270000000002</v>
      </c>
      <c r="J2232">
        <f>0</f>
        <v>0</v>
      </c>
    </row>
    <row r="2233" spans="1:10" x14ac:dyDescent="0.25">
      <c r="A2233" t="s">
        <v>2242</v>
      </c>
      <c r="B2233" t="s">
        <v>11</v>
      </c>
      <c r="C2233">
        <v>119.281828125</v>
      </c>
      <c r="D2233">
        <f>0</f>
        <v>0</v>
      </c>
      <c r="E2233">
        <f>661141418/10^6</f>
        <v>661.14141800000004</v>
      </c>
      <c r="F2233">
        <f>0</f>
        <v>0</v>
      </c>
      <c r="G2233">
        <f>231791977/10^6</f>
        <v>231.791977</v>
      </c>
      <c r="H2233">
        <f>0</f>
        <v>0</v>
      </c>
      <c r="I2233">
        <f>-40715088/10^6</f>
        <v>-40.715088000000002</v>
      </c>
      <c r="J2233">
        <f>0</f>
        <v>0</v>
      </c>
    </row>
    <row r="2234" spans="1:10" x14ac:dyDescent="0.25">
      <c r="A2234" t="s">
        <v>2243</v>
      </c>
      <c r="B2234" t="s">
        <v>11</v>
      </c>
      <c r="C2234">
        <v>119.969671875</v>
      </c>
      <c r="D2234">
        <f>0</f>
        <v>0</v>
      </c>
      <c r="E2234">
        <f>657117737/10^6</f>
        <v>657.11773700000003</v>
      </c>
      <c r="F2234">
        <f>0</f>
        <v>0</v>
      </c>
      <c r="G2234">
        <f>231854523/10^6</f>
        <v>231.854523</v>
      </c>
      <c r="H2234">
        <f>0</f>
        <v>0</v>
      </c>
      <c r="I2234">
        <f>-40150394/10^6</f>
        <v>-40.150393999999999</v>
      </c>
      <c r="J2234">
        <f>0</f>
        <v>0</v>
      </c>
    </row>
    <row r="2235" spans="1:10" x14ac:dyDescent="0.25">
      <c r="A2235" t="s">
        <v>2244</v>
      </c>
      <c r="B2235" t="s">
        <v>11</v>
      </c>
      <c r="C2235">
        <v>120.58608593800001</v>
      </c>
      <c r="D2235">
        <f>0</f>
        <v>0</v>
      </c>
      <c r="E2235">
        <f>653646606/10^6</f>
        <v>653.64660600000002</v>
      </c>
      <c r="F2235">
        <f>0</f>
        <v>0</v>
      </c>
      <c r="G2235">
        <f>231894043/10^6</f>
        <v>231.89404300000001</v>
      </c>
      <c r="H2235">
        <f>0</f>
        <v>0</v>
      </c>
      <c r="I2235">
        <f>-39852577/10^6</f>
        <v>-39.852576999999997</v>
      </c>
      <c r="J2235">
        <f>0</f>
        <v>0</v>
      </c>
    </row>
    <row r="2236" spans="1:10" x14ac:dyDescent="0.25">
      <c r="A2236" t="s">
        <v>2245</v>
      </c>
      <c r="B2236" t="s">
        <v>11</v>
      </c>
      <c r="C2236">
        <v>121.04485156300001</v>
      </c>
      <c r="D2236">
        <f>0</f>
        <v>0</v>
      </c>
      <c r="E2236">
        <f>650921326/10^6</f>
        <v>650.92132600000002</v>
      </c>
      <c r="F2236">
        <f>0</f>
        <v>0</v>
      </c>
      <c r="G2236">
        <f>231908325/10^6</f>
        <v>231.90832499999999</v>
      </c>
      <c r="H2236">
        <f>0</f>
        <v>0</v>
      </c>
      <c r="I2236">
        <f>-39472168/10^6</f>
        <v>-39.472168000000003</v>
      </c>
      <c r="J2236">
        <f>0</f>
        <v>0</v>
      </c>
    </row>
    <row r="2237" spans="1:10" x14ac:dyDescent="0.25">
      <c r="A2237" t="s">
        <v>2246</v>
      </c>
      <c r="B2237" t="s">
        <v>11</v>
      </c>
      <c r="C2237">
        <v>121.301359375</v>
      </c>
      <c r="D2237">
        <f>0</f>
        <v>0</v>
      </c>
      <c r="E2237">
        <f>64951416/10^5</f>
        <v>649.51415999999995</v>
      </c>
      <c r="F2237">
        <f>0</f>
        <v>0</v>
      </c>
      <c r="G2237">
        <f>231937363/10^6</f>
        <v>231.937363</v>
      </c>
      <c r="H2237">
        <f>0</f>
        <v>0</v>
      </c>
      <c r="I2237">
        <f>-39230152/10^6</f>
        <v>-39.230151999999997</v>
      </c>
      <c r="J2237">
        <f>0</f>
        <v>0</v>
      </c>
    </row>
    <row r="2238" spans="1:10" x14ac:dyDescent="0.25">
      <c r="A2238" t="s">
        <v>2247</v>
      </c>
      <c r="B2238" t="s">
        <v>11</v>
      </c>
      <c r="C2238">
        <v>121.44171875000001</v>
      </c>
      <c r="D2238">
        <f>0</f>
        <v>0</v>
      </c>
      <c r="E2238">
        <f>648964966/10^6</f>
        <v>648.964966</v>
      </c>
      <c r="F2238">
        <f>0</f>
        <v>0</v>
      </c>
      <c r="G2238">
        <f>231997086/10^6</f>
        <v>231.997086</v>
      </c>
      <c r="H2238">
        <f>0</f>
        <v>0</v>
      </c>
      <c r="I2238">
        <f>-39304832/10^6</f>
        <v>-39.304831999999998</v>
      </c>
      <c r="J2238">
        <f>0</f>
        <v>0</v>
      </c>
    </row>
    <row r="2239" spans="1:10" x14ac:dyDescent="0.25">
      <c r="A2239" t="s">
        <v>2248</v>
      </c>
      <c r="B2239" t="s">
        <v>11</v>
      </c>
      <c r="C2239">
        <v>121.5420625</v>
      </c>
      <c r="D2239">
        <f>0</f>
        <v>0</v>
      </c>
      <c r="E2239">
        <f>648417603/10^6</f>
        <v>648.41760299999999</v>
      </c>
      <c r="F2239">
        <f>0</f>
        <v>0</v>
      </c>
      <c r="G2239">
        <f>232050461/10^6</f>
        <v>232.05046100000001</v>
      </c>
      <c r="H2239">
        <f>0</f>
        <v>0</v>
      </c>
      <c r="I2239">
        <f>-39081264/10^6</f>
        <v>-39.081263999999997</v>
      </c>
      <c r="J2239">
        <f>0</f>
        <v>0</v>
      </c>
    </row>
    <row r="2240" spans="1:10" x14ac:dyDescent="0.25">
      <c r="A2240" t="s">
        <v>2249</v>
      </c>
      <c r="B2240" t="s">
        <v>11</v>
      </c>
      <c r="C2240">
        <v>121.581523438</v>
      </c>
      <c r="D2240">
        <f>0</f>
        <v>0</v>
      </c>
      <c r="E2240">
        <f>648252686/10^6</f>
        <v>648.25268600000004</v>
      </c>
      <c r="F2240">
        <f>0</f>
        <v>0</v>
      </c>
      <c r="G2240">
        <f>232086578/10^6</f>
        <v>232.086578</v>
      </c>
      <c r="H2240">
        <f>0</f>
        <v>0</v>
      </c>
      <c r="I2240">
        <f>-38937435/10^6</f>
        <v>-38.937435000000001</v>
      </c>
      <c r="J2240">
        <f>0</f>
        <v>0</v>
      </c>
    </row>
    <row r="2241" spans="1:10" x14ac:dyDescent="0.25">
      <c r="A2241" t="s">
        <v>2250</v>
      </c>
      <c r="B2241" t="s">
        <v>11</v>
      </c>
      <c r="C2241">
        <v>121.54217187499999</v>
      </c>
      <c r="D2241">
        <f>0</f>
        <v>0</v>
      </c>
      <c r="E2241">
        <f>648603333/10^6</f>
        <v>648.60333300000002</v>
      </c>
      <c r="F2241">
        <f>0</f>
        <v>0</v>
      </c>
      <c r="G2241">
        <f>232117477/10^6</f>
        <v>232.11747700000001</v>
      </c>
      <c r="H2241">
        <f>0</f>
        <v>0</v>
      </c>
      <c r="I2241">
        <f>-39063221/10^6</f>
        <v>-39.063220999999999</v>
      </c>
      <c r="J2241">
        <f>0</f>
        <v>0</v>
      </c>
    </row>
    <row r="2242" spans="1:10" x14ac:dyDescent="0.25">
      <c r="A2242" t="s">
        <v>2251</v>
      </c>
      <c r="B2242" t="s">
        <v>11</v>
      </c>
      <c r="C2242">
        <v>121.437820313</v>
      </c>
      <c r="D2242">
        <f>0</f>
        <v>0</v>
      </c>
      <c r="E2242">
        <f>649193176/10^6</f>
        <v>649.19317599999999</v>
      </c>
      <c r="F2242">
        <f>0</f>
        <v>0</v>
      </c>
      <c r="G2242">
        <f>232132736/10^6</f>
        <v>232.13273599999999</v>
      </c>
      <c r="H2242">
        <f>0</f>
        <v>0</v>
      </c>
      <c r="I2242">
        <f>-38990391/10^6</f>
        <v>-38.990391000000002</v>
      </c>
      <c r="J2242">
        <f>0</f>
        <v>0</v>
      </c>
    </row>
    <row r="2243" spans="1:10" x14ac:dyDescent="0.25">
      <c r="A2243" t="s">
        <v>2252</v>
      </c>
      <c r="B2243" t="s">
        <v>11</v>
      </c>
      <c r="C2243">
        <v>121.27459374999999</v>
      </c>
      <c r="D2243">
        <f>0</f>
        <v>0</v>
      </c>
      <c r="E2243">
        <f>650161011/10^6</f>
        <v>650.16101100000003</v>
      </c>
      <c r="F2243">
        <f>0</f>
        <v>0</v>
      </c>
      <c r="G2243">
        <f>232131165/10^6</f>
        <v>232.13116500000001</v>
      </c>
      <c r="H2243">
        <f>0</f>
        <v>0</v>
      </c>
      <c r="I2243">
        <f>-39005844/10^6</f>
        <v>-39.005844000000003</v>
      </c>
      <c r="J2243">
        <f>0</f>
        <v>0</v>
      </c>
    </row>
    <row r="2244" spans="1:10" x14ac:dyDescent="0.25">
      <c r="A2244" t="s">
        <v>2253</v>
      </c>
      <c r="B2244" t="s">
        <v>11</v>
      </c>
      <c r="C2244">
        <v>121.080398438</v>
      </c>
      <c r="D2244">
        <f>0</f>
        <v>0</v>
      </c>
      <c r="E2244">
        <f>651278137/10^6</f>
        <v>651.27813700000002</v>
      </c>
      <c r="F2244">
        <f>0</f>
        <v>0</v>
      </c>
      <c r="G2244">
        <f>232126312/10^6</f>
        <v>232.12631200000001</v>
      </c>
      <c r="H2244">
        <f>0</f>
        <v>0</v>
      </c>
      <c r="I2244">
        <f>-39052864/10^6</f>
        <v>-39.052864</v>
      </c>
      <c r="J2244">
        <f>0</f>
        <v>0</v>
      </c>
    </row>
    <row r="2245" spans="1:10" x14ac:dyDescent="0.25">
      <c r="A2245" t="s">
        <v>2254</v>
      </c>
      <c r="B2245" t="s">
        <v>11</v>
      </c>
      <c r="C2245">
        <v>120.88709375000001</v>
      </c>
      <c r="D2245">
        <f>0</f>
        <v>0</v>
      </c>
      <c r="E2245">
        <f>652278687/10^6</f>
        <v>652.27868699999999</v>
      </c>
      <c r="F2245">
        <f>0</f>
        <v>0</v>
      </c>
      <c r="G2245">
        <f>232101822/10^6</f>
        <v>232.101822</v>
      </c>
      <c r="H2245">
        <f>0</f>
        <v>0</v>
      </c>
      <c r="I2245">
        <f>-39023674/10^6</f>
        <v>-39.023674</v>
      </c>
      <c r="J2245">
        <f>0</f>
        <v>0</v>
      </c>
    </row>
    <row r="2246" spans="1:10" x14ac:dyDescent="0.25">
      <c r="A2246" t="s">
        <v>2255</v>
      </c>
      <c r="B2246" t="s">
        <v>11</v>
      </c>
      <c r="C2246">
        <v>120.66415625</v>
      </c>
      <c r="D2246">
        <f>0</f>
        <v>0</v>
      </c>
      <c r="E2246">
        <f>653557556/10^6</f>
        <v>653.55755599999998</v>
      </c>
      <c r="F2246">
        <f>0</f>
        <v>0</v>
      </c>
      <c r="G2246">
        <f>232065979/10^6</f>
        <v>232.065979</v>
      </c>
      <c r="H2246">
        <f>0</f>
        <v>0</v>
      </c>
      <c r="I2246">
        <f>-39270153/10^6</f>
        <v>-39.270153000000001</v>
      </c>
      <c r="J2246">
        <f>0</f>
        <v>0</v>
      </c>
    </row>
    <row r="2247" spans="1:10" x14ac:dyDescent="0.25">
      <c r="A2247" t="s">
        <v>2256</v>
      </c>
      <c r="B2247" t="s">
        <v>11</v>
      </c>
      <c r="C2247">
        <v>120.381828125</v>
      </c>
      <c r="D2247">
        <f>0</f>
        <v>0</v>
      </c>
      <c r="E2247">
        <f>655082886/10^6</f>
        <v>655.08288600000003</v>
      </c>
      <c r="F2247">
        <f>0</f>
        <v>0</v>
      </c>
      <c r="G2247">
        <f>232029251/10^6</f>
        <v>232.02925099999999</v>
      </c>
      <c r="H2247">
        <f>0</f>
        <v>0</v>
      </c>
      <c r="I2247">
        <f>-39460278/10^6</f>
        <v>-39.460278000000002</v>
      </c>
      <c r="J2247">
        <f>0</f>
        <v>0</v>
      </c>
    </row>
    <row r="2248" spans="1:10" x14ac:dyDescent="0.25">
      <c r="A2248" t="s">
        <v>2257</v>
      </c>
      <c r="B2248" t="s">
        <v>11</v>
      </c>
      <c r="C2248">
        <v>120.050640625</v>
      </c>
      <c r="D2248">
        <f>0</f>
        <v>0</v>
      </c>
      <c r="E2248">
        <f>65685675/10^5</f>
        <v>656.85675000000003</v>
      </c>
      <c r="F2248">
        <f>0</f>
        <v>0</v>
      </c>
      <c r="G2248">
        <f>231976288/10^6</f>
        <v>231.97628800000001</v>
      </c>
      <c r="H2248">
        <f>0</f>
        <v>0</v>
      </c>
      <c r="I2248">
        <f>-39629704/10^6</f>
        <v>-39.629703999999997</v>
      </c>
      <c r="J2248">
        <f>0</f>
        <v>0</v>
      </c>
    </row>
    <row r="2249" spans="1:10" x14ac:dyDescent="0.25">
      <c r="A2249" t="s">
        <v>2258</v>
      </c>
      <c r="B2249" t="s">
        <v>11</v>
      </c>
      <c r="C2249">
        <v>119.684296875</v>
      </c>
      <c r="D2249">
        <f>0</f>
        <v>0</v>
      </c>
      <c r="E2249">
        <f>658869568/10^6</f>
        <v>658.86956799999996</v>
      </c>
      <c r="F2249">
        <f>0</f>
        <v>0</v>
      </c>
      <c r="G2249">
        <f>231915451/10^6</f>
        <v>231.91545099999999</v>
      </c>
      <c r="H2249">
        <f>0</f>
        <v>0</v>
      </c>
      <c r="I2249">
        <f>-39733166/10^6</f>
        <v>-39.733165999999997</v>
      </c>
      <c r="J2249">
        <f>0</f>
        <v>0</v>
      </c>
    </row>
    <row r="2250" spans="1:10" x14ac:dyDescent="0.25">
      <c r="A2250" t="s">
        <v>2259</v>
      </c>
      <c r="B2250" t="s">
        <v>11</v>
      </c>
      <c r="C2250">
        <v>0</v>
      </c>
      <c r="D2250">
        <f>2</f>
        <v>2</v>
      </c>
      <c r="F2250">
        <f>2</f>
        <v>2</v>
      </c>
      <c r="H2250">
        <f>2</f>
        <v>2</v>
      </c>
      <c r="J2250">
        <f>2</f>
        <v>2</v>
      </c>
    </row>
    <row r="2251" spans="1:10" x14ac:dyDescent="0.25">
      <c r="A2251" t="s">
        <v>2260</v>
      </c>
      <c r="B2251" t="s">
        <v>11</v>
      </c>
      <c r="C2251">
        <v>118.81960156300001</v>
      </c>
      <c r="D2251">
        <f>0</f>
        <v>0</v>
      </c>
      <c r="E2251">
        <f>663541382/10^6</f>
        <v>663.541382</v>
      </c>
      <c r="F2251">
        <f>0</f>
        <v>0</v>
      </c>
      <c r="G2251">
        <f>231765381/10^6</f>
        <v>231.76538099999999</v>
      </c>
      <c r="H2251">
        <f>0</f>
        <v>0</v>
      </c>
      <c r="I2251">
        <f>-40292934/10^6</f>
        <v>-40.292934000000002</v>
      </c>
      <c r="J2251">
        <f>0</f>
        <v>0</v>
      </c>
    </row>
    <row r="2252" spans="1:10" x14ac:dyDescent="0.25">
      <c r="A2252" t="s">
        <v>2261</v>
      </c>
      <c r="B2252" t="s">
        <v>11</v>
      </c>
      <c r="C2252">
        <v>118.358429688</v>
      </c>
      <c r="D2252">
        <f>0</f>
        <v>0</v>
      </c>
      <c r="E2252">
        <f>665984863/10^6</f>
        <v>665.98486300000002</v>
      </c>
      <c r="F2252">
        <f>0</f>
        <v>0</v>
      </c>
      <c r="G2252">
        <f>231648666/10^6</f>
        <v>231.64866599999999</v>
      </c>
      <c r="H2252">
        <f>0</f>
        <v>0</v>
      </c>
      <c r="I2252">
        <f>-40518753/10^6</f>
        <v>-40.518752999999997</v>
      </c>
      <c r="J2252">
        <f>0</f>
        <v>0</v>
      </c>
    </row>
    <row r="2253" spans="1:10" x14ac:dyDescent="0.25">
      <c r="A2253" t="s">
        <v>2262</v>
      </c>
      <c r="B2253" t="s">
        <v>11</v>
      </c>
      <c r="C2253">
        <v>0</v>
      </c>
      <c r="D2253">
        <f>2</f>
        <v>2</v>
      </c>
      <c r="F2253">
        <f>2</f>
        <v>2</v>
      </c>
      <c r="H2253">
        <f>2</f>
        <v>2</v>
      </c>
      <c r="J2253">
        <f>2</f>
        <v>2</v>
      </c>
    </row>
    <row r="2254" spans="1:10" x14ac:dyDescent="0.25">
      <c r="A2254" t="s">
        <v>2263</v>
      </c>
      <c r="B2254" t="s">
        <v>11</v>
      </c>
      <c r="C2254">
        <v>117.27405468800001</v>
      </c>
      <c r="D2254">
        <f>0</f>
        <v>0</v>
      </c>
      <c r="E2254">
        <f>672196716/10^6</f>
        <v>672.19671600000004</v>
      </c>
      <c r="F2254">
        <f>0</f>
        <v>0</v>
      </c>
      <c r="G2254">
        <f>231468994/10^6</f>
        <v>231.46899400000001</v>
      </c>
      <c r="H2254">
        <f>0</f>
        <v>0</v>
      </c>
      <c r="I2254">
        <f>-41329384/10^6</f>
        <v>-41.329383999999997</v>
      </c>
      <c r="J2254">
        <f>0</f>
        <v>0</v>
      </c>
    </row>
    <row r="2255" spans="1:10" x14ac:dyDescent="0.25">
      <c r="A2255" t="s">
        <v>2264</v>
      </c>
      <c r="B2255" t="s">
        <v>11</v>
      </c>
      <c r="C2255">
        <v>116.70353125</v>
      </c>
      <c r="D2255">
        <f>0</f>
        <v>0</v>
      </c>
      <c r="E2255">
        <f>675228455/10^6</f>
        <v>675.22845500000005</v>
      </c>
      <c r="F2255">
        <f>0</f>
        <v>0</v>
      </c>
      <c r="G2255">
        <f>231348465/10^6</f>
        <v>231.348465</v>
      </c>
      <c r="H2255">
        <f>0</f>
        <v>0</v>
      </c>
      <c r="I2255">
        <f>-41529263/10^6</f>
        <v>-41.529263</v>
      </c>
      <c r="J2255">
        <f>0</f>
        <v>0</v>
      </c>
    </row>
    <row r="2256" spans="1:10" x14ac:dyDescent="0.25">
      <c r="A2256" t="s">
        <v>2265</v>
      </c>
      <c r="B2256" t="s">
        <v>11</v>
      </c>
      <c r="C2256">
        <v>116.105554688</v>
      </c>
      <c r="D2256">
        <f>0</f>
        <v>0</v>
      </c>
      <c r="E2256">
        <f>678489624/10^6</f>
        <v>678.48962400000005</v>
      </c>
      <c r="F2256">
        <f>0</f>
        <v>0</v>
      </c>
      <c r="G2256">
        <f>231232513/10^6</f>
        <v>231.23251300000001</v>
      </c>
      <c r="H2256">
        <f>0</f>
        <v>0</v>
      </c>
      <c r="I2256">
        <f>-41747307/10^6</f>
        <v>-41.747306999999999</v>
      </c>
      <c r="J2256">
        <f>0</f>
        <v>0</v>
      </c>
    </row>
    <row r="2257" spans="1:10" x14ac:dyDescent="0.25">
      <c r="A2257" t="s">
        <v>2266</v>
      </c>
      <c r="B2257" t="s">
        <v>11</v>
      </c>
      <c r="C2257">
        <v>115.55918749999999</v>
      </c>
      <c r="D2257">
        <f>0</f>
        <v>0</v>
      </c>
      <c r="E2257">
        <f>68187146/10^5</f>
        <v>681.87145999999996</v>
      </c>
      <c r="F2257">
        <f>0</f>
        <v>0</v>
      </c>
      <c r="G2257">
        <f>231123047/10^6</f>
        <v>231.12304700000001</v>
      </c>
      <c r="H2257">
        <f>0</f>
        <v>0</v>
      </c>
      <c r="I2257">
        <f>-42492424/10^6</f>
        <v>-42.492424</v>
      </c>
      <c r="J2257">
        <f>0</f>
        <v>0</v>
      </c>
    </row>
    <row r="2258" spans="1:10" x14ac:dyDescent="0.25">
      <c r="A2258" t="s">
        <v>2267</v>
      </c>
      <c r="B2258" t="s">
        <v>11</v>
      </c>
      <c r="C2258">
        <v>115.141976563</v>
      </c>
      <c r="D2258">
        <f>0</f>
        <v>0</v>
      </c>
      <c r="E2258">
        <f>684103088/10^6</f>
        <v>684.10308799999996</v>
      </c>
      <c r="F2258">
        <f>0</f>
        <v>0</v>
      </c>
      <c r="G2258">
        <f>230952103/10^6</f>
        <v>230.95210299999999</v>
      </c>
      <c r="H2258">
        <f>0</f>
        <v>0</v>
      </c>
      <c r="I2258">
        <f>-4293866/10^5</f>
        <v>-42.938659999999999</v>
      </c>
      <c r="J2258">
        <f>0</f>
        <v>0</v>
      </c>
    </row>
    <row r="2259" spans="1:10" x14ac:dyDescent="0.25">
      <c r="A2259" t="s">
        <v>2268</v>
      </c>
      <c r="B2259" t="s">
        <v>11</v>
      </c>
      <c r="C2259">
        <v>114.83027343800001</v>
      </c>
      <c r="D2259">
        <f>0</f>
        <v>0</v>
      </c>
      <c r="E2259">
        <f>685516846/10^6</f>
        <v>685.51684599999999</v>
      </c>
      <c r="F2259">
        <f>0</f>
        <v>0</v>
      </c>
      <c r="G2259">
        <f>230794434/10^6</f>
        <v>230.794434</v>
      </c>
      <c r="H2259">
        <f>0</f>
        <v>0</v>
      </c>
      <c r="I2259">
        <f>-42986565/10^6</f>
        <v>-42.986564999999999</v>
      </c>
      <c r="J2259">
        <f>0</f>
        <v>0</v>
      </c>
    </row>
    <row r="2260" spans="1:10" x14ac:dyDescent="0.25">
      <c r="A2260" t="s">
        <v>2269</v>
      </c>
      <c r="B2260" t="s">
        <v>11</v>
      </c>
      <c r="C2260">
        <v>114.649140625</v>
      </c>
      <c r="D2260">
        <f>0</f>
        <v>0</v>
      </c>
      <c r="E2260">
        <f>686540161/10^6</f>
        <v>686.54016100000001</v>
      </c>
      <c r="F2260">
        <f>0</f>
        <v>0</v>
      </c>
      <c r="G2260">
        <f>230699677/10^6</f>
        <v>230.69967700000001</v>
      </c>
      <c r="H2260">
        <f>0</f>
        <v>0</v>
      </c>
      <c r="I2260">
        <f>-43361561/10^6</f>
        <v>-43.361561000000002</v>
      </c>
      <c r="J2260">
        <f>0</f>
        <v>0</v>
      </c>
    </row>
    <row r="2261" spans="1:10" x14ac:dyDescent="0.25">
      <c r="A2261" t="s">
        <v>2270</v>
      </c>
      <c r="B2261" t="s">
        <v>11</v>
      </c>
      <c r="C2261">
        <v>114.560664063</v>
      </c>
      <c r="D2261">
        <f>0</f>
        <v>0</v>
      </c>
      <c r="E2261">
        <f>687001282/10^6</f>
        <v>687.00128199999995</v>
      </c>
      <c r="F2261">
        <f>0</f>
        <v>0</v>
      </c>
      <c r="G2261">
        <f>230660751/10^6</f>
        <v>230.660751</v>
      </c>
      <c r="H2261">
        <f>0</f>
        <v>0</v>
      </c>
      <c r="I2261">
        <f>-43470634/10^6</f>
        <v>-43.470633999999997</v>
      </c>
      <c r="J2261">
        <f>0</f>
        <v>0</v>
      </c>
    </row>
    <row r="2262" spans="1:10" x14ac:dyDescent="0.25">
      <c r="A2262" t="s">
        <v>2271</v>
      </c>
      <c r="B2262" t="s">
        <v>11</v>
      </c>
      <c r="C2262">
        <v>114.49090624999999</v>
      </c>
      <c r="D2262">
        <f>0</f>
        <v>0</v>
      </c>
      <c r="E2262">
        <f>68745166/10^5</f>
        <v>687.45165999999995</v>
      </c>
      <c r="F2262">
        <f>0</f>
        <v>0</v>
      </c>
      <c r="G2262">
        <f>230694962/10^6</f>
        <v>230.694962</v>
      </c>
      <c r="H2262">
        <f>0</f>
        <v>0</v>
      </c>
      <c r="I2262">
        <f>-43314167/10^6</f>
        <v>-43.314166999999998</v>
      </c>
      <c r="J2262">
        <f>0</f>
        <v>0</v>
      </c>
    </row>
    <row r="2263" spans="1:10" x14ac:dyDescent="0.25">
      <c r="A2263" t="s">
        <v>2272</v>
      </c>
      <c r="B2263" t="s">
        <v>11</v>
      </c>
      <c r="C2263">
        <v>114.481414063</v>
      </c>
      <c r="D2263">
        <f>0</f>
        <v>0</v>
      </c>
      <c r="E2263">
        <f>687680115/10^6</f>
        <v>687.680115</v>
      </c>
      <c r="F2263">
        <f>0</f>
        <v>0</v>
      </c>
      <c r="G2263">
        <f>230747757/10^6</f>
        <v>230.74775700000001</v>
      </c>
      <c r="H2263">
        <f>0</f>
        <v>0</v>
      </c>
      <c r="I2263">
        <f>-43353455/10^6</f>
        <v>-43.353454999999997</v>
      </c>
      <c r="J2263">
        <f>0</f>
        <v>0</v>
      </c>
    </row>
    <row r="2264" spans="1:10" x14ac:dyDescent="0.25">
      <c r="A2264" t="s">
        <v>2273</v>
      </c>
      <c r="B2264" t="s">
        <v>11</v>
      </c>
      <c r="C2264">
        <v>114.455546875</v>
      </c>
      <c r="D2264">
        <f>0</f>
        <v>0</v>
      </c>
      <c r="E2264">
        <f>687699829/10^6</f>
        <v>687.69982900000002</v>
      </c>
      <c r="F2264">
        <f>0</f>
        <v>0</v>
      </c>
      <c r="G2264">
        <f>230728409/10^6</f>
        <v>230.728409</v>
      </c>
      <c r="H2264">
        <f>0</f>
        <v>0</v>
      </c>
      <c r="I2264">
        <f>-43253773/10^6</f>
        <v>-43.253773000000002</v>
      </c>
      <c r="J2264">
        <f>0</f>
        <v>0</v>
      </c>
    </row>
    <row r="2265" spans="1:10" x14ac:dyDescent="0.25">
      <c r="A2265" t="s">
        <v>2274</v>
      </c>
      <c r="B2265" t="s">
        <v>11</v>
      </c>
      <c r="C2265">
        <v>114.3094375</v>
      </c>
      <c r="D2265">
        <f>0</f>
        <v>0</v>
      </c>
      <c r="E2265">
        <f>688599304/10^6</f>
        <v>688.59930399999996</v>
      </c>
      <c r="F2265">
        <f>0</f>
        <v>0</v>
      </c>
      <c r="G2265">
        <f>230698761/10^6</f>
        <v>230.69876099999999</v>
      </c>
      <c r="H2265">
        <f>0</f>
        <v>0</v>
      </c>
      <c r="I2265">
        <f>-4342625/10^5</f>
        <v>-43.426250000000003</v>
      </c>
      <c r="J2265">
        <f>0</f>
        <v>0</v>
      </c>
    </row>
    <row r="2266" spans="1:10" x14ac:dyDescent="0.25">
      <c r="A2266" t="s">
        <v>2275</v>
      </c>
      <c r="B2266" t="s">
        <v>11</v>
      </c>
      <c r="C2266">
        <v>114.255234375</v>
      </c>
      <c r="D2266">
        <f>0</f>
        <v>0</v>
      </c>
      <c r="E2266">
        <f>68930603/10^5</f>
        <v>689.30602999999996</v>
      </c>
      <c r="F2266">
        <f>0</f>
        <v>0</v>
      </c>
      <c r="G2266">
        <f>230718735/10^6</f>
        <v>230.71873500000001</v>
      </c>
      <c r="H2266">
        <f>0</f>
        <v>0</v>
      </c>
      <c r="I2266">
        <f>-44062115/10^6</f>
        <v>-44.062114999999999</v>
      </c>
      <c r="J2266">
        <f>0</f>
        <v>0</v>
      </c>
    </row>
    <row r="2267" spans="1:10" x14ac:dyDescent="0.25">
      <c r="A2267" t="s">
        <v>2276</v>
      </c>
      <c r="B2267" t="s">
        <v>11</v>
      </c>
      <c r="C2267">
        <v>114.539992188</v>
      </c>
      <c r="D2267">
        <f>0</f>
        <v>0</v>
      </c>
      <c r="E2267">
        <f>687725586/10^6</f>
        <v>687.72558600000002</v>
      </c>
      <c r="F2267">
        <f>0</f>
        <v>0</v>
      </c>
      <c r="G2267">
        <f>230772476/10^6</f>
        <v>230.77247600000001</v>
      </c>
      <c r="H2267">
        <f>0</f>
        <v>0</v>
      </c>
      <c r="I2267">
        <f>-44022011/10^6</f>
        <v>-44.022010999999999</v>
      </c>
      <c r="J2267">
        <f>0</f>
        <v>0</v>
      </c>
    </row>
    <row r="2268" spans="1:10" x14ac:dyDescent="0.25">
      <c r="A2268" t="s">
        <v>2277</v>
      </c>
      <c r="B2268" t="s">
        <v>11</v>
      </c>
      <c r="C2268">
        <v>114.955015625</v>
      </c>
      <c r="D2268">
        <f>0</f>
        <v>0</v>
      </c>
      <c r="E2268">
        <f>685320557/10^6</f>
        <v>685.32055700000001</v>
      </c>
      <c r="F2268">
        <f>0</f>
        <v>0</v>
      </c>
      <c r="G2268">
        <f>230935394/10^6</f>
        <v>230.935394</v>
      </c>
      <c r="H2268">
        <f>0</f>
        <v>0</v>
      </c>
      <c r="I2268">
        <f>-43356403/10^6</f>
        <v>-43.356403</v>
      </c>
      <c r="J2268">
        <f>0</f>
        <v>0</v>
      </c>
    </row>
    <row r="2269" spans="1:10" x14ac:dyDescent="0.25">
      <c r="A2269" t="s">
        <v>2278</v>
      </c>
      <c r="B2269" t="s">
        <v>11</v>
      </c>
      <c r="C2269">
        <v>115.2871875</v>
      </c>
      <c r="D2269">
        <f>0</f>
        <v>0</v>
      </c>
      <c r="E2269">
        <f>683628418/10^6</f>
        <v>683.62841800000001</v>
      </c>
      <c r="F2269">
        <f>0</f>
        <v>0</v>
      </c>
      <c r="G2269">
        <f>231095444/10^6</f>
        <v>231.09544399999999</v>
      </c>
      <c r="H2269">
        <f>0</f>
        <v>0</v>
      </c>
      <c r="I2269">
        <f>-43023872/10^6</f>
        <v>-43.023871999999997</v>
      </c>
      <c r="J2269">
        <f>0</f>
        <v>0</v>
      </c>
    </row>
    <row r="2270" spans="1:10" x14ac:dyDescent="0.25">
      <c r="A2270" t="s">
        <v>2279</v>
      </c>
      <c r="B2270" t="s">
        <v>11</v>
      </c>
      <c r="C2270">
        <v>115.621601563</v>
      </c>
      <c r="D2270">
        <f>0</f>
        <v>0</v>
      </c>
      <c r="E2270">
        <f>681923096/10^6</f>
        <v>681.92309599999999</v>
      </c>
      <c r="F2270">
        <f>0</f>
        <v>0</v>
      </c>
      <c r="G2270">
        <f>231176285/10^6</f>
        <v>231.17628500000001</v>
      </c>
      <c r="H2270">
        <f>0</f>
        <v>0</v>
      </c>
      <c r="I2270">
        <f>-42926765/10^6</f>
        <v>-42.926765000000003</v>
      </c>
      <c r="J2270">
        <f>0</f>
        <v>0</v>
      </c>
    </row>
    <row r="2271" spans="1:10" x14ac:dyDescent="0.25">
      <c r="A2271" t="s">
        <v>2280</v>
      </c>
      <c r="B2271" t="s">
        <v>11</v>
      </c>
      <c r="C2271">
        <v>115.993476563</v>
      </c>
      <c r="D2271">
        <f>0</f>
        <v>0</v>
      </c>
      <c r="E2271">
        <f>679896912/10^6</f>
        <v>679.89691200000004</v>
      </c>
      <c r="F2271">
        <f>0</f>
        <v>0</v>
      </c>
      <c r="G2271">
        <f>231268555/10^6</f>
        <v>231.26855499999999</v>
      </c>
      <c r="H2271">
        <f>0</f>
        <v>0</v>
      </c>
      <c r="I2271">
        <f>-42811672/10^6</f>
        <v>-42.811672000000002</v>
      </c>
      <c r="J2271">
        <f>0</f>
        <v>0</v>
      </c>
    </row>
    <row r="2272" spans="1:10" x14ac:dyDescent="0.25">
      <c r="A2272" t="s">
        <v>2281</v>
      </c>
      <c r="B2272" t="s">
        <v>11</v>
      </c>
      <c r="C2272">
        <v>116.383554688</v>
      </c>
      <c r="D2272">
        <f>0</f>
        <v>0</v>
      </c>
      <c r="E2272">
        <f>677542297/10^6</f>
        <v>677.54229699999996</v>
      </c>
      <c r="F2272">
        <f>0</f>
        <v>0</v>
      </c>
      <c r="G2272">
        <f>231368576/10^6</f>
        <v>231.36857599999999</v>
      </c>
      <c r="H2272">
        <f>0</f>
        <v>0</v>
      </c>
      <c r="I2272">
        <f>-42347713/10^6</f>
        <v>-42.347712999999999</v>
      </c>
      <c r="J2272">
        <f>0</f>
        <v>0</v>
      </c>
    </row>
    <row r="2273" spans="1:10" x14ac:dyDescent="0.25">
      <c r="A2273" t="s">
        <v>2282</v>
      </c>
      <c r="B2273" t="s">
        <v>11</v>
      </c>
      <c r="C2273">
        <v>116.78271093800001</v>
      </c>
      <c r="D2273">
        <f>0</f>
        <v>0</v>
      </c>
      <c r="E2273">
        <f>675249329/10^6</f>
        <v>675.24932899999999</v>
      </c>
      <c r="F2273">
        <f>0</f>
        <v>0</v>
      </c>
      <c r="G2273">
        <f>231455322/10^6</f>
        <v>231.455322</v>
      </c>
      <c r="H2273">
        <f>0</f>
        <v>0</v>
      </c>
      <c r="I2273">
        <f>-4196452/10^5</f>
        <v>-41.96452</v>
      </c>
      <c r="J2273">
        <f>0</f>
        <v>0</v>
      </c>
    </row>
    <row r="2274" spans="1:10" x14ac:dyDescent="0.25">
      <c r="A2274" t="s">
        <v>2283</v>
      </c>
      <c r="B2274" t="s">
        <v>11</v>
      </c>
      <c r="C2274">
        <v>117.193859375</v>
      </c>
      <c r="D2274">
        <f>0</f>
        <v>0</v>
      </c>
      <c r="E2274">
        <f>673091309/10^6</f>
        <v>673.09130900000002</v>
      </c>
      <c r="F2274">
        <f>0</f>
        <v>0</v>
      </c>
      <c r="G2274">
        <f>231539246/10^6</f>
        <v>231.53924599999999</v>
      </c>
      <c r="H2274">
        <f>0</f>
        <v>0</v>
      </c>
      <c r="I2274">
        <f>-41934902/10^6</f>
        <v>-41.934902000000001</v>
      </c>
      <c r="J2274">
        <f>0</f>
        <v>0</v>
      </c>
    </row>
    <row r="2275" spans="1:10" x14ac:dyDescent="0.25">
      <c r="A2275" t="s">
        <v>2284</v>
      </c>
      <c r="B2275" t="s">
        <v>11</v>
      </c>
      <c r="C2275">
        <v>117.65771093800001</v>
      </c>
      <c r="D2275">
        <f>0</f>
        <v>0</v>
      </c>
      <c r="E2275">
        <f>670501892/10^6</f>
        <v>670.501892</v>
      </c>
      <c r="F2275">
        <f>0</f>
        <v>0</v>
      </c>
      <c r="G2275">
        <f>231611969/10^6</f>
        <v>231.61196899999999</v>
      </c>
      <c r="H2275">
        <f>0</f>
        <v>0</v>
      </c>
      <c r="I2275">
        <f>-41704174/10^6</f>
        <v>-41.704174000000002</v>
      </c>
      <c r="J2275">
        <f>0</f>
        <v>0</v>
      </c>
    </row>
    <row r="2276" spans="1:10" x14ac:dyDescent="0.25">
      <c r="A2276" t="s">
        <v>2285</v>
      </c>
      <c r="B2276" t="s">
        <v>11</v>
      </c>
      <c r="C2276">
        <v>0</v>
      </c>
      <c r="D2276">
        <f>2</f>
        <v>2</v>
      </c>
      <c r="F2276">
        <f>2</f>
        <v>2</v>
      </c>
      <c r="H2276">
        <f>2</f>
        <v>2</v>
      </c>
      <c r="J2276">
        <f>2</f>
        <v>2</v>
      </c>
    </row>
    <row r="2277" spans="1:10" x14ac:dyDescent="0.25">
      <c r="A2277" t="s">
        <v>2286</v>
      </c>
      <c r="B2277" t="s">
        <v>11</v>
      </c>
      <c r="C2277">
        <v>118.727109375</v>
      </c>
      <c r="D2277">
        <f>0</f>
        <v>0</v>
      </c>
      <c r="E2277">
        <f>664320435/10^6</f>
        <v>664.32043499999997</v>
      </c>
      <c r="F2277">
        <f>0</f>
        <v>0</v>
      </c>
      <c r="G2277">
        <f>231749146/10^6</f>
        <v>231.749146</v>
      </c>
      <c r="H2277">
        <f>0</f>
        <v>0</v>
      </c>
      <c r="I2277">
        <f>-40976967/10^6</f>
        <v>-40.976967000000002</v>
      </c>
      <c r="J2277">
        <f>0</f>
        <v>0</v>
      </c>
    </row>
    <row r="2278" spans="1:10" x14ac:dyDescent="0.25">
      <c r="A2278" t="s">
        <v>2287</v>
      </c>
      <c r="B2278" t="s">
        <v>11</v>
      </c>
      <c r="C2278">
        <v>119.271570313</v>
      </c>
      <c r="D2278">
        <f>0</f>
        <v>0</v>
      </c>
      <c r="E2278">
        <f>661125793/10^6</f>
        <v>661.12579300000004</v>
      </c>
      <c r="F2278">
        <f>0</f>
        <v>0</v>
      </c>
      <c r="G2278">
        <f>231816864/10^6</f>
        <v>231.81686400000001</v>
      </c>
      <c r="H2278">
        <f>0</f>
        <v>0</v>
      </c>
      <c r="I2278">
        <f>-40471367/10^6</f>
        <v>-40.471367000000001</v>
      </c>
      <c r="J2278">
        <f>0</f>
        <v>0</v>
      </c>
    </row>
    <row r="2279" spans="1:10" x14ac:dyDescent="0.25">
      <c r="A2279" t="s">
        <v>2288</v>
      </c>
      <c r="B2279" t="s">
        <v>11</v>
      </c>
      <c r="C2279">
        <v>119.80384375</v>
      </c>
      <c r="D2279">
        <f>0</f>
        <v>0</v>
      </c>
      <c r="E2279">
        <f>658206055/10^6</f>
        <v>658.20605499999999</v>
      </c>
      <c r="F2279">
        <f>0</f>
        <v>0</v>
      </c>
      <c r="G2279">
        <f>23188089/10^5</f>
        <v>231.88088999999999</v>
      </c>
      <c r="H2279">
        <f>0</f>
        <v>0</v>
      </c>
      <c r="I2279">
        <f>-40106411/10^6</f>
        <v>-40.106411000000001</v>
      </c>
      <c r="J2279">
        <f>0</f>
        <v>0</v>
      </c>
    </row>
    <row r="2280" spans="1:10" x14ac:dyDescent="0.25">
      <c r="A2280" t="s">
        <v>2289</v>
      </c>
      <c r="B2280" t="s">
        <v>11</v>
      </c>
      <c r="C2280">
        <v>0</v>
      </c>
      <c r="D2280">
        <f>2</f>
        <v>2</v>
      </c>
      <c r="F2280">
        <f>2</f>
        <v>2</v>
      </c>
      <c r="H2280">
        <f>2</f>
        <v>2</v>
      </c>
      <c r="J2280">
        <f>2</f>
        <v>2</v>
      </c>
    </row>
    <row r="2281" spans="1:10" x14ac:dyDescent="0.25">
      <c r="A2281" t="s">
        <v>2290</v>
      </c>
      <c r="B2281" t="s">
        <v>11</v>
      </c>
      <c r="C2281">
        <v>120.69746093800001</v>
      </c>
      <c r="D2281">
        <f>0</f>
        <v>0</v>
      </c>
      <c r="E2281">
        <f>653080322/10^6</f>
        <v>653.08032200000002</v>
      </c>
      <c r="F2281">
        <f>0</f>
        <v>0</v>
      </c>
      <c r="G2281">
        <f>23194545/10^5</f>
        <v>231.94544999999999</v>
      </c>
      <c r="H2281">
        <f>0</f>
        <v>0</v>
      </c>
      <c r="I2281">
        <f>-39629662/10^6</f>
        <v>-39.629662000000003</v>
      </c>
      <c r="J2281">
        <f>0</f>
        <v>0</v>
      </c>
    </row>
    <row r="2282" spans="1:10" x14ac:dyDescent="0.25">
      <c r="A2282" t="s">
        <v>2291</v>
      </c>
      <c r="B2282" t="s">
        <v>11</v>
      </c>
      <c r="C2282">
        <v>0</v>
      </c>
      <c r="D2282">
        <f>2</f>
        <v>2</v>
      </c>
      <c r="F2282">
        <f>2</f>
        <v>2</v>
      </c>
      <c r="H2282">
        <f>2</f>
        <v>2</v>
      </c>
      <c r="J2282">
        <f>2</f>
        <v>2</v>
      </c>
    </row>
    <row r="2283" spans="1:10" x14ac:dyDescent="0.25">
      <c r="A2283" t="s">
        <v>2292</v>
      </c>
      <c r="B2283" t="s">
        <v>11</v>
      </c>
      <c r="C2283">
        <v>121.08488281300001</v>
      </c>
      <c r="D2283">
        <f>0</f>
        <v>0</v>
      </c>
      <c r="E2283">
        <f>6509599/10^4</f>
        <v>650.95989999999995</v>
      </c>
      <c r="F2283">
        <f>0</f>
        <v>0</v>
      </c>
      <c r="G2283">
        <f>232024918/10^6</f>
        <v>232.02491800000001</v>
      </c>
      <c r="H2283">
        <f>0</f>
        <v>0</v>
      </c>
      <c r="I2283">
        <f>-39265465/10^6</f>
        <v>-39.265464999999999</v>
      </c>
      <c r="J2283">
        <f>0</f>
        <v>0</v>
      </c>
    </row>
    <row r="2284" spans="1:10" x14ac:dyDescent="0.25">
      <c r="A2284" t="s">
        <v>2293</v>
      </c>
      <c r="B2284" t="s">
        <v>11</v>
      </c>
      <c r="C2284">
        <v>121.15521875</v>
      </c>
      <c r="D2284">
        <f>0</f>
        <v>0</v>
      </c>
      <c r="E2284">
        <f>650678589/10^6</f>
        <v>650.67858899999999</v>
      </c>
      <c r="F2284">
        <f>0</f>
        <v>0</v>
      </c>
      <c r="G2284">
        <f>232063629/10^6</f>
        <v>232.06362899999999</v>
      </c>
      <c r="H2284">
        <f>0</f>
        <v>0</v>
      </c>
      <c r="I2284">
        <f>-39291714/10^6</f>
        <v>-39.291713999999999</v>
      </c>
      <c r="J2284">
        <f>0</f>
        <v>0</v>
      </c>
    </row>
    <row r="2285" spans="1:10" x14ac:dyDescent="0.25">
      <c r="A2285" t="s">
        <v>2294</v>
      </c>
      <c r="B2285" t="s">
        <v>11</v>
      </c>
      <c r="C2285">
        <v>121.17621875</v>
      </c>
      <c r="D2285">
        <f>0</f>
        <v>0</v>
      </c>
      <c r="E2285">
        <f>650690308/10^6</f>
        <v>650.69030799999996</v>
      </c>
      <c r="F2285">
        <f>0</f>
        <v>0</v>
      </c>
      <c r="G2285">
        <f>232092957/10^6</f>
        <v>232.09295700000001</v>
      </c>
      <c r="H2285">
        <f>0</f>
        <v>0</v>
      </c>
      <c r="I2285">
        <f>-39394413/10^6</f>
        <v>-39.394413</v>
      </c>
      <c r="J2285">
        <f>0</f>
        <v>0</v>
      </c>
    </row>
    <row r="2286" spans="1:10" x14ac:dyDescent="0.25">
      <c r="A2286" t="s">
        <v>2295</v>
      </c>
      <c r="B2286" t="s">
        <v>11</v>
      </c>
      <c r="C2286">
        <v>121.14921093800001</v>
      </c>
      <c r="D2286">
        <f>0</f>
        <v>0</v>
      </c>
      <c r="E2286">
        <f>650879395/10^6</f>
        <v>650.87939500000005</v>
      </c>
      <c r="F2286">
        <f>0</f>
        <v>0</v>
      </c>
      <c r="G2286">
        <f>232118973/10^6</f>
        <v>232.11897300000001</v>
      </c>
      <c r="H2286">
        <f>0</f>
        <v>0</v>
      </c>
      <c r="I2286">
        <f>-39354359/10^6</f>
        <v>-39.354359000000002</v>
      </c>
      <c r="J2286">
        <f>0</f>
        <v>0</v>
      </c>
    </row>
    <row r="2287" spans="1:10" x14ac:dyDescent="0.25">
      <c r="A2287" t="s">
        <v>2296</v>
      </c>
      <c r="B2287" t="s">
        <v>11</v>
      </c>
      <c r="C2287">
        <v>121.102492188</v>
      </c>
      <c r="D2287">
        <f>0</f>
        <v>0</v>
      </c>
      <c r="E2287">
        <f>651220276/10^6</f>
        <v>651.22027600000001</v>
      </c>
      <c r="F2287">
        <f>0</f>
        <v>0</v>
      </c>
      <c r="G2287">
        <f>232142761/10^6</f>
        <v>232.14276100000001</v>
      </c>
      <c r="H2287">
        <f>0</f>
        <v>0</v>
      </c>
      <c r="I2287">
        <f>-39214073/10^6</f>
        <v>-39.214072999999999</v>
      </c>
      <c r="J2287">
        <f>0</f>
        <v>0</v>
      </c>
    </row>
    <row r="2288" spans="1:10" x14ac:dyDescent="0.25">
      <c r="A2288" t="s">
        <v>2297</v>
      </c>
      <c r="B2288" t="s">
        <v>11</v>
      </c>
      <c r="C2288">
        <v>121.050421875</v>
      </c>
      <c r="D2288">
        <f>0</f>
        <v>0</v>
      </c>
      <c r="E2288">
        <f>651513916/10^6</f>
        <v>651.51391599999999</v>
      </c>
      <c r="F2288">
        <f>0</f>
        <v>0</v>
      </c>
      <c r="G2288">
        <f>232148346/10^6</f>
        <v>232.148346</v>
      </c>
      <c r="H2288">
        <f>0</f>
        <v>0</v>
      </c>
      <c r="I2288">
        <f>-39131687/10^6</f>
        <v>-39.131686999999999</v>
      </c>
      <c r="J2288">
        <f>0</f>
        <v>0</v>
      </c>
    </row>
    <row r="2289" spans="1:10" x14ac:dyDescent="0.25">
      <c r="A2289" t="s">
        <v>2298</v>
      </c>
      <c r="B2289" t="s">
        <v>11</v>
      </c>
      <c r="C2289">
        <v>120.97903125000001</v>
      </c>
      <c r="D2289">
        <f>0</f>
        <v>0</v>
      </c>
      <c r="E2289">
        <f>651996643/10^6</f>
        <v>651.99664299999995</v>
      </c>
      <c r="F2289">
        <f>0</f>
        <v>0</v>
      </c>
      <c r="G2289">
        <f>232142197/10^6</f>
        <v>232.14219700000001</v>
      </c>
      <c r="H2289">
        <f>0</f>
        <v>0</v>
      </c>
      <c r="I2289">
        <f>-39350056/10^6</f>
        <v>-39.350056000000002</v>
      </c>
      <c r="J2289">
        <f>0</f>
        <v>0</v>
      </c>
    </row>
    <row r="2290" spans="1:10" x14ac:dyDescent="0.25">
      <c r="A2290" t="s">
        <v>2299</v>
      </c>
      <c r="B2290" t="s">
        <v>11</v>
      </c>
      <c r="C2290">
        <v>120.87956250000001</v>
      </c>
      <c r="D2290">
        <f>0</f>
        <v>0</v>
      </c>
      <c r="E2290">
        <f>652612549/10^6</f>
        <v>652.61254899999994</v>
      </c>
      <c r="F2290">
        <f>0</f>
        <v>0</v>
      </c>
      <c r="G2290">
        <f>232129562/10^6</f>
        <v>232.12956199999999</v>
      </c>
      <c r="H2290">
        <f>0</f>
        <v>0</v>
      </c>
      <c r="I2290">
        <f>-39528496/10^6</f>
        <v>-39.528495999999997</v>
      </c>
      <c r="J2290">
        <f>0</f>
        <v>0</v>
      </c>
    </row>
    <row r="2291" spans="1:10" x14ac:dyDescent="0.25">
      <c r="A2291" t="s">
        <v>2300</v>
      </c>
      <c r="B2291" t="s">
        <v>11</v>
      </c>
      <c r="C2291">
        <v>120.75135937500001</v>
      </c>
      <c r="D2291">
        <f>0</f>
        <v>0</v>
      </c>
      <c r="E2291">
        <f>653100281/10^6</f>
        <v>653.100281</v>
      </c>
      <c r="F2291">
        <f>0</f>
        <v>0</v>
      </c>
      <c r="G2291">
        <f>232113037/10^6</f>
        <v>232.11303699999999</v>
      </c>
      <c r="H2291">
        <f>0</f>
        <v>0</v>
      </c>
      <c r="I2291">
        <f>-39303097/10^6</f>
        <v>-39.303097000000001</v>
      </c>
      <c r="J2291">
        <f>0</f>
        <v>0</v>
      </c>
    </row>
    <row r="2292" spans="1:10" x14ac:dyDescent="0.25">
      <c r="A2292" t="s">
        <v>2301</v>
      </c>
      <c r="B2292" t="s">
        <v>11</v>
      </c>
      <c r="C2292">
        <v>120.58821875</v>
      </c>
      <c r="D2292">
        <f>0</f>
        <v>0</v>
      </c>
      <c r="E2292">
        <f>653932129/10^6</f>
        <v>653.93212900000003</v>
      </c>
      <c r="F2292">
        <f>0</f>
        <v>0</v>
      </c>
      <c r="G2292">
        <f>232085953/10^6</f>
        <v>232.08595299999999</v>
      </c>
      <c r="H2292">
        <f>0</f>
        <v>0</v>
      </c>
      <c r="I2292">
        <f>-3921954/10^5</f>
        <v>-39.219540000000002</v>
      </c>
      <c r="J2292">
        <f>0</f>
        <v>0</v>
      </c>
    </row>
    <row r="2293" spans="1:10" x14ac:dyDescent="0.25">
      <c r="A2293" t="s">
        <v>2302</v>
      </c>
      <c r="B2293" t="s">
        <v>11</v>
      </c>
      <c r="C2293">
        <v>120.388203125</v>
      </c>
      <c r="D2293">
        <f>0</f>
        <v>0</v>
      </c>
      <c r="E2293">
        <f>655146057/10^6</f>
        <v>655.14605700000004</v>
      </c>
      <c r="F2293">
        <f>0</f>
        <v>0</v>
      </c>
      <c r="G2293">
        <f>232051834/10^6</f>
        <v>232.05183400000001</v>
      </c>
      <c r="H2293">
        <f>0</f>
        <v>0</v>
      </c>
      <c r="I2293">
        <f>-39519424/10^6</f>
        <v>-39.519424000000001</v>
      </c>
      <c r="J2293">
        <f>0</f>
        <v>0</v>
      </c>
    </row>
    <row r="2294" spans="1:10" x14ac:dyDescent="0.25">
      <c r="A2294" t="s">
        <v>2303</v>
      </c>
      <c r="B2294" t="s">
        <v>11</v>
      </c>
      <c r="C2294">
        <v>120.17103125</v>
      </c>
      <c r="D2294">
        <f>0</f>
        <v>0</v>
      </c>
      <c r="E2294">
        <f>656323242/10^6</f>
        <v>656.32324200000005</v>
      </c>
      <c r="F2294">
        <f>0</f>
        <v>0</v>
      </c>
      <c r="G2294">
        <f>232023407/10^6</f>
        <v>232.02340699999999</v>
      </c>
      <c r="H2294">
        <f>0</f>
        <v>0</v>
      </c>
      <c r="I2294">
        <f>-39700737/10^6</f>
        <v>-39.700736999999997</v>
      </c>
      <c r="J2294">
        <f>0</f>
        <v>0</v>
      </c>
    </row>
    <row r="2295" spans="1:10" x14ac:dyDescent="0.25">
      <c r="A2295" t="s">
        <v>2304</v>
      </c>
      <c r="B2295" t="s">
        <v>11</v>
      </c>
      <c r="C2295">
        <v>119.952484375</v>
      </c>
      <c r="D2295">
        <f>0</f>
        <v>0</v>
      </c>
      <c r="E2295">
        <f>657517883/10^6</f>
        <v>657.51788299999998</v>
      </c>
      <c r="F2295">
        <f>0</f>
        <v>0</v>
      </c>
      <c r="G2295">
        <f>231986511/10^6</f>
        <v>231.98651100000001</v>
      </c>
      <c r="H2295">
        <f>0</f>
        <v>0</v>
      </c>
      <c r="I2295">
        <f>-3964727/10^5</f>
        <v>-39.647269999999999</v>
      </c>
      <c r="J2295">
        <f>0</f>
        <v>0</v>
      </c>
    </row>
    <row r="2296" spans="1:10" x14ac:dyDescent="0.25">
      <c r="A2296" t="s">
        <v>2305</v>
      </c>
      <c r="B2296" t="s">
        <v>11</v>
      </c>
      <c r="C2296">
        <v>119.72854687500001</v>
      </c>
      <c r="D2296">
        <f>0</f>
        <v>0</v>
      </c>
      <c r="E2296">
        <f>658739807/10^6</f>
        <v>658.73980700000004</v>
      </c>
      <c r="F2296">
        <f>0</f>
        <v>0</v>
      </c>
      <c r="G2296">
        <f>23194841/10^5</f>
        <v>231.94841</v>
      </c>
      <c r="H2296">
        <f>0</f>
        <v>0</v>
      </c>
      <c r="I2296">
        <f>-39696224/10^6</f>
        <v>-39.696224000000001</v>
      </c>
      <c r="J2296">
        <f>0</f>
        <v>0</v>
      </c>
    </row>
    <row r="2297" spans="1:10" x14ac:dyDescent="0.25">
      <c r="A2297" t="s">
        <v>2306</v>
      </c>
      <c r="B2297" t="s">
        <v>11</v>
      </c>
      <c r="C2297">
        <v>119.49972656300001</v>
      </c>
      <c r="D2297">
        <f>0</f>
        <v>0</v>
      </c>
      <c r="E2297">
        <f>659953491/10^6</f>
        <v>659.95349099999999</v>
      </c>
      <c r="F2297">
        <f>0</f>
        <v>0</v>
      </c>
      <c r="G2297">
        <f>2319151/10^4</f>
        <v>231.9151</v>
      </c>
      <c r="H2297">
        <f>0</f>
        <v>0</v>
      </c>
      <c r="I2297">
        <f>-39940578/10^6</f>
        <v>-39.940578000000002</v>
      </c>
      <c r="J2297">
        <f>0</f>
        <v>0</v>
      </c>
    </row>
    <row r="2298" spans="1:10" x14ac:dyDescent="0.25">
      <c r="A2298" t="s">
        <v>2307</v>
      </c>
      <c r="B2298" t="s">
        <v>11</v>
      </c>
      <c r="C2298">
        <v>119.27270312500001</v>
      </c>
      <c r="D2298">
        <f>0</f>
        <v>0</v>
      </c>
      <c r="E2298">
        <f>661249817/10^6</f>
        <v>661.24981700000001</v>
      </c>
      <c r="F2298">
        <f>0</f>
        <v>0</v>
      </c>
      <c r="G2298">
        <f>231875916/10^6</f>
        <v>231.87591599999999</v>
      </c>
      <c r="H2298">
        <f>0</f>
        <v>0</v>
      </c>
      <c r="I2298">
        <f>-40136501/10^6</f>
        <v>-40.136501000000003</v>
      </c>
      <c r="J2298">
        <f>0</f>
        <v>0</v>
      </c>
    </row>
    <row r="2299" spans="1:10" x14ac:dyDescent="0.25">
      <c r="A2299" t="s">
        <v>2308</v>
      </c>
      <c r="B2299" t="s">
        <v>11</v>
      </c>
      <c r="C2299">
        <v>119.04128125</v>
      </c>
      <c r="D2299">
        <f>0</f>
        <v>0</v>
      </c>
      <c r="E2299">
        <f>662413208/10^6</f>
        <v>662.41320800000005</v>
      </c>
      <c r="F2299">
        <f>0</f>
        <v>0</v>
      </c>
      <c r="G2299">
        <f>231832596/10^6</f>
        <v>231.832596</v>
      </c>
      <c r="H2299">
        <f>0</f>
        <v>0</v>
      </c>
      <c r="I2299">
        <f>-40118263/10^6</f>
        <v>-40.118262999999999</v>
      </c>
      <c r="J2299">
        <f>0</f>
        <v>0</v>
      </c>
    </row>
    <row r="2300" spans="1:10" x14ac:dyDescent="0.25">
      <c r="A2300" t="s">
        <v>2309</v>
      </c>
      <c r="B2300" t="s">
        <v>11</v>
      </c>
      <c r="C2300">
        <v>118.815015625</v>
      </c>
      <c r="D2300">
        <f>0</f>
        <v>0</v>
      </c>
      <c r="E2300">
        <f>663535461/10^6</f>
        <v>663.53546100000005</v>
      </c>
      <c r="F2300">
        <f>0</f>
        <v>0</v>
      </c>
      <c r="G2300">
        <f>231775742/10^6</f>
        <v>231.77574200000001</v>
      </c>
      <c r="H2300">
        <f>0</f>
        <v>0</v>
      </c>
      <c r="I2300">
        <f>-40239292/10^6</f>
        <v>-40.239291999999999</v>
      </c>
      <c r="J2300">
        <f>0</f>
        <v>0</v>
      </c>
    </row>
    <row r="2301" spans="1:10" x14ac:dyDescent="0.25">
      <c r="A2301" t="s">
        <v>2310</v>
      </c>
      <c r="B2301" t="s">
        <v>11</v>
      </c>
      <c r="C2301">
        <v>118.59046875</v>
      </c>
      <c r="D2301">
        <f>0</f>
        <v>0</v>
      </c>
      <c r="E2301">
        <f>664864929/10^6</f>
        <v>664.86492899999996</v>
      </c>
      <c r="F2301">
        <f>0</f>
        <v>0</v>
      </c>
      <c r="G2301">
        <f>231726685/10^6</f>
        <v>231.726685</v>
      </c>
      <c r="H2301">
        <f>0</f>
        <v>0</v>
      </c>
      <c r="I2301">
        <f>-40552856/10^6</f>
        <v>-40.552855999999998</v>
      </c>
      <c r="J2301">
        <f>0</f>
        <v>0</v>
      </c>
    </row>
    <row r="2302" spans="1:10" x14ac:dyDescent="0.25">
      <c r="A2302" t="s">
        <v>2311</v>
      </c>
      <c r="B2302" t="s">
        <v>11</v>
      </c>
      <c r="C2302">
        <v>118.351445313</v>
      </c>
      <c r="D2302">
        <f>0</f>
        <v>0</v>
      </c>
      <c r="E2302">
        <f>666233521/10^6</f>
        <v>666.233521</v>
      </c>
      <c r="F2302">
        <f>0</f>
        <v>0</v>
      </c>
      <c r="G2302">
        <f>2316884/10^4</f>
        <v>231.6884</v>
      </c>
      <c r="H2302">
        <f>0</f>
        <v>0</v>
      </c>
      <c r="I2302">
        <f>-4067218/10^5</f>
        <v>-40.672179999999997</v>
      </c>
      <c r="J2302">
        <f>0</f>
        <v>0</v>
      </c>
    </row>
    <row r="2303" spans="1:10" x14ac:dyDescent="0.25">
      <c r="A2303" t="s">
        <v>2312</v>
      </c>
      <c r="B2303" t="s">
        <v>11</v>
      </c>
      <c r="C2303">
        <v>118.087914063</v>
      </c>
      <c r="D2303">
        <f>0</f>
        <v>0</v>
      </c>
      <c r="E2303">
        <f>667659729/10^6</f>
        <v>667.65972899999997</v>
      </c>
      <c r="F2303">
        <f>0</f>
        <v>0</v>
      </c>
      <c r="G2303">
        <f>231627075/10^6</f>
        <v>231.62707499999999</v>
      </c>
      <c r="H2303">
        <f>0</f>
        <v>0</v>
      </c>
      <c r="I2303">
        <f>-40830872/10^6</f>
        <v>-40.830871999999999</v>
      </c>
      <c r="J2303">
        <f>0</f>
        <v>0</v>
      </c>
    </row>
    <row r="2304" spans="1:10" x14ac:dyDescent="0.25">
      <c r="A2304" t="s">
        <v>2313</v>
      </c>
      <c r="B2304" t="s">
        <v>11</v>
      </c>
      <c r="C2304">
        <v>117.80690625</v>
      </c>
      <c r="D2304">
        <f>0</f>
        <v>0</v>
      </c>
      <c r="E2304">
        <f>669168457/10^6</f>
        <v>669.16845699999999</v>
      </c>
      <c r="F2304">
        <f>0</f>
        <v>0</v>
      </c>
      <c r="G2304">
        <f>231574219/10^6</f>
        <v>231.574219</v>
      </c>
      <c r="H2304">
        <f>0</f>
        <v>0</v>
      </c>
      <c r="I2304">
        <f>-40966248/10^6</f>
        <v>-40.966248</v>
      </c>
      <c r="J2304">
        <f>0</f>
        <v>0</v>
      </c>
    </row>
    <row r="2305" spans="1:10" x14ac:dyDescent="0.25">
      <c r="A2305" t="s">
        <v>2314</v>
      </c>
      <c r="B2305" t="s">
        <v>11</v>
      </c>
      <c r="C2305">
        <v>117.524</v>
      </c>
      <c r="D2305">
        <f>0</f>
        <v>0</v>
      </c>
      <c r="E2305">
        <f>670693848/10^6</f>
        <v>670.693848</v>
      </c>
      <c r="F2305">
        <f>0</f>
        <v>0</v>
      </c>
      <c r="G2305">
        <f>231548508/10^6</f>
        <v>231.548508</v>
      </c>
      <c r="H2305">
        <f>0</f>
        <v>0</v>
      </c>
      <c r="I2305">
        <f>-4097636/10^5</f>
        <v>-40.97636</v>
      </c>
      <c r="J2305">
        <f>0</f>
        <v>0</v>
      </c>
    </row>
    <row r="2306" spans="1:10" x14ac:dyDescent="0.25">
      <c r="A2306" t="s">
        <v>2315</v>
      </c>
      <c r="B2306" t="s">
        <v>11</v>
      </c>
      <c r="C2306">
        <v>117.226765625</v>
      </c>
      <c r="D2306">
        <f>0</f>
        <v>0</v>
      </c>
      <c r="E2306">
        <f>672501709/10^6</f>
        <v>672.50170900000001</v>
      </c>
      <c r="F2306">
        <f>0</f>
        <v>0</v>
      </c>
      <c r="G2306">
        <f>2315159/10^4</f>
        <v>231.51589999999999</v>
      </c>
      <c r="H2306">
        <f>0</f>
        <v>0</v>
      </c>
      <c r="I2306">
        <f>-41281548/10^6</f>
        <v>-41.281548000000001</v>
      </c>
      <c r="J2306">
        <f>0</f>
        <v>0</v>
      </c>
    </row>
    <row r="2307" spans="1:10" x14ac:dyDescent="0.25">
      <c r="A2307" t="s">
        <v>2316</v>
      </c>
      <c r="B2307" t="s">
        <v>11</v>
      </c>
      <c r="C2307">
        <v>116.92390625</v>
      </c>
      <c r="D2307">
        <f>0</f>
        <v>0</v>
      </c>
      <c r="E2307">
        <f>674387329/10^6</f>
        <v>674.38732900000002</v>
      </c>
      <c r="F2307">
        <f>0</f>
        <v>0</v>
      </c>
      <c r="G2307">
        <f>23147081/10^5</f>
        <v>231.47081</v>
      </c>
      <c r="H2307">
        <f>0</f>
        <v>0</v>
      </c>
      <c r="I2307">
        <f>-41720726/10^6</f>
        <v>-41.720725999999999</v>
      </c>
      <c r="J2307">
        <f>0</f>
        <v>0</v>
      </c>
    </row>
    <row r="2308" spans="1:10" x14ac:dyDescent="0.25">
      <c r="A2308" t="s">
        <v>2317</v>
      </c>
      <c r="B2308" t="s">
        <v>11</v>
      </c>
      <c r="C2308">
        <v>116.63491406300001</v>
      </c>
      <c r="D2308">
        <f>0</f>
        <v>0</v>
      </c>
      <c r="E2308">
        <f>675959839/10^6</f>
        <v>675.95983899999999</v>
      </c>
      <c r="F2308">
        <f>0</f>
        <v>0</v>
      </c>
      <c r="G2308">
        <f>231424591/10^6</f>
        <v>231.42459099999999</v>
      </c>
      <c r="H2308">
        <f>0</f>
        <v>0</v>
      </c>
      <c r="I2308">
        <f>-41809071/10^6</f>
        <v>-41.809071000000003</v>
      </c>
      <c r="J2308">
        <f>0</f>
        <v>0</v>
      </c>
    </row>
    <row r="2309" spans="1:10" x14ac:dyDescent="0.25">
      <c r="A2309" t="s">
        <v>2318</v>
      </c>
      <c r="B2309" t="s">
        <v>11</v>
      </c>
      <c r="C2309">
        <v>116.327960938</v>
      </c>
      <c r="D2309">
        <f>0</f>
        <v>0</v>
      </c>
      <c r="E2309">
        <f>677643738/10^6</f>
        <v>677.64373799999998</v>
      </c>
      <c r="F2309">
        <f>0</f>
        <v>0</v>
      </c>
      <c r="G2309">
        <f>231355972/10^6</f>
        <v>231.35597200000001</v>
      </c>
      <c r="H2309">
        <f>0</f>
        <v>0</v>
      </c>
      <c r="I2309">
        <f>-41897793/10^6</f>
        <v>-41.897793</v>
      </c>
      <c r="J2309">
        <f>0</f>
        <v>0</v>
      </c>
    </row>
    <row r="2310" spans="1:10" x14ac:dyDescent="0.25">
      <c r="A2310" t="s">
        <v>2319</v>
      </c>
      <c r="B2310" t="s">
        <v>11</v>
      </c>
      <c r="C2310">
        <v>115.99253125</v>
      </c>
      <c r="D2310">
        <f>0</f>
        <v>0</v>
      </c>
      <c r="E2310">
        <f>679641235/10^6</f>
        <v>679.64123500000005</v>
      </c>
      <c r="F2310">
        <f>0</f>
        <v>0</v>
      </c>
      <c r="G2310">
        <f>231299576/10^6</f>
        <v>231.299576</v>
      </c>
      <c r="H2310">
        <f>0</f>
        <v>0</v>
      </c>
      <c r="I2310">
        <f>-42195637/10^6</f>
        <v>-42.195636999999998</v>
      </c>
      <c r="J2310">
        <f>0</f>
        <v>0</v>
      </c>
    </row>
    <row r="2311" spans="1:10" x14ac:dyDescent="0.25">
      <c r="A2311" t="s">
        <v>2320</v>
      </c>
      <c r="B2311" t="s">
        <v>11</v>
      </c>
      <c r="C2311">
        <v>115.67931249999999</v>
      </c>
      <c r="D2311">
        <f>0</f>
        <v>0</v>
      </c>
      <c r="E2311">
        <f>681521423/10^6</f>
        <v>681.52142300000003</v>
      </c>
      <c r="F2311">
        <f>0</f>
        <v>0</v>
      </c>
      <c r="G2311">
        <f>231250473/10^6</f>
        <v>231.250473</v>
      </c>
      <c r="H2311">
        <f>0</f>
        <v>0</v>
      </c>
      <c r="I2311">
        <f>-42465488/10^6</f>
        <v>-42.465488000000001</v>
      </c>
      <c r="J2311">
        <f>0</f>
        <v>0</v>
      </c>
    </row>
    <row r="2312" spans="1:10" x14ac:dyDescent="0.25">
      <c r="A2312" t="s">
        <v>2321</v>
      </c>
      <c r="B2312" t="s">
        <v>11</v>
      </c>
      <c r="C2312">
        <v>115.429367188</v>
      </c>
      <c r="D2312">
        <f>0</f>
        <v>0</v>
      </c>
      <c r="E2312">
        <f>68266156/10^5</f>
        <v>682.66156000000001</v>
      </c>
      <c r="F2312">
        <f>0</f>
        <v>0</v>
      </c>
      <c r="G2312">
        <f>231119003/10^6</f>
        <v>231.11900299999999</v>
      </c>
      <c r="H2312">
        <f>0</f>
        <v>0</v>
      </c>
      <c r="I2312">
        <f>-42570866/10^6</f>
        <v>-42.570866000000002</v>
      </c>
      <c r="J2312">
        <f>0</f>
        <v>0</v>
      </c>
    </row>
    <row r="2313" spans="1:10" x14ac:dyDescent="0.25">
      <c r="A2313" t="s">
        <v>2322</v>
      </c>
      <c r="B2313" t="s">
        <v>11</v>
      </c>
      <c r="C2313">
        <v>115.256890625</v>
      </c>
      <c r="D2313">
        <f>0</f>
        <v>0</v>
      </c>
      <c r="E2313">
        <f>683477173/10^6</f>
        <v>683.47717299999999</v>
      </c>
      <c r="F2313">
        <f>0</f>
        <v>0</v>
      </c>
      <c r="G2313">
        <f>231045074/10^6</f>
        <v>231.045074</v>
      </c>
      <c r="H2313">
        <f>0</f>
        <v>0</v>
      </c>
      <c r="I2313">
        <f>-42635712/10^6</f>
        <v>-42.635711999999998</v>
      </c>
      <c r="J2313">
        <f>0</f>
        <v>0</v>
      </c>
    </row>
    <row r="2314" spans="1:10" x14ac:dyDescent="0.25">
      <c r="A2314" t="s">
        <v>2323</v>
      </c>
      <c r="B2314" t="s">
        <v>11</v>
      </c>
      <c r="C2314">
        <v>115.125164063</v>
      </c>
      <c r="D2314">
        <f>0</f>
        <v>0</v>
      </c>
      <c r="E2314">
        <f>684537781/10^6</f>
        <v>684.537781</v>
      </c>
      <c r="F2314">
        <f>0</f>
        <v>0</v>
      </c>
      <c r="G2314">
        <f>231067993/10^6</f>
        <v>231.067993</v>
      </c>
      <c r="H2314">
        <f>0</f>
        <v>0</v>
      </c>
      <c r="I2314">
        <f>-42981457/10^6</f>
        <v>-42.981456999999999</v>
      </c>
      <c r="J2314">
        <f>0</f>
        <v>0</v>
      </c>
    </row>
    <row r="2315" spans="1:10" x14ac:dyDescent="0.25">
      <c r="A2315" t="s">
        <v>2324</v>
      </c>
      <c r="B2315" t="s">
        <v>11</v>
      </c>
      <c r="C2315">
        <v>115.018421875</v>
      </c>
      <c r="D2315">
        <f>0</f>
        <v>0</v>
      </c>
      <c r="E2315">
        <f>685146423/10^6</f>
        <v>685.14642300000003</v>
      </c>
      <c r="F2315">
        <f>0</f>
        <v>0</v>
      </c>
      <c r="G2315">
        <f>231026871/10^6</f>
        <v>231.026871</v>
      </c>
      <c r="H2315">
        <f>0</f>
        <v>0</v>
      </c>
      <c r="I2315">
        <f>-43140686/10^6</f>
        <v>-43.140686000000002</v>
      </c>
      <c r="J2315">
        <f>0</f>
        <v>0</v>
      </c>
    </row>
    <row r="2316" spans="1:10" x14ac:dyDescent="0.25">
      <c r="A2316" t="s">
        <v>2325</v>
      </c>
      <c r="B2316" t="s">
        <v>11</v>
      </c>
      <c r="C2316">
        <v>114.927515625</v>
      </c>
      <c r="D2316">
        <f>0</f>
        <v>0</v>
      </c>
      <c r="E2316">
        <f>685508179/10^6</f>
        <v>685.50817900000004</v>
      </c>
      <c r="F2316">
        <f>0</f>
        <v>0</v>
      </c>
      <c r="G2316">
        <f>230995377/10^6</f>
        <v>230.99537699999999</v>
      </c>
      <c r="H2316">
        <f>0</f>
        <v>0</v>
      </c>
      <c r="I2316">
        <f>-43035057/10^6</f>
        <v>-43.035057000000002</v>
      </c>
      <c r="J2316">
        <f>0</f>
        <v>0</v>
      </c>
    </row>
    <row r="2317" spans="1:10" x14ac:dyDescent="0.25">
      <c r="A2317" t="s">
        <v>2326</v>
      </c>
      <c r="B2317" t="s">
        <v>11</v>
      </c>
      <c r="C2317">
        <v>114.80322656300001</v>
      </c>
      <c r="D2317">
        <f>0</f>
        <v>0</v>
      </c>
      <c r="E2317">
        <f>686324707/10^6</f>
        <v>686.32470699999999</v>
      </c>
      <c r="F2317">
        <f>0</f>
        <v>0</v>
      </c>
      <c r="G2317">
        <f>230985413/10^6</f>
        <v>230.98541299999999</v>
      </c>
      <c r="H2317">
        <f>0</f>
        <v>0</v>
      </c>
      <c r="I2317">
        <f>-43208187/10^6</f>
        <v>-43.208187000000002</v>
      </c>
      <c r="J2317">
        <f>0</f>
        <v>0</v>
      </c>
    </row>
    <row r="2318" spans="1:10" x14ac:dyDescent="0.25">
      <c r="A2318" t="s">
        <v>2327</v>
      </c>
      <c r="B2318" t="s">
        <v>11</v>
      </c>
      <c r="C2318">
        <v>114.69415625000001</v>
      </c>
      <c r="D2318">
        <f>0</f>
        <v>0</v>
      </c>
      <c r="E2318">
        <f>686817932/10^6</f>
        <v>686.81793200000004</v>
      </c>
      <c r="F2318">
        <f>0</f>
        <v>0</v>
      </c>
      <c r="G2318">
        <f>230896408/10^6</f>
        <v>230.89640800000001</v>
      </c>
      <c r="H2318">
        <f>0</f>
        <v>0</v>
      </c>
      <c r="I2318">
        <f>-43412319/10^6</f>
        <v>-43.412318999999997</v>
      </c>
      <c r="J2318">
        <f>0</f>
        <v>0</v>
      </c>
    </row>
    <row r="2319" spans="1:10" x14ac:dyDescent="0.25">
      <c r="A2319" t="s">
        <v>2328</v>
      </c>
      <c r="B2319" t="s">
        <v>11</v>
      </c>
      <c r="C2319">
        <v>114.634101563</v>
      </c>
      <c r="D2319">
        <f>0</f>
        <v>0</v>
      </c>
      <c r="E2319">
        <f>686921082/10^6</f>
        <v>686.92108199999996</v>
      </c>
      <c r="F2319">
        <f>0</f>
        <v>0</v>
      </c>
      <c r="G2319">
        <f>230851242/10^6</f>
        <v>230.85124200000001</v>
      </c>
      <c r="H2319">
        <f>0</f>
        <v>0</v>
      </c>
      <c r="I2319">
        <f>-43250805/10^6</f>
        <v>-43.250805</v>
      </c>
      <c r="J2319">
        <f>0</f>
        <v>0</v>
      </c>
    </row>
    <row r="2320" spans="1:10" x14ac:dyDescent="0.25">
      <c r="A2320" t="s">
        <v>2329</v>
      </c>
      <c r="B2320" t="s">
        <v>11</v>
      </c>
      <c r="C2320">
        <v>114.57048437500001</v>
      </c>
      <c r="D2320">
        <f>0</f>
        <v>0</v>
      </c>
      <c r="E2320">
        <f>687417603/10^6</f>
        <v>687.41760299999999</v>
      </c>
      <c r="F2320">
        <f>0</f>
        <v>0</v>
      </c>
      <c r="G2320">
        <f>230854202/10^6</f>
        <v>230.85420199999999</v>
      </c>
      <c r="H2320">
        <f>0</f>
        <v>0</v>
      </c>
      <c r="I2320">
        <f>-43313843/10^6</f>
        <v>-43.313842999999999</v>
      </c>
      <c r="J2320">
        <f>0</f>
        <v>0</v>
      </c>
    </row>
    <row r="2321" spans="1:10" x14ac:dyDescent="0.25">
      <c r="A2321" t="s">
        <v>2330</v>
      </c>
      <c r="B2321" t="s">
        <v>11</v>
      </c>
      <c r="C2321">
        <v>114.50471874999999</v>
      </c>
      <c r="D2321">
        <f>0</f>
        <v>0</v>
      </c>
      <c r="E2321">
        <f>687950317/10^6</f>
        <v>687.95031700000004</v>
      </c>
      <c r="F2321">
        <f>0</f>
        <v>0</v>
      </c>
      <c r="G2321">
        <f>230852692/10^6</f>
        <v>230.85269199999999</v>
      </c>
      <c r="H2321">
        <f>0</f>
        <v>0</v>
      </c>
      <c r="I2321">
        <f>-43549152/10^6</f>
        <v>-43.549151999999999</v>
      </c>
      <c r="J2321">
        <f>0</f>
        <v>0</v>
      </c>
    </row>
    <row r="2322" spans="1:10" x14ac:dyDescent="0.25">
      <c r="A2322" t="s">
        <v>2331</v>
      </c>
      <c r="B2322" t="s">
        <v>11</v>
      </c>
      <c r="C2322">
        <v>114.44417187499999</v>
      </c>
      <c r="D2322">
        <f>0</f>
        <v>0</v>
      </c>
      <c r="E2322">
        <f>688276001/10^6</f>
        <v>688.27600099999995</v>
      </c>
      <c r="F2322">
        <f>0</f>
        <v>0</v>
      </c>
      <c r="G2322">
        <f>230841705/10^6</f>
        <v>230.84170499999999</v>
      </c>
      <c r="H2322">
        <f>0</f>
        <v>0</v>
      </c>
      <c r="I2322">
        <f>-4353249/10^5</f>
        <v>-43.532490000000003</v>
      </c>
      <c r="J2322">
        <f>0</f>
        <v>0</v>
      </c>
    </row>
    <row r="2323" spans="1:10" x14ac:dyDescent="0.25">
      <c r="A2323" t="s">
        <v>2332</v>
      </c>
      <c r="B2323" t="s">
        <v>11</v>
      </c>
      <c r="C2323">
        <v>114.37192968800001</v>
      </c>
      <c r="D2323">
        <f>0</f>
        <v>0</v>
      </c>
      <c r="E2323">
        <f>688745789/10^6</f>
        <v>688.74578899999995</v>
      </c>
      <c r="F2323">
        <f>0</f>
        <v>0</v>
      </c>
      <c r="G2323">
        <f>230840942/10^6</f>
        <v>230.84094200000001</v>
      </c>
      <c r="H2323">
        <f>0</f>
        <v>0</v>
      </c>
      <c r="I2323">
        <f>-43635239/10^6</f>
        <v>-43.635238999999999</v>
      </c>
      <c r="J2323">
        <f>0</f>
        <v>0</v>
      </c>
    </row>
    <row r="2324" spans="1:10" x14ac:dyDescent="0.25">
      <c r="A2324" t="s">
        <v>2333</v>
      </c>
      <c r="B2324" t="s">
        <v>11</v>
      </c>
      <c r="C2324">
        <v>114.312359375</v>
      </c>
      <c r="D2324">
        <f>0</f>
        <v>0</v>
      </c>
      <c r="E2324">
        <f>68890564/10^5</f>
        <v>688.90563999999995</v>
      </c>
      <c r="F2324">
        <f>0</f>
        <v>0</v>
      </c>
      <c r="G2324">
        <f>230771545/10^6</f>
        <v>230.771545</v>
      </c>
      <c r="H2324">
        <f>0</f>
        <v>0</v>
      </c>
      <c r="I2324">
        <f>-43662502/10^6</f>
        <v>-43.662502000000003</v>
      </c>
      <c r="J2324">
        <f>0</f>
        <v>0</v>
      </c>
    </row>
    <row r="2325" spans="1:10" x14ac:dyDescent="0.25">
      <c r="A2325" t="s">
        <v>2334</v>
      </c>
      <c r="B2325" t="s">
        <v>11</v>
      </c>
      <c r="C2325">
        <v>0</v>
      </c>
      <c r="D2325">
        <f>2</f>
        <v>2</v>
      </c>
      <c r="F2325">
        <f>2</f>
        <v>2</v>
      </c>
      <c r="H2325">
        <f>2</f>
        <v>2</v>
      </c>
      <c r="J2325">
        <f>2</f>
        <v>2</v>
      </c>
    </row>
    <row r="2326" spans="1:10" x14ac:dyDescent="0.25">
      <c r="A2326" t="s">
        <v>2335</v>
      </c>
      <c r="B2326" t="s">
        <v>11</v>
      </c>
      <c r="C2326">
        <v>114.41635156300001</v>
      </c>
      <c r="D2326">
        <f>0</f>
        <v>0</v>
      </c>
      <c r="E2326">
        <f>688344421/10^6</f>
        <v>688.34442100000001</v>
      </c>
      <c r="F2326">
        <f>0</f>
        <v>0</v>
      </c>
      <c r="G2326">
        <f>230787109/10^6</f>
        <v>230.78710899999999</v>
      </c>
      <c r="H2326">
        <f>0</f>
        <v>0</v>
      </c>
      <c r="I2326">
        <f>-43651627/10^6</f>
        <v>-43.651626999999998</v>
      </c>
      <c r="J2326">
        <f>0</f>
        <v>0</v>
      </c>
    </row>
    <row r="2327" spans="1:10" x14ac:dyDescent="0.25">
      <c r="A2327" t="s">
        <v>2336</v>
      </c>
      <c r="B2327" t="s">
        <v>11</v>
      </c>
      <c r="C2327">
        <v>114.55485937500001</v>
      </c>
      <c r="D2327">
        <f>0</f>
        <v>0</v>
      </c>
      <c r="E2327">
        <f>687631958/10^6</f>
        <v>687.63195800000005</v>
      </c>
      <c r="F2327">
        <f>0</f>
        <v>0</v>
      </c>
      <c r="G2327">
        <f>230855682/10^6</f>
        <v>230.855682</v>
      </c>
      <c r="H2327">
        <f>0</f>
        <v>0</v>
      </c>
      <c r="I2327">
        <f>-4352037/10^5</f>
        <v>-43.52037</v>
      </c>
      <c r="J2327">
        <f>0</f>
        <v>0</v>
      </c>
    </row>
    <row r="2328" spans="1:10" x14ac:dyDescent="0.25">
      <c r="A2328" t="s">
        <v>2337</v>
      </c>
      <c r="B2328" t="s">
        <v>11</v>
      </c>
      <c r="C2328">
        <v>114.709210938</v>
      </c>
      <c r="D2328">
        <f>0</f>
        <v>0</v>
      </c>
      <c r="E2328">
        <f>68683429/10^5</f>
        <v>686.83429000000001</v>
      </c>
      <c r="F2328">
        <f>0</f>
        <v>0</v>
      </c>
      <c r="G2328">
        <f>23091394/10^5</f>
        <v>230.91394</v>
      </c>
      <c r="H2328">
        <f>0</f>
        <v>0</v>
      </c>
      <c r="I2328">
        <f>-43468731/10^6</f>
        <v>-43.468730999999998</v>
      </c>
      <c r="J2328">
        <f>0</f>
        <v>0</v>
      </c>
    </row>
    <row r="2329" spans="1:10" x14ac:dyDescent="0.25">
      <c r="A2329" t="s">
        <v>2338</v>
      </c>
      <c r="B2329" t="s">
        <v>11</v>
      </c>
      <c r="C2329">
        <v>0</v>
      </c>
      <c r="D2329">
        <f>2</f>
        <v>2</v>
      </c>
      <c r="F2329">
        <f>2</f>
        <v>2</v>
      </c>
      <c r="H2329">
        <f>2</f>
        <v>2</v>
      </c>
      <c r="J2329">
        <f>2</f>
        <v>2</v>
      </c>
    </row>
    <row r="2330" spans="1:10" x14ac:dyDescent="0.25">
      <c r="A2330" t="s">
        <v>2339</v>
      </c>
      <c r="B2330" t="s">
        <v>11</v>
      </c>
      <c r="C2330">
        <v>115.21778125</v>
      </c>
      <c r="D2330">
        <f>0</f>
        <v>0</v>
      </c>
      <c r="E2330">
        <f>684171326/10^6</f>
        <v>684.17132600000002</v>
      </c>
      <c r="F2330">
        <f>0</f>
        <v>0</v>
      </c>
      <c r="G2330">
        <f>231100845/10^6</f>
        <v>231.10084499999999</v>
      </c>
      <c r="H2330">
        <f>0</f>
        <v>0</v>
      </c>
      <c r="I2330">
        <f>-43169991/10^6</f>
        <v>-43.169991000000003</v>
      </c>
      <c r="J2330">
        <f>0</f>
        <v>0</v>
      </c>
    </row>
    <row r="2331" spans="1:10" x14ac:dyDescent="0.25">
      <c r="A2331" t="s">
        <v>2340</v>
      </c>
      <c r="B2331" t="s">
        <v>11</v>
      </c>
      <c r="C2331">
        <v>115.55503125</v>
      </c>
      <c r="D2331">
        <f>0</f>
        <v>0</v>
      </c>
      <c r="E2331">
        <f>682344604/10^6</f>
        <v>682.344604</v>
      </c>
      <c r="F2331">
        <f>0</f>
        <v>0</v>
      </c>
      <c r="G2331">
        <f>231204697/10^6</f>
        <v>231.20469700000001</v>
      </c>
      <c r="H2331">
        <f>0</f>
        <v>0</v>
      </c>
      <c r="I2331">
        <f>-42964375/10^6</f>
        <v>-42.964374999999997</v>
      </c>
      <c r="J2331">
        <f>0</f>
        <v>0</v>
      </c>
    </row>
    <row r="2332" spans="1:10" x14ac:dyDescent="0.25">
      <c r="A2332" t="s">
        <v>2341</v>
      </c>
      <c r="B2332" t="s">
        <v>11</v>
      </c>
      <c r="C2332">
        <v>115.89832812500001</v>
      </c>
      <c r="D2332">
        <f>0</f>
        <v>0</v>
      </c>
      <c r="E2332">
        <f>680443481/10^6</f>
        <v>680.44348100000002</v>
      </c>
      <c r="F2332">
        <f>0</f>
        <v>0</v>
      </c>
      <c r="G2332">
        <f>231295776/10^6</f>
        <v>231.29577599999999</v>
      </c>
      <c r="H2332">
        <f>0</f>
        <v>0</v>
      </c>
      <c r="I2332">
        <f>-4278196/10^5</f>
        <v>-42.781959999999998</v>
      </c>
      <c r="J2332">
        <f>0</f>
        <v>0</v>
      </c>
    </row>
    <row r="2333" spans="1:10" x14ac:dyDescent="0.25">
      <c r="A2333" t="s">
        <v>2342</v>
      </c>
      <c r="B2333" t="s">
        <v>11</v>
      </c>
      <c r="C2333">
        <v>116.270171875</v>
      </c>
      <c r="D2333">
        <f>0</f>
        <v>0</v>
      </c>
      <c r="E2333">
        <f>678360718/10^6</f>
        <v>678.36071800000002</v>
      </c>
      <c r="F2333">
        <f>0</f>
        <v>0</v>
      </c>
      <c r="G2333">
        <f>231391129/10^6</f>
        <v>231.39112900000001</v>
      </c>
      <c r="H2333">
        <f>0</f>
        <v>0</v>
      </c>
      <c r="I2333">
        <f>-42531193/10^6</f>
        <v>-42.531193000000002</v>
      </c>
      <c r="J2333">
        <f>0</f>
        <v>0</v>
      </c>
    </row>
    <row r="2334" spans="1:10" x14ac:dyDescent="0.25">
      <c r="A2334" t="s">
        <v>2343</v>
      </c>
      <c r="B2334" t="s">
        <v>11</v>
      </c>
      <c r="C2334">
        <v>116.67165625</v>
      </c>
      <c r="D2334">
        <f>0</f>
        <v>0</v>
      </c>
      <c r="E2334">
        <f>676127869/10^6</f>
        <v>676.12786900000003</v>
      </c>
      <c r="F2334">
        <f>0</f>
        <v>0</v>
      </c>
      <c r="G2334">
        <f>231480667/10^6</f>
        <v>231.48066700000001</v>
      </c>
      <c r="H2334">
        <f>0</f>
        <v>0</v>
      </c>
      <c r="I2334">
        <f>-42328152/10^6</f>
        <v>-42.328152000000003</v>
      </c>
      <c r="J2334">
        <f>0</f>
        <v>0</v>
      </c>
    </row>
    <row r="2335" spans="1:10" x14ac:dyDescent="0.25">
      <c r="A2335" t="s">
        <v>2344</v>
      </c>
      <c r="B2335" t="s">
        <v>11</v>
      </c>
      <c r="C2335">
        <v>117.126671875</v>
      </c>
      <c r="D2335">
        <f>0</f>
        <v>0</v>
      </c>
      <c r="E2335">
        <f>673469788/10^6</f>
        <v>673.46978799999999</v>
      </c>
      <c r="F2335">
        <f>0</f>
        <v>0</v>
      </c>
      <c r="G2335">
        <f>23154483/10^5</f>
        <v>231.54482999999999</v>
      </c>
      <c r="H2335">
        <f>0</f>
        <v>0</v>
      </c>
      <c r="I2335">
        <f>-42001686/10^6</f>
        <v>-42.001685999999999</v>
      </c>
      <c r="J2335">
        <f>0</f>
        <v>0</v>
      </c>
    </row>
    <row r="2336" spans="1:10" x14ac:dyDescent="0.25">
      <c r="A2336" t="s">
        <v>2345</v>
      </c>
      <c r="B2336" t="s">
        <v>11</v>
      </c>
      <c r="C2336">
        <v>117.639015625</v>
      </c>
      <c r="D2336">
        <f>0</f>
        <v>0</v>
      </c>
      <c r="E2336">
        <f>670575317/10^6</f>
        <v>670.57531700000004</v>
      </c>
      <c r="F2336">
        <f>0</f>
        <v>0</v>
      </c>
      <c r="G2336">
        <f>231610794/10^6</f>
        <v>231.610794</v>
      </c>
      <c r="H2336">
        <f>0</f>
        <v>0</v>
      </c>
      <c r="I2336">
        <f>-41745182/10^6</f>
        <v>-41.745182</v>
      </c>
      <c r="J2336">
        <f>0</f>
        <v>0</v>
      </c>
    </row>
    <row r="2337" spans="1:10" x14ac:dyDescent="0.25">
      <c r="A2337" t="s">
        <v>2346</v>
      </c>
      <c r="B2337" t="s">
        <v>11</v>
      </c>
      <c r="C2337">
        <v>118.188546875</v>
      </c>
      <c r="D2337">
        <f>0</f>
        <v>0</v>
      </c>
      <c r="E2337">
        <f>667464661/10^6</f>
        <v>667.46466099999998</v>
      </c>
      <c r="F2337">
        <f>0</f>
        <v>0</v>
      </c>
      <c r="G2337">
        <f>231690628/10^6</f>
        <v>231.690628</v>
      </c>
      <c r="H2337">
        <f>0</f>
        <v>0</v>
      </c>
      <c r="I2337">
        <f>-41502728/10^6</f>
        <v>-41.502727999999998</v>
      </c>
      <c r="J2337">
        <f>0</f>
        <v>0</v>
      </c>
    </row>
    <row r="2338" spans="1:10" x14ac:dyDescent="0.25">
      <c r="A2338" t="s">
        <v>2347</v>
      </c>
      <c r="B2338" t="s">
        <v>11</v>
      </c>
      <c r="C2338">
        <v>118.791171875</v>
      </c>
      <c r="D2338">
        <f>0</f>
        <v>0</v>
      </c>
      <c r="E2338">
        <f>663926514/10^6</f>
        <v>663.926514</v>
      </c>
      <c r="F2338">
        <f>0</f>
        <v>0</v>
      </c>
      <c r="G2338">
        <f>231767868/10^6</f>
        <v>231.76786799999999</v>
      </c>
      <c r="H2338">
        <f>0</f>
        <v>0</v>
      </c>
      <c r="I2338">
        <f>-40975086/10^6</f>
        <v>-40.975085999999997</v>
      </c>
      <c r="J2338">
        <f>0</f>
        <v>0</v>
      </c>
    </row>
    <row r="2339" spans="1:10" x14ac:dyDescent="0.25">
      <c r="A2339" t="s">
        <v>2348</v>
      </c>
      <c r="B2339" t="s">
        <v>11</v>
      </c>
      <c r="C2339">
        <v>119.41719531300001</v>
      </c>
      <c r="D2339">
        <f>0</f>
        <v>0</v>
      </c>
      <c r="E2339">
        <f>660486267/10^6</f>
        <v>660.486267</v>
      </c>
      <c r="F2339">
        <f>0</f>
        <v>0</v>
      </c>
      <c r="G2339">
        <f>231839996/10^6</f>
        <v>231.83999600000001</v>
      </c>
      <c r="H2339">
        <f>0</f>
        <v>0</v>
      </c>
      <c r="I2339">
        <f>-4061742/10^5</f>
        <v>-40.617420000000003</v>
      </c>
      <c r="J2339">
        <f>0</f>
        <v>0</v>
      </c>
    </row>
    <row r="2340" spans="1:10" x14ac:dyDescent="0.25">
      <c r="A2340" t="s">
        <v>2349</v>
      </c>
      <c r="B2340" t="s">
        <v>11</v>
      </c>
      <c r="C2340">
        <v>120.0318125</v>
      </c>
      <c r="D2340">
        <f>0</f>
        <v>0</v>
      </c>
      <c r="E2340">
        <f>657063965/10^6</f>
        <v>657.06396500000005</v>
      </c>
      <c r="F2340">
        <f>0</f>
        <v>0</v>
      </c>
      <c r="G2340">
        <f>231917862/10^6</f>
        <v>231.91786200000001</v>
      </c>
      <c r="H2340">
        <f>0</f>
        <v>0</v>
      </c>
      <c r="I2340">
        <f>-40331982/10^6</f>
        <v>-40.331981999999996</v>
      </c>
      <c r="J2340">
        <f>0</f>
        <v>0</v>
      </c>
    </row>
    <row r="2341" spans="1:10" x14ac:dyDescent="0.25">
      <c r="A2341" t="s">
        <v>2350</v>
      </c>
      <c r="B2341" t="s">
        <v>11</v>
      </c>
      <c r="C2341">
        <v>120.61775</v>
      </c>
      <c r="D2341">
        <f>0</f>
        <v>0</v>
      </c>
      <c r="E2341">
        <f>653601257/10^6</f>
        <v>653.60125700000003</v>
      </c>
      <c r="F2341">
        <f>0</f>
        <v>0</v>
      </c>
      <c r="G2341">
        <f>231969025/10^6</f>
        <v>231.96902499999999</v>
      </c>
      <c r="H2341">
        <f>0</f>
        <v>0</v>
      </c>
      <c r="I2341">
        <f>-39840099/10^6</f>
        <v>-39.840099000000002</v>
      </c>
      <c r="J2341">
        <f>0</f>
        <v>0</v>
      </c>
    </row>
    <row r="2342" spans="1:10" x14ac:dyDescent="0.25">
      <c r="A2342" t="s">
        <v>2351</v>
      </c>
      <c r="B2342" t="s">
        <v>11</v>
      </c>
      <c r="C2342">
        <v>121.05835937499999</v>
      </c>
      <c r="D2342">
        <f>0</f>
        <v>0</v>
      </c>
      <c r="E2342">
        <f>651047607/10^6</f>
        <v>651.04760699999997</v>
      </c>
      <c r="F2342">
        <f>0</f>
        <v>0</v>
      </c>
      <c r="G2342">
        <f>231990585/10^6</f>
        <v>231.99058500000001</v>
      </c>
      <c r="H2342">
        <f>0</f>
        <v>0</v>
      </c>
      <c r="I2342">
        <f>-3952914/10^5</f>
        <v>-39.529139999999998</v>
      </c>
      <c r="J2342">
        <f>0</f>
        <v>0</v>
      </c>
    </row>
    <row r="2343" spans="1:10" x14ac:dyDescent="0.25">
      <c r="A2343" t="s">
        <v>2352</v>
      </c>
      <c r="B2343" t="s">
        <v>11</v>
      </c>
      <c r="C2343">
        <v>121.30610937500001</v>
      </c>
      <c r="D2343">
        <f>0</f>
        <v>0</v>
      </c>
      <c r="E2343">
        <f>649663208/10^6</f>
        <v>649.66320800000005</v>
      </c>
      <c r="F2343">
        <f>0</f>
        <v>0</v>
      </c>
      <c r="G2343">
        <f>232028732/10^6</f>
        <v>232.02873199999999</v>
      </c>
      <c r="H2343">
        <f>0</f>
        <v>0</v>
      </c>
      <c r="I2343">
        <f>-39323479/10^6</f>
        <v>-39.323478999999999</v>
      </c>
      <c r="J2343">
        <f>0</f>
        <v>0</v>
      </c>
    </row>
    <row r="2344" spans="1:10" x14ac:dyDescent="0.25">
      <c r="A2344" t="s">
        <v>2353</v>
      </c>
      <c r="B2344" t="s">
        <v>11</v>
      </c>
      <c r="C2344">
        <v>121.455664063</v>
      </c>
      <c r="D2344">
        <f>0</f>
        <v>0</v>
      </c>
      <c r="E2344">
        <f>648913635/10^6</f>
        <v>648.913635</v>
      </c>
      <c r="F2344">
        <f>0</f>
        <v>0</v>
      </c>
      <c r="G2344">
        <f>232073883/10^6</f>
        <v>232.073883</v>
      </c>
      <c r="H2344">
        <f>0</f>
        <v>0</v>
      </c>
      <c r="I2344">
        <f>-39059055/10^6</f>
        <v>-39.059055000000001</v>
      </c>
      <c r="J2344">
        <f>0</f>
        <v>0</v>
      </c>
    </row>
    <row r="2345" spans="1:10" x14ac:dyDescent="0.25">
      <c r="A2345" t="s">
        <v>2354</v>
      </c>
      <c r="B2345" t="s">
        <v>11</v>
      </c>
      <c r="C2345">
        <v>121.519195313</v>
      </c>
      <c r="D2345">
        <f>0</f>
        <v>0</v>
      </c>
      <c r="E2345">
        <f>648631836/10^6</f>
        <v>648.63183600000002</v>
      </c>
      <c r="F2345">
        <f>0</f>
        <v>0</v>
      </c>
      <c r="G2345">
        <f>232105972/10^6</f>
        <v>232.10597200000001</v>
      </c>
      <c r="H2345">
        <f>0</f>
        <v>0</v>
      </c>
      <c r="I2345">
        <f>-3904295/10^5</f>
        <v>-39.042949999999998</v>
      </c>
      <c r="J2345">
        <f>0</f>
        <v>0</v>
      </c>
    </row>
    <row r="2346" spans="1:10" x14ac:dyDescent="0.25">
      <c r="A2346" t="s">
        <v>2355</v>
      </c>
      <c r="B2346" t="s">
        <v>11</v>
      </c>
      <c r="C2346">
        <v>121.515609375</v>
      </c>
      <c r="D2346">
        <f>0</f>
        <v>0</v>
      </c>
      <c r="E2346">
        <f>648741699/10^6</f>
        <v>648.74169900000004</v>
      </c>
      <c r="F2346">
        <f>0</f>
        <v>0</v>
      </c>
      <c r="G2346">
        <f>232135818/10^6</f>
        <v>232.135818</v>
      </c>
      <c r="H2346">
        <f>0</f>
        <v>0</v>
      </c>
      <c r="I2346">
        <f>-39152561/10^6</f>
        <v>-39.152560999999999</v>
      </c>
      <c r="J2346">
        <f>0</f>
        <v>0</v>
      </c>
    </row>
    <row r="2347" spans="1:10" x14ac:dyDescent="0.25">
      <c r="A2347" t="s">
        <v>2356</v>
      </c>
      <c r="B2347" t="s">
        <v>11</v>
      </c>
      <c r="C2347">
        <v>121.479984375</v>
      </c>
      <c r="D2347">
        <f>0</f>
        <v>0</v>
      </c>
      <c r="E2347">
        <f>649066772/10^6</f>
        <v>649.06677200000001</v>
      </c>
      <c r="F2347">
        <f>0</f>
        <v>0</v>
      </c>
      <c r="G2347">
        <f>232156281/10^6</f>
        <v>232.15628100000001</v>
      </c>
      <c r="H2347">
        <f>0</f>
        <v>0</v>
      </c>
      <c r="I2347">
        <f>-39079632/10^6</f>
        <v>-39.079631999999997</v>
      </c>
      <c r="J2347">
        <f>0</f>
        <v>0</v>
      </c>
    </row>
    <row r="2348" spans="1:10" x14ac:dyDescent="0.25">
      <c r="A2348" t="s">
        <v>2357</v>
      </c>
      <c r="B2348" t="s">
        <v>11</v>
      </c>
      <c r="C2348">
        <v>121.382554688</v>
      </c>
      <c r="D2348">
        <f>0</f>
        <v>0</v>
      </c>
      <c r="E2348">
        <f>649637817/10^6</f>
        <v>649.63781700000004</v>
      </c>
      <c r="F2348">
        <f>0</f>
        <v>0</v>
      </c>
      <c r="G2348">
        <f>232163483/10^6</f>
        <v>232.16348300000001</v>
      </c>
      <c r="H2348">
        <f>0</f>
        <v>0</v>
      </c>
      <c r="I2348">
        <f>-39087704/10^6</f>
        <v>-39.087704000000002</v>
      </c>
      <c r="J2348">
        <f>0</f>
        <v>0</v>
      </c>
    </row>
    <row r="2349" spans="1:10" x14ac:dyDescent="0.25">
      <c r="A2349" t="s">
        <v>2358</v>
      </c>
      <c r="B2349" t="s">
        <v>11</v>
      </c>
      <c r="C2349">
        <v>121.244125</v>
      </c>
      <c r="D2349">
        <f>0</f>
        <v>0</v>
      </c>
      <c r="E2349">
        <f>650494141/10^6</f>
        <v>650.49414100000001</v>
      </c>
      <c r="F2349">
        <f>0</f>
        <v>0</v>
      </c>
      <c r="G2349">
        <f>232164856/10^6</f>
        <v>232.16485599999999</v>
      </c>
      <c r="H2349">
        <f>0</f>
        <v>0</v>
      </c>
      <c r="I2349">
        <f>-39282269/10^6</f>
        <v>-39.282268999999999</v>
      </c>
      <c r="J2349">
        <f>0</f>
        <v>0</v>
      </c>
    </row>
    <row r="2350" spans="1:10" x14ac:dyDescent="0.25">
      <c r="A2350" t="s">
        <v>2359</v>
      </c>
      <c r="B2350" t="s">
        <v>11</v>
      </c>
      <c r="C2350">
        <v>121.08675781300001</v>
      </c>
      <c r="D2350">
        <f>0</f>
        <v>0</v>
      </c>
      <c r="E2350">
        <f>651425415/10^6</f>
        <v>651.42541500000004</v>
      </c>
      <c r="F2350">
        <f>0</f>
        <v>0</v>
      </c>
      <c r="G2350">
        <f>232157532/10^6</f>
        <v>232.157532</v>
      </c>
      <c r="H2350">
        <f>0</f>
        <v>0</v>
      </c>
      <c r="I2350">
        <f>-39324127/10^6</f>
        <v>-39.324126999999997</v>
      </c>
      <c r="J2350">
        <f>0</f>
        <v>0</v>
      </c>
    </row>
    <row r="2351" spans="1:10" x14ac:dyDescent="0.25">
      <c r="A2351" t="s">
        <v>2360</v>
      </c>
      <c r="B2351" t="s">
        <v>11</v>
      </c>
      <c r="C2351">
        <v>120.902929688</v>
      </c>
      <c r="D2351">
        <f>0</f>
        <v>0</v>
      </c>
      <c r="E2351">
        <f>652217773/10^6</f>
        <v>652.21777299999997</v>
      </c>
      <c r="F2351">
        <f>0</f>
        <v>0</v>
      </c>
      <c r="G2351">
        <f>232115494/10^6</f>
        <v>232.11549400000001</v>
      </c>
      <c r="H2351">
        <f>0</f>
        <v>0</v>
      </c>
      <c r="I2351">
        <f>-39143692/10^6</f>
        <v>-39.143692000000001</v>
      </c>
      <c r="J2351">
        <f>0</f>
        <v>0</v>
      </c>
    </row>
    <row r="2352" spans="1:10" x14ac:dyDescent="0.25">
      <c r="A2352" t="s">
        <v>2361</v>
      </c>
      <c r="B2352" t="s">
        <v>11</v>
      </c>
      <c r="C2352">
        <v>120.676304688</v>
      </c>
      <c r="D2352">
        <f>0</f>
        <v>0</v>
      </c>
      <c r="E2352">
        <f>653407776/10^6</f>
        <v>653.40777600000001</v>
      </c>
      <c r="F2352">
        <f>0</f>
        <v>0</v>
      </c>
      <c r="G2352">
        <f>232059494/10^6</f>
        <v>232.059494</v>
      </c>
      <c r="H2352">
        <f>0</f>
        <v>0</v>
      </c>
      <c r="I2352">
        <f>-39316467/10^6</f>
        <v>-39.316467000000003</v>
      </c>
      <c r="J2352">
        <f>0</f>
        <v>0</v>
      </c>
    </row>
    <row r="2353" spans="1:10" x14ac:dyDescent="0.25">
      <c r="A2353" t="s">
        <v>2362</v>
      </c>
      <c r="B2353" t="s">
        <v>11</v>
      </c>
      <c r="C2353">
        <v>120.40763281300001</v>
      </c>
      <c r="D2353">
        <f>0</f>
        <v>0</v>
      </c>
      <c r="E2353">
        <f>654981812/10^6</f>
        <v>654.98181199999999</v>
      </c>
      <c r="F2353">
        <f>0</f>
        <v>0</v>
      </c>
      <c r="G2353">
        <f>232017731/10^6</f>
        <v>232.017731</v>
      </c>
      <c r="H2353">
        <f>0</f>
        <v>0</v>
      </c>
      <c r="I2353">
        <f>-39594025/10^6</f>
        <v>-39.594025000000002</v>
      </c>
      <c r="J2353">
        <f>0</f>
        <v>0</v>
      </c>
    </row>
    <row r="2354" spans="1:10" x14ac:dyDescent="0.25">
      <c r="A2354" t="s">
        <v>2363</v>
      </c>
      <c r="B2354" t="s">
        <v>11</v>
      </c>
      <c r="C2354">
        <v>120.11146093800001</v>
      </c>
      <c r="D2354">
        <f>0</f>
        <v>0</v>
      </c>
      <c r="E2354">
        <f>656521362/10^6</f>
        <v>656.52136199999995</v>
      </c>
      <c r="F2354">
        <f>0</f>
        <v>0</v>
      </c>
      <c r="G2354">
        <f>23196933/10^5</f>
        <v>231.96933000000001</v>
      </c>
      <c r="H2354">
        <f>0</f>
        <v>0</v>
      </c>
      <c r="I2354">
        <f>-3963179/10^5</f>
        <v>-39.631790000000002</v>
      </c>
      <c r="J2354">
        <f>0</f>
        <v>0</v>
      </c>
    </row>
    <row r="2355" spans="1:10" x14ac:dyDescent="0.25">
      <c r="A2355" t="s">
        <v>2364</v>
      </c>
      <c r="B2355" t="s">
        <v>11</v>
      </c>
      <c r="C2355">
        <v>0</v>
      </c>
      <c r="D2355">
        <f>2</f>
        <v>2</v>
      </c>
      <c r="F2355">
        <f>2</f>
        <v>2</v>
      </c>
      <c r="H2355">
        <f>2</f>
        <v>2</v>
      </c>
      <c r="J2355">
        <f>2</f>
        <v>2</v>
      </c>
    </row>
    <row r="2356" spans="1:10" x14ac:dyDescent="0.25">
      <c r="A2356" t="s">
        <v>2365</v>
      </c>
      <c r="B2356" t="s">
        <v>11</v>
      </c>
      <c r="C2356">
        <v>119.492648438</v>
      </c>
      <c r="D2356">
        <f>0</f>
        <v>0</v>
      </c>
      <c r="E2356">
        <f>659840515/10^6</f>
        <v>659.84051499999998</v>
      </c>
      <c r="F2356">
        <f>0</f>
        <v>0</v>
      </c>
      <c r="G2356">
        <f>23185733/10^5</f>
        <v>231.85732999999999</v>
      </c>
      <c r="H2356">
        <f>0</f>
        <v>0</v>
      </c>
      <c r="I2356">
        <f>-39845642/10^6</f>
        <v>-39.845641999999998</v>
      </c>
      <c r="J2356">
        <f>0</f>
        <v>0</v>
      </c>
    </row>
    <row r="2357" spans="1:10" x14ac:dyDescent="0.25">
      <c r="A2357" t="s">
        <v>2366</v>
      </c>
      <c r="B2357" t="s">
        <v>11</v>
      </c>
      <c r="C2357">
        <v>119.137765625</v>
      </c>
      <c r="D2357">
        <f>0</f>
        <v>0</v>
      </c>
      <c r="E2357">
        <f>661719971/10^6</f>
        <v>661.71997099999999</v>
      </c>
      <c r="F2357">
        <f>0</f>
        <v>0</v>
      </c>
      <c r="G2357">
        <f>231802597/10^6</f>
        <v>231.80259699999999</v>
      </c>
      <c r="H2357">
        <f>0</f>
        <v>0</v>
      </c>
      <c r="I2357">
        <f>-39935722/10^6</f>
        <v>-39.935721999999998</v>
      </c>
      <c r="J2357">
        <f>0</f>
        <v>0</v>
      </c>
    </row>
    <row r="2358" spans="1:10" x14ac:dyDescent="0.25">
      <c r="A2358" t="s">
        <v>2367</v>
      </c>
      <c r="B2358" t="s">
        <v>11</v>
      </c>
      <c r="C2358">
        <v>118.753921875</v>
      </c>
      <c r="D2358">
        <f>0</f>
        <v>0</v>
      </c>
      <c r="E2358">
        <f>663800598/10^6</f>
        <v>663.80059800000004</v>
      </c>
      <c r="F2358">
        <f>0</f>
        <v>0</v>
      </c>
      <c r="G2358">
        <f>231728073/10^6</f>
        <v>231.72807299999999</v>
      </c>
      <c r="H2358">
        <f>0</f>
        <v>0</v>
      </c>
      <c r="I2358">
        <f>-40273941/10^6</f>
        <v>-40.273941000000001</v>
      </c>
      <c r="J2358">
        <f>0</f>
        <v>0</v>
      </c>
    </row>
    <row r="2359" spans="1:10" x14ac:dyDescent="0.25">
      <c r="A2359" t="s">
        <v>2368</v>
      </c>
      <c r="B2359" t="s">
        <v>11</v>
      </c>
      <c r="C2359">
        <v>118.35396875000001</v>
      </c>
      <c r="D2359">
        <f>0</f>
        <v>0</v>
      </c>
      <c r="E2359">
        <f>665974304/10^6</f>
        <v>665.97430399999996</v>
      </c>
      <c r="F2359">
        <f>0</f>
        <v>0</v>
      </c>
      <c r="G2359">
        <f>231644913/10^6</f>
        <v>231.644913</v>
      </c>
      <c r="H2359">
        <f>0</f>
        <v>0</v>
      </c>
      <c r="I2359">
        <f>-40540253/10^6</f>
        <v>-40.540253</v>
      </c>
      <c r="J2359">
        <f>0</f>
        <v>0</v>
      </c>
    </row>
    <row r="2360" spans="1:10" x14ac:dyDescent="0.25">
      <c r="A2360" t="s">
        <v>2369</v>
      </c>
      <c r="B2360" t="s">
        <v>11</v>
      </c>
      <c r="C2360">
        <v>117.93359375</v>
      </c>
      <c r="D2360">
        <f>0</f>
        <v>0</v>
      </c>
      <c r="E2360">
        <f>668306946/10^6</f>
        <v>668.30694600000004</v>
      </c>
      <c r="F2360">
        <f>0</f>
        <v>0</v>
      </c>
      <c r="G2360">
        <f>231561646/10^6</f>
        <v>231.561646</v>
      </c>
      <c r="H2360">
        <f>0</f>
        <v>0</v>
      </c>
      <c r="I2360">
        <f>-40721172/10^6</f>
        <v>-40.721172000000003</v>
      </c>
      <c r="J2360">
        <f>0</f>
        <v>0</v>
      </c>
    </row>
    <row r="2361" spans="1:10" x14ac:dyDescent="0.25">
      <c r="A2361" t="s">
        <v>2370</v>
      </c>
      <c r="B2361" t="s">
        <v>11</v>
      </c>
      <c r="C2361">
        <v>117.49940625000001</v>
      </c>
      <c r="D2361">
        <f>0</f>
        <v>0</v>
      </c>
      <c r="E2361">
        <f>670706299/10^6</f>
        <v>670.70629899999994</v>
      </c>
      <c r="F2361">
        <f>0</f>
        <v>0</v>
      </c>
      <c r="G2361">
        <f>231470657/10^6</f>
        <v>231.47065699999999</v>
      </c>
      <c r="H2361">
        <f>0</f>
        <v>0</v>
      </c>
      <c r="I2361">
        <f>-40940617/10^6</f>
        <v>-40.940617000000003</v>
      </c>
      <c r="J2361">
        <f>0</f>
        <v>0</v>
      </c>
    </row>
    <row r="2362" spans="1:10" x14ac:dyDescent="0.25">
      <c r="A2362" t="s">
        <v>2371</v>
      </c>
      <c r="B2362" t="s">
        <v>11</v>
      </c>
      <c r="C2362">
        <v>117.069</v>
      </c>
      <c r="D2362">
        <f>0</f>
        <v>0</v>
      </c>
      <c r="E2362">
        <f>673055542/10^6</f>
        <v>673.05554199999995</v>
      </c>
      <c r="F2362">
        <f>0</f>
        <v>0</v>
      </c>
      <c r="G2362">
        <f>231387726/10^6</f>
        <v>231.38772599999999</v>
      </c>
      <c r="H2362">
        <f>0</f>
        <v>0</v>
      </c>
      <c r="I2362">
        <f>-41194191/10^6</f>
        <v>-41.194190999999996</v>
      </c>
      <c r="J2362">
        <f>0</f>
        <v>0</v>
      </c>
    </row>
    <row r="2363" spans="1:10" x14ac:dyDescent="0.25">
      <c r="A2363" t="s">
        <v>2372</v>
      </c>
      <c r="B2363" t="s">
        <v>11</v>
      </c>
      <c r="C2363">
        <v>116.626265625</v>
      </c>
      <c r="D2363">
        <f>0</f>
        <v>0</v>
      </c>
      <c r="E2363">
        <f>675536865/10^6</f>
        <v>675.53686500000003</v>
      </c>
      <c r="F2363">
        <f>0</f>
        <v>0</v>
      </c>
      <c r="G2363">
        <f>231295837/10^6</f>
        <v>231.29583700000001</v>
      </c>
      <c r="H2363">
        <f>0</f>
        <v>0</v>
      </c>
      <c r="I2363">
        <f>-41598217/10^6</f>
        <v>-41.598216999999998</v>
      </c>
      <c r="J2363">
        <f>0</f>
        <v>0</v>
      </c>
    </row>
    <row r="2364" spans="1:10" x14ac:dyDescent="0.25">
      <c r="A2364" t="s">
        <v>2373</v>
      </c>
      <c r="B2364" t="s">
        <v>11</v>
      </c>
      <c r="C2364">
        <v>116.19026562499999</v>
      </c>
      <c r="D2364">
        <f>0</f>
        <v>0</v>
      </c>
      <c r="E2364">
        <f>678021973/10^6</f>
        <v>678.021973</v>
      </c>
      <c r="F2364">
        <f>0</f>
        <v>0</v>
      </c>
      <c r="G2364">
        <f>231207581/10^6</f>
        <v>231.207581</v>
      </c>
      <c r="H2364">
        <f>0</f>
        <v>0</v>
      </c>
      <c r="I2364">
        <f>-41952072/10^6</f>
        <v>-41.952072000000001</v>
      </c>
      <c r="J2364">
        <f>0</f>
        <v>0</v>
      </c>
    </row>
    <row r="2365" spans="1:10" x14ac:dyDescent="0.25">
      <c r="A2365" t="s">
        <v>2374</v>
      </c>
      <c r="B2365" t="s">
        <v>11</v>
      </c>
      <c r="C2365">
        <v>115.829375</v>
      </c>
      <c r="D2365">
        <f>0</f>
        <v>0</v>
      </c>
      <c r="E2365">
        <f>680059448/10^6</f>
        <v>680.05944799999997</v>
      </c>
      <c r="F2365">
        <f>0</f>
        <v>0</v>
      </c>
      <c r="G2365">
        <f>231143204/10^6</f>
        <v>231.143204</v>
      </c>
      <c r="H2365">
        <f>0</f>
        <v>0</v>
      </c>
      <c r="I2365">
        <f>-42207687/10^6</f>
        <v>-42.207687</v>
      </c>
      <c r="J2365">
        <f>0</f>
        <v>0</v>
      </c>
    </row>
    <row r="2366" spans="1:10" x14ac:dyDescent="0.25">
      <c r="A2366" t="s">
        <v>2375</v>
      </c>
      <c r="B2366" t="s">
        <v>11</v>
      </c>
      <c r="C2366">
        <v>115.538421875</v>
      </c>
      <c r="D2366">
        <f>0</f>
        <v>0</v>
      </c>
      <c r="E2366">
        <f>681772583/10^6</f>
        <v>681.77258300000005</v>
      </c>
      <c r="F2366">
        <f>0</f>
        <v>0</v>
      </c>
      <c r="G2366">
        <f>23104248/10^5</f>
        <v>231.04248000000001</v>
      </c>
      <c r="H2366">
        <f>0</f>
        <v>0</v>
      </c>
      <c r="I2366">
        <f>-42665138/10^6</f>
        <v>-42.665137999999999</v>
      </c>
      <c r="J2366">
        <f>0</f>
        <v>0</v>
      </c>
    </row>
    <row r="2367" spans="1:10" x14ac:dyDescent="0.25">
      <c r="A2367" t="s">
        <v>2376</v>
      </c>
      <c r="B2367" t="s">
        <v>11</v>
      </c>
      <c r="C2367">
        <v>115.302851563</v>
      </c>
      <c r="D2367">
        <f>0</f>
        <v>0</v>
      </c>
      <c r="E2367">
        <f>68315271/10^5</f>
        <v>683.15270999999996</v>
      </c>
      <c r="F2367">
        <f>0</f>
        <v>0</v>
      </c>
      <c r="G2367">
        <f>230942657/10^6</f>
        <v>230.942657</v>
      </c>
      <c r="H2367">
        <f>0</f>
        <v>0</v>
      </c>
      <c r="I2367">
        <f>-4306115/10^5</f>
        <v>-43.061149999999998</v>
      </c>
      <c r="J2367">
        <f>0</f>
        <v>0</v>
      </c>
    </row>
    <row r="2368" spans="1:10" x14ac:dyDescent="0.25">
      <c r="A2368" t="s">
        <v>2377</v>
      </c>
      <c r="B2368" t="s">
        <v>11</v>
      </c>
      <c r="C2368">
        <v>115.21920312500001</v>
      </c>
      <c r="D2368">
        <f>0</f>
        <v>0</v>
      </c>
      <c r="E2368">
        <f>683626648/10^6</f>
        <v>683.62664800000005</v>
      </c>
      <c r="F2368">
        <f>0</f>
        <v>0</v>
      </c>
      <c r="G2368">
        <f>23093866/10^5</f>
        <v>230.93866</v>
      </c>
      <c r="H2368">
        <f>0</f>
        <v>0</v>
      </c>
      <c r="I2368">
        <f>-4305294/10^5</f>
        <v>-43.05294</v>
      </c>
      <c r="J2368">
        <f>0</f>
        <v>0</v>
      </c>
    </row>
    <row r="2369" spans="1:10" x14ac:dyDescent="0.25">
      <c r="A2369" t="s">
        <v>2378</v>
      </c>
      <c r="B2369" t="s">
        <v>11</v>
      </c>
      <c r="C2369">
        <v>115.194710938</v>
      </c>
      <c r="D2369">
        <f>0</f>
        <v>0</v>
      </c>
      <c r="E2369">
        <f>683810242/10^6</f>
        <v>683.81024200000002</v>
      </c>
      <c r="F2369">
        <f>0</f>
        <v>0</v>
      </c>
      <c r="G2369">
        <f>230994385/10^6</f>
        <v>230.99438499999999</v>
      </c>
      <c r="H2369">
        <f>0</f>
        <v>0</v>
      </c>
      <c r="I2369">
        <f>-42781586/10^6</f>
        <v>-42.781585999999997</v>
      </c>
      <c r="J2369">
        <f>0</f>
        <v>0</v>
      </c>
    </row>
    <row r="2370" spans="1:10" x14ac:dyDescent="0.25">
      <c r="A2370" t="s">
        <v>2379</v>
      </c>
      <c r="B2370" t="s">
        <v>11</v>
      </c>
      <c r="C2370">
        <v>115.02908593800001</v>
      </c>
      <c r="D2370">
        <f>0</f>
        <v>0</v>
      </c>
      <c r="E2370">
        <f>684718079/10^6</f>
        <v>684.71807899999999</v>
      </c>
      <c r="F2370">
        <f>0</f>
        <v>0</v>
      </c>
      <c r="G2370">
        <f>230976395/10^6</f>
        <v>230.976395</v>
      </c>
      <c r="H2370">
        <f>0</f>
        <v>0</v>
      </c>
      <c r="I2370">
        <f>-42778461/10^6</f>
        <v>-42.778461</v>
      </c>
      <c r="J2370">
        <f>0</f>
        <v>0</v>
      </c>
    </row>
    <row r="2371" spans="1:10" x14ac:dyDescent="0.25">
      <c r="A2371" t="s">
        <v>2380</v>
      </c>
      <c r="B2371" t="s">
        <v>11</v>
      </c>
      <c r="C2371">
        <v>114.852132813</v>
      </c>
      <c r="D2371">
        <f>0</f>
        <v>0</v>
      </c>
      <c r="E2371">
        <f>685792542/10^6</f>
        <v>685.79254200000003</v>
      </c>
      <c r="F2371">
        <f>0</f>
        <v>0</v>
      </c>
      <c r="G2371">
        <f>230894791/10^6</f>
        <v>230.894791</v>
      </c>
      <c r="H2371">
        <f>0</f>
        <v>0</v>
      </c>
      <c r="I2371">
        <f>-43237602/10^6</f>
        <v>-43.237602000000003</v>
      </c>
      <c r="J2371">
        <f>0</f>
        <v>0</v>
      </c>
    </row>
    <row r="2372" spans="1:10" x14ac:dyDescent="0.25">
      <c r="A2372" t="s">
        <v>2381</v>
      </c>
      <c r="B2372" t="s">
        <v>11</v>
      </c>
      <c r="C2372">
        <v>114.820890625</v>
      </c>
      <c r="D2372">
        <f>0</f>
        <v>0</v>
      </c>
      <c r="E2372">
        <f>686193542/10^6</f>
        <v>686.19354199999998</v>
      </c>
      <c r="F2372">
        <f>0</f>
        <v>0</v>
      </c>
      <c r="G2372">
        <f>230917679/10^6</f>
        <v>230.91767899999999</v>
      </c>
      <c r="H2372">
        <f>0</f>
        <v>0</v>
      </c>
      <c r="I2372">
        <f>-43446712/10^6</f>
        <v>-43.446711999999998</v>
      </c>
      <c r="J2372">
        <f>0</f>
        <v>0</v>
      </c>
    </row>
    <row r="2373" spans="1:10" x14ac:dyDescent="0.25">
      <c r="A2373" t="s">
        <v>2382</v>
      </c>
      <c r="B2373" t="s">
        <v>11</v>
      </c>
      <c r="C2373">
        <v>114.85121875</v>
      </c>
      <c r="D2373">
        <f>0</f>
        <v>0</v>
      </c>
      <c r="E2373">
        <f>68600885/10^5</f>
        <v>686.00885000000005</v>
      </c>
      <c r="F2373">
        <f>0</f>
        <v>0</v>
      </c>
      <c r="G2373">
        <f>230967606/10^6</f>
        <v>230.96760599999999</v>
      </c>
      <c r="H2373">
        <f>0</f>
        <v>0</v>
      </c>
      <c r="I2373">
        <f>-43226078/10^6</f>
        <v>-43.226078000000001</v>
      </c>
      <c r="J2373">
        <f>0</f>
        <v>0</v>
      </c>
    </row>
    <row r="2374" spans="1:10" x14ac:dyDescent="0.25">
      <c r="A2374" t="s">
        <v>2383</v>
      </c>
      <c r="B2374" t="s">
        <v>11</v>
      </c>
      <c r="C2374">
        <v>114.895414063</v>
      </c>
      <c r="D2374">
        <f>0</f>
        <v>0</v>
      </c>
      <c r="E2374">
        <f>685711609/10^6</f>
        <v>685.71160899999995</v>
      </c>
      <c r="F2374">
        <f>0</f>
        <v>0</v>
      </c>
      <c r="G2374">
        <f>230960861/10^6</f>
        <v>230.96086099999999</v>
      </c>
      <c r="H2374">
        <f>0</f>
        <v>0</v>
      </c>
      <c r="I2374">
        <f>-43212566/10^6</f>
        <v>-43.212566000000002</v>
      </c>
      <c r="J2374">
        <f>0</f>
        <v>0</v>
      </c>
    </row>
    <row r="2375" spans="1:10" x14ac:dyDescent="0.25">
      <c r="A2375" t="s">
        <v>2384</v>
      </c>
      <c r="B2375" t="s">
        <v>11</v>
      </c>
      <c r="C2375">
        <v>114.97409374999999</v>
      </c>
      <c r="D2375">
        <f>0</f>
        <v>0</v>
      </c>
      <c r="E2375">
        <f>685391541/10^6</f>
        <v>685.39154099999996</v>
      </c>
      <c r="F2375">
        <f>0</f>
        <v>0</v>
      </c>
      <c r="G2375">
        <f>231006348/10^6</f>
        <v>231.006348</v>
      </c>
      <c r="H2375">
        <f>0</f>
        <v>0</v>
      </c>
      <c r="I2375">
        <f>-43324539/10^6</f>
        <v>-43.324539000000001</v>
      </c>
      <c r="J2375">
        <f>0</f>
        <v>0</v>
      </c>
    </row>
    <row r="2376" spans="1:10" x14ac:dyDescent="0.25">
      <c r="A2376" t="s">
        <v>2385</v>
      </c>
      <c r="B2376" t="s">
        <v>11</v>
      </c>
      <c r="C2376">
        <v>115.0678125</v>
      </c>
      <c r="D2376">
        <f>0</f>
        <v>0</v>
      </c>
      <c r="E2376">
        <f>684906555/10^6</f>
        <v>684.90655500000003</v>
      </c>
      <c r="F2376">
        <f>0</f>
        <v>0</v>
      </c>
      <c r="G2376">
        <f>231063385/10^6</f>
        <v>231.06338500000001</v>
      </c>
      <c r="H2376">
        <f>0</f>
        <v>0</v>
      </c>
      <c r="I2376">
        <f>-43180119/10^6</f>
        <v>-43.180118999999998</v>
      </c>
      <c r="J2376">
        <f>0</f>
        <v>0</v>
      </c>
    </row>
    <row r="2377" spans="1:10" x14ac:dyDescent="0.25">
      <c r="A2377" t="s">
        <v>2386</v>
      </c>
      <c r="B2377" t="s">
        <v>11</v>
      </c>
      <c r="C2377">
        <v>115.17203125</v>
      </c>
      <c r="D2377">
        <f>0</f>
        <v>0</v>
      </c>
      <c r="E2377">
        <f>684361328/10^6</f>
        <v>684.36132799999996</v>
      </c>
      <c r="F2377">
        <f>0</f>
        <v>0</v>
      </c>
      <c r="G2377">
        <f>231112717/10^6</f>
        <v>231.112717</v>
      </c>
      <c r="H2377">
        <f>0</f>
        <v>0</v>
      </c>
      <c r="I2377">
        <f>-42955399/10^6</f>
        <v>-42.955399</v>
      </c>
      <c r="J2377">
        <f>0</f>
        <v>0</v>
      </c>
    </row>
    <row r="2378" spans="1:10" x14ac:dyDescent="0.25">
      <c r="A2378" t="s">
        <v>2387</v>
      </c>
      <c r="B2378" t="s">
        <v>11</v>
      </c>
      <c r="C2378">
        <v>115.27584375000001</v>
      </c>
      <c r="D2378">
        <f>0</f>
        <v>0</v>
      </c>
      <c r="E2378">
        <f>683836182/10^6</f>
        <v>683.83618200000001</v>
      </c>
      <c r="F2378">
        <f>0</f>
        <v>0</v>
      </c>
      <c r="G2378">
        <f>231172485/10^6</f>
        <v>231.17248499999999</v>
      </c>
      <c r="H2378">
        <f>0</f>
        <v>0</v>
      </c>
      <c r="I2378">
        <f>-42820129/10^6</f>
        <v>-42.820129000000001</v>
      </c>
      <c r="J2378">
        <f>0</f>
        <v>0</v>
      </c>
    </row>
    <row r="2379" spans="1:10" x14ac:dyDescent="0.25">
      <c r="A2379" t="s">
        <v>2388</v>
      </c>
      <c r="B2379" t="s">
        <v>11</v>
      </c>
      <c r="C2379">
        <v>115.39923437500001</v>
      </c>
      <c r="D2379">
        <f>0</f>
        <v>0</v>
      </c>
      <c r="E2379">
        <f>683180054/10^6</f>
        <v>683.18005400000004</v>
      </c>
      <c r="F2379">
        <f>0</f>
        <v>0</v>
      </c>
      <c r="G2379">
        <f>231182343/10^6</f>
        <v>231.182343</v>
      </c>
      <c r="H2379">
        <f>0</f>
        <v>0</v>
      </c>
      <c r="I2379">
        <f>-42919212/10^6</f>
        <v>-42.919212000000002</v>
      </c>
      <c r="J2379">
        <f>0</f>
        <v>0</v>
      </c>
    </row>
    <row r="2380" spans="1:10" x14ac:dyDescent="0.25">
      <c r="A2380" t="s">
        <v>2389</v>
      </c>
      <c r="B2380" t="s">
        <v>11</v>
      </c>
      <c r="C2380">
        <v>115.579070313</v>
      </c>
      <c r="D2380">
        <f>0</f>
        <v>0</v>
      </c>
      <c r="E2380">
        <f>682136719/10^6</f>
        <v>682.13671899999997</v>
      </c>
      <c r="F2380">
        <f>0</f>
        <v>0</v>
      </c>
      <c r="G2380">
        <f>231188644/10^6</f>
        <v>231.18864400000001</v>
      </c>
      <c r="H2380">
        <f>0</f>
        <v>0</v>
      </c>
      <c r="I2380">
        <f>-42948112/10^6</f>
        <v>-42.948112000000002</v>
      </c>
      <c r="J2380">
        <f>0</f>
        <v>0</v>
      </c>
    </row>
    <row r="2381" spans="1:10" x14ac:dyDescent="0.25">
      <c r="A2381" t="s">
        <v>2390</v>
      </c>
      <c r="B2381" t="s">
        <v>11</v>
      </c>
      <c r="C2381">
        <v>115.80971093800001</v>
      </c>
      <c r="D2381">
        <f>0</f>
        <v>0</v>
      </c>
      <c r="E2381">
        <f>680798401/10^6</f>
        <v>680.79840100000001</v>
      </c>
      <c r="F2381">
        <f>0</f>
        <v>0</v>
      </c>
      <c r="G2381">
        <f>231277878/10^6</f>
        <v>231.27787799999999</v>
      </c>
      <c r="H2381">
        <f>0</f>
        <v>0</v>
      </c>
      <c r="I2381">
        <f>-42618752/10^6</f>
        <v>-42.618752000000001</v>
      </c>
      <c r="J2381">
        <f>0</f>
        <v>0</v>
      </c>
    </row>
    <row r="2382" spans="1:10" x14ac:dyDescent="0.25">
      <c r="A2382" t="s">
        <v>2391</v>
      </c>
      <c r="B2382" t="s">
        <v>11</v>
      </c>
      <c r="C2382">
        <v>116.03125</v>
      </c>
      <c r="D2382">
        <f>0</f>
        <v>0</v>
      </c>
      <c r="E2382">
        <f>679663696/10^6</f>
        <v>679.66369599999996</v>
      </c>
      <c r="F2382">
        <f>0</f>
        <v>0</v>
      </c>
      <c r="G2382">
        <f>231371567/10^6</f>
        <v>231.371567</v>
      </c>
      <c r="H2382">
        <f>0</f>
        <v>0</v>
      </c>
      <c r="I2382">
        <f>-42448692/10^6</f>
        <v>-42.448692000000001</v>
      </c>
      <c r="J2382">
        <f>0</f>
        <v>0</v>
      </c>
    </row>
    <row r="2383" spans="1:10" x14ac:dyDescent="0.25">
      <c r="A2383" t="s">
        <v>2392</v>
      </c>
      <c r="B2383" t="s">
        <v>11</v>
      </c>
      <c r="C2383">
        <v>116.223304688</v>
      </c>
      <c r="D2383">
        <f>0</f>
        <v>0</v>
      </c>
      <c r="E2383">
        <f>678705566/10^6</f>
        <v>678.70556599999998</v>
      </c>
      <c r="F2383">
        <f>0</f>
        <v>0</v>
      </c>
      <c r="G2383">
        <f>231425598/10^6</f>
        <v>231.42559800000001</v>
      </c>
      <c r="H2383">
        <f>0</f>
        <v>0</v>
      </c>
      <c r="I2383">
        <f>-42476391/10^6</f>
        <v>-42.476391</v>
      </c>
      <c r="J2383">
        <f>0</f>
        <v>0</v>
      </c>
    </row>
    <row r="2384" spans="1:10" x14ac:dyDescent="0.25">
      <c r="A2384" t="s">
        <v>2393</v>
      </c>
      <c r="B2384" t="s">
        <v>11</v>
      </c>
      <c r="C2384">
        <v>116.40489062499999</v>
      </c>
      <c r="D2384">
        <f>0</f>
        <v>0</v>
      </c>
      <c r="E2384">
        <f>677653381/10^6</f>
        <v>677.65338099999997</v>
      </c>
      <c r="F2384">
        <f>0</f>
        <v>0</v>
      </c>
      <c r="G2384">
        <f>231464828/10^6</f>
        <v>231.46482800000001</v>
      </c>
      <c r="H2384">
        <f>0</f>
        <v>0</v>
      </c>
      <c r="I2384">
        <f>-42330311/10^6</f>
        <v>-42.330311000000002</v>
      </c>
      <c r="J2384">
        <f>0</f>
        <v>0</v>
      </c>
    </row>
    <row r="2385" spans="1:10" x14ac:dyDescent="0.25">
      <c r="A2385" t="s">
        <v>2394</v>
      </c>
      <c r="B2385" t="s">
        <v>11</v>
      </c>
      <c r="C2385">
        <v>116.599171875</v>
      </c>
      <c r="D2385">
        <f>0</f>
        <v>0</v>
      </c>
      <c r="E2385">
        <f>676576294/10^6</f>
        <v>676.57629399999996</v>
      </c>
      <c r="F2385">
        <f>0</f>
        <v>0</v>
      </c>
      <c r="G2385">
        <f>23150293/10^5</f>
        <v>231.50292999999999</v>
      </c>
      <c r="H2385">
        <f>0</f>
        <v>0</v>
      </c>
      <c r="I2385">
        <f>-42213627/10^6</f>
        <v>-42.213627000000002</v>
      </c>
      <c r="J2385">
        <f>0</f>
        <v>0</v>
      </c>
    </row>
    <row r="2386" spans="1:10" x14ac:dyDescent="0.25">
      <c r="A2386" t="s">
        <v>2395</v>
      </c>
      <c r="B2386" t="s">
        <v>11</v>
      </c>
      <c r="C2386">
        <v>116.84603906300001</v>
      </c>
      <c r="D2386">
        <f>0</f>
        <v>0</v>
      </c>
      <c r="E2386">
        <f>675217224/10^6</f>
        <v>675.21722399999999</v>
      </c>
      <c r="F2386">
        <f>0</f>
        <v>0</v>
      </c>
      <c r="G2386">
        <f>231550217/10^6</f>
        <v>231.550217</v>
      </c>
      <c r="H2386">
        <f>0</f>
        <v>0</v>
      </c>
      <c r="I2386">
        <f>-42093994/10^6</f>
        <v>-42.093994000000002</v>
      </c>
      <c r="J2386">
        <f>0</f>
        <v>0</v>
      </c>
    </row>
    <row r="2387" spans="1:10" x14ac:dyDescent="0.25">
      <c r="A2387" t="s">
        <v>2396</v>
      </c>
      <c r="B2387" t="s">
        <v>11</v>
      </c>
      <c r="C2387">
        <v>117.150851563</v>
      </c>
      <c r="D2387">
        <f>0</f>
        <v>0</v>
      </c>
      <c r="E2387">
        <f>673389954/10^6</f>
        <v>673.38995399999999</v>
      </c>
      <c r="F2387">
        <f>0</f>
        <v>0</v>
      </c>
      <c r="G2387">
        <f>231593033/10^6</f>
        <v>231.59303299999999</v>
      </c>
      <c r="H2387">
        <f>0</f>
        <v>0</v>
      </c>
      <c r="I2387">
        <f>-41776794/10^6</f>
        <v>-41.776794000000002</v>
      </c>
      <c r="J2387">
        <f>0</f>
        <v>0</v>
      </c>
    </row>
    <row r="2388" spans="1:10" x14ac:dyDescent="0.25">
      <c r="A2388" t="s">
        <v>2397</v>
      </c>
      <c r="B2388" t="s">
        <v>11</v>
      </c>
      <c r="C2388">
        <v>117.49782031300001</v>
      </c>
      <c r="D2388">
        <f>0</f>
        <v>0</v>
      </c>
      <c r="E2388">
        <f>671360901/10^6</f>
        <v>671.36090100000001</v>
      </c>
      <c r="F2388">
        <f>0</f>
        <v>0</v>
      </c>
      <c r="G2388">
        <f>231635117/10^6</f>
        <v>231.63511700000001</v>
      </c>
      <c r="H2388">
        <f>0</f>
        <v>0</v>
      </c>
      <c r="I2388">
        <f>-41601284/10^6</f>
        <v>-41.601284</v>
      </c>
      <c r="J2388">
        <f>0</f>
        <v>0</v>
      </c>
    </row>
    <row r="2389" spans="1:10" x14ac:dyDescent="0.25">
      <c r="A2389" t="s">
        <v>2398</v>
      </c>
      <c r="B2389" t="s">
        <v>11</v>
      </c>
      <c r="C2389">
        <v>117.86633593800001</v>
      </c>
      <c r="D2389">
        <f>0</f>
        <v>0</v>
      </c>
      <c r="E2389">
        <f>669253723/10^6</f>
        <v>669.25372300000004</v>
      </c>
      <c r="F2389">
        <f>0</f>
        <v>0</v>
      </c>
      <c r="G2389">
        <f>23167865/10^5</f>
        <v>231.67865</v>
      </c>
      <c r="H2389">
        <f>0</f>
        <v>0</v>
      </c>
      <c r="I2389">
        <f>-41449528/10^6</f>
        <v>-41.449528000000001</v>
      </c>
      <c r="J2389">
        <f>0</f>
        <v>0</v>
      </c>
    </row>
    <row r="2390" spans="1:10" x14ac:dyDescent="0.25">
      <c r="A2390" t="s">
        <v>2399</v>
      </c>
      <c r="B2390" t="s">
        <v>11</v>
      </c>
      <c r="C2390">
        <v>0</v>
      </c>
      <c r="D2390">
        <f>2</f>
        <v>2</v>
      </c>
      <c r="F2390">
        <f>2</f>
        <v>2</v>
      </c>
      <c r="H2390">
        <f>2</f>
        <v>2</v>
      </c>
      <c r="J2390">
        <f>2</f>
        <v>2</v>
      </c>
    </row>
    <row r="2391" spans="1:10" x14ac:dyDescent="0.25">
      <c r="A2391" t="s">
        <v>2400</v>
      </c>
      <c r="B2391" t="s">
        <v>11</v>
      </c>
      <c r="C2391">
        <v>0</v>
      </c>
      <c r="D2391">
        <f>2</f>
        <v>2</v>
      </c>
      <c r="F2391">
        <f>2</f>
        <v>2</v>
      </c>
      <c r="H2391">
        <f>2</f>
        <v>2</v>
      </c>
      <c r="J2391">
        <f>2</f>
        <v>2</v>
      </c>
    </row>
    <row r="2392" spans="1:10" x14ac:dyDescent="0.25">
      <c r="A2392" t="s">
        <v>2401</v>
      </c>
      <c r="B2392" t="s">
        <v>11</v>
      </c>
      <c r="C2392">
        <v>118.91296875</v>
      </c>
      <c r="D2392">
        <f>0</f>
        <v>0</v>
      </c>
      <c r="E2392">
        <f>663337158/10^6</f>
        <v>663.33715800000004</v>
      </c>
      <c r="F2392">
        <f>0</f>
        <v>0</v>
      </c>
      <c r="G2392">
        <f>23183374/10^5</f>
        <v>231.83374000000001</v>
      </c>
      <c r="H2392">
        <f>0</f>
        <v>0</v>
      </c>
      <c r="I2392">
        <f>-40820877/10^6</f>
        <v>-40.820877000000003</v>
      </c>
      <c r="J2392">
        <f>0</f>
        <v>0</v>
      </c>
    </row>
    <row r="2393" spans="1:10" x14ac:dyDescent="0.25">
      <c r="A2393" t="s">
        <v>2402</v>
      </c>
      <c r="B2393" t="s">
        <v>11</v>
      </c>
      <c r="C2393">
        <v>0</v>
      </c>
      <c r="D2393">
        <f>2</f>
        <v>2</v>
      </c>
      <c r="F2393">
        <f>2</f>
        <v>2</v>
      </c>
      <c r="H2393">
        <f>2</f>
        <v>2</v>
      </c>
      <c r="J2393">
        <f>2</f>
        <v>2</v>
      </c>
    </row>
    <row r="2394" spans="1:10" x14ac:dyDescent="0.25">
      <c r="A2394" t="s">
        <v>2403</v>
      </c>
      <c r="B2394" t="s">
        <v>11</v>
      </c>
      <c r="C2394">
        <v>119.62146875000001</v>
      </c>
      <c r="D2394">
        <f>0</f>
        <v>0</v>
      </c>
      <c r="E2394">
        <f>659224609/10^6</f>
        <v>659.22460899999999</v>
      </c>
      <c r="F2394">
        <f>0</f>
        <v>0</v>
      </c>
      <c r="G2394">
        <f>231915085/10^6</f>
        <v>231.915085</v>
      </c>
      <c r="H2394">
        <f>0</f>
        <v>0</v>
      </c>
      <c r="I2394">
        <f>-40173794/10^6</f>
        <v>-40.173794000000001</v>
      </c>
      <c r="J2394">
        <f>0</f>
        <v>0</v>
      </c>
    </row>
    <row r="2395" spans="1:10" x14ac:dyDescent="0.25">
      <c r="A2395" t="s">
        <v>2404</v>
      </c>
      <c r="B2395" t="s">
        <v>11</v>
      </c>
      <c r="C2395">
        <v>119.966757813</v>
      </c>
      <c r="D2395">
        <f>0</f>
        <v>0</v>
      </c>
      <c r="E2395">
        <f>657345764/10^6</f>
        <v>657.34576400000003</v>
      </c>
      <c r="F2395">
        <f>0</f>
        <v>0</v>
      </c>
      <c r="G2395">
        <f>231975861/10^6</f>
        <v>231.97586100000001</v>
      </c>
      <c r="H2395">
        <f>0</f>
        <v>0</v>
      </c>
      <c r="I2395">
        <f>-39973412/10^6</f>
        <v>-39.973412000000003</v>
      </c>
      <c r="J2395">
        <f>0</f>
        <v>0</v>
      </c>
    </row>
    <row r="2396" spans="1:10" x14ac:dyDescent="0.25">
      <c r="A2396" t="s">
        <v>2405</v>
      </c>
      <c r="B2396" t="s">
        <v>11</v>
      </c>
      <c r="C2396">
        <v>120.303257813</v>
      </c>
      <c r="D2396">
        <f>0</f>
        <v>0</v>
      </c>
      <c r="E2396">
        <f>655531799/10^6</f>
        <v>655.53179899999998</v>
      </c>
      <c r="F2396">
        <f>0</f>
        <v>0</v>
      </c>
      <c r="G2396">
        <f>232009537/10^6</f>
        <v>232.00953699999999</v>
      </c>
      <c r="H2396">
        <f>0</f>
        <v>0</v>
      </c>
      <c r="I2396">
        <f>-39854603/10^6</f>
        <v>-39.854602999999997</v>
      </c>
      <c r="J2396">
        <f>0</f>
        <v>0</v>
      </c>
    </row>
    <row r="2397" spans="1:10" x14ac:dyDescent="0.25">
      <c r="A2397" t="s">
        <v>2406</v>
      </c>
      <c r="B2397" t="s">
        <v>11</v>
      </c>
      <c r="C2397">
        <v>120.59809375</v>
      </c>
      <c r="D2397">
        <f>0</f>
        <v>0</v>
      </c>
      <c r="E2397">
        <f>653965942/10^6</f>
        <v>653.96594200000004</v>
      </c>
      <c r="F2397">
        <f>0</f>
        <v>0</v>
      </c>
      <c r="G2397">
        <f>232033203/10^6</f>
        <v>232.03320299999999</v>
      </c>
      <c r="H2397">
        <f>0</f>
        <v>0</v>
      </c>
      <c r="I2397">
        <f>-39864189/10^6</f>
        <v>-39.864189000000003</v>
      </c>
      <c r="J2397">
        <f>0</f>
        <v>0</v>
      </c>
    </row>
    <row r="2398" spans="1:10" x14ac:dyDescent="0.25">
      <c r="A2398" t="s">
        <v>2407</v>
      </c>
      <c r="B2398" t="s">
        <v>11</v>
      </c>
      <c r="C2398">
        <v>120.8171875</v>
      </c>
      <c r="D2398">
        <f>0</f>
        <v>0</v>
      </c>
      <c r="E2398">
        <f>652742126/10^6</f>
        <v>652.74212599999998</v>
      </c>
      <c r="F2398">
        <f>0</f>
        <v>0</v>
      </c>
      <c r="G2398">
        <f>232058243/10^6</f>
        <v>232.058243</v>
      </c>
      <c r="H2398">
        <f>0</f>
        <v>0</v>
      </c>
      <c r="I2398">
        <f>-39644737/10^6</f>
        <v>-39.644736999999999</v>
      </c>
      <c r="J2398">
        <f>0</f>
        <v>0</v>
      </c>
    </row>
    <row r="2399" spans="1:10" x14ac:dyDescent="0.25">
      <c r="A2399" t="s">
        <v>2408</v>
      </c>
      <c r="B2399" t="s">
        <v>11</v>
      </c>
      <c r="C2399">
        <v>120.9593125</v>
      </c>
      <c r="D2399">
        <f>0</f>
        <v>0</v>
      </c>
      <c r="E2399">
        <f>651909851/10^6</f>
        <v>651.909851</v>
      </c>
      <c r="F2399">
        <f>0</f>
        <v>0</v>
      </c>
      <c r="G2399">
        <f>232079956/10^6</f>
        <v>232.07995600000001</v>
      </c>
      <c r="H2399">
        <f>0</f>
        <v>0</v>
      </c>
      <c r="I2399">
        <f>-39524441/10^6</f>
        <v>-39.524441000000003</v>
      </c>
      <c r="J2399">
        <f>0</f>
        <v>0</v>
      </c>
    </row>
    <row r="2400" spans="1:10" x14ac:dyDescent="0.25">
      <c r="A2400" t="s">
        <v>2409</v>
      </c>
      <c r="B2400" t="s">
        <v>11</v>
      </c>
      <c r="C2400">
        <v>121.06860937499999</v>
      </c>
      <c r="D2400">
        <f>0</f>
        <v>0</v>
      </c>
      <c r="E2400">
        <f>651260132/10^6</f>
        <v>651.260132</v>
      </c>
      <c r="F2400">
        <f>0</f>
        <v>0</v>
      </c>
      <c r="G2400">
        <f>232104538/10^6</f>
        <v>232.10453799999999</v>
      </c>
      <c r="H2400">
        <f>0</f>
        <v>0</v>
      </c>
      <c r="I2400">
        <f>-39487793/10^6</f>
        <v>-39.487793000000003</v>
      </c>
      <c r="J2400">
        <f>0</f>
        <v>0</v>
      </c>
    </row>
    <row r="2401" spans="1:10" x14ac:dyDescent="0.25">
      <c r="A2401" t="s">
        <v>2410</v>
      </c>
      <c r="B2401" t="s">
        <v>11</v>
      </c>
      <c r="C2401">
        <v>121.168234375</v>
      </c>
      <c r="D2401">
        <f>0</f>
        <v>0</v>
      </c>
      <c r="E2401">
        <f>650763062/10^6</f>
        <v>650.76306199999999</v>
      </c>
      <c r="F2401">
        <f>0</f>
        <v>0</v>
      </c>
      <c r="G2401">
        <f>232125351/10^6</f>
        <v>232.12535099999999</v>
      </c>
      <c r="H2401">
        <f>0</f>
        <v>0</v>
      </c>
      <c r="I2401">
        <f>-39381763/10^6</f>
        <v>-39.381762999999999</v>
      </c>
      <c r="J2401">
        <f>0</f>
        <v>0</v>
      </c>
    </row>
    <row r="2402" spans="1:10" x14ac:dyDescent="0.25">
      <c r="A2402" t="s">
        <v>2411</v>
      </c>
      <c r="B2402" t="s">
        <v>11</v>
      </c>
      <c r="C2402">
        <v>121.243179688</v>
      </c>
      <c r="D2402">
        <f>0</f>
        <v>0</v>
      </c>
      <c r="E2402">
        <f>650390137/10^6</f>
        <v>650.39013699999998</v>
      </c>
      <c r="F2402">
        <f>0</f>
        <v>0</v>
      </c>
      <c r="G2402">
        <f>232141434/10^6</f>
        <v>232.141434</v>
      </c>
      <c r="H2402">
        <f>0</f>
        <v>0</v>
      </c>
      <c r="I2402">
        <f>-39329487/10^6</f>
        <v>-39.329487</v>
      </c>
      <c r="J2402">
        <f>0</f>
        <v>0</v>
      </c>
    </row>
    <row r="2403" spans="1:10" x14ac:dyDescent="0.25">
      <c r="A2403" t="s">
        <v>2412</v>
      </c>
      <c r="B2403" t="s">
        <v>11</v>
      </c>
      <c r="C2403">
        <v>121.2694375</v>
      </c>
      <c r="D2403">
        <f>0</f>
        <v>0</v>
      </c>
      <c r="E2403">
        <f>650105408/10^6</f>
        <v>650.10540800000001</v>
      </c>
      <c r="F2403">
        <f>0</f>
        <v>0</v>
      </c>
      <c r="G2403">
        <f>232149918/10^6</f>
        <v>232.14991800000001</v>
      </c>
      <c r="H2403">
        <f>0</f>
        <v>0</v>
      </c>
      <c r="I2403">
        <f>-39066799/10^6</f>
        <v>-39.066799000000003</v>
      </c>
      <c r="J2403">
        <f>0</f>
        <v>0</v>
      </c>
    </row>
    <row r="2404" spans="1:10" x14ac:dyDescent="0.25">
      <c r="A2404" t="s">
        <v>2413</v>
      </c>
      <c r="B2404" t="s">
        <v>11</v>
      </c>
      <c r="C2404">
        <v>121.2294375</v>
      </c>
      <c r="D2404">
        <f>0</f>
        <v>0</v>
      </c>
      <c r="E2404">
        <f>650399597/10^6</f>
        <v>650.39959699999997</v>
      </c>
      <c r="F2404">
        <f>0</f>
        <v>0</v>
      </c>
      <c r="G2404">
        <f>232145493/10^6</f>
        <v>232.14549299999999</v>
      </c>
      <c r="H2404">
        <f>0</f>
        <v>0</v>
      </c>
      <c r="I2404">
        <f>-39050552/10^6</f>
        <v>-39.050552000000003</v>
      </c>
      <c r="J2404">
        <f>0</f>
        <v>0</v>
      </c>
    </row>
    <row r="2405" spans="1:10" x14ac:dyDescent="0.25">
      <c r="A2405" t="s">
        <v>2414</v>
      </c>
      <c r="B2405" t="s">
        <v>11</v>
      </c>
      <c r="C2405">
        <v>121.13020312499999</v>
      </c>
      <c r="D2405">
        <f>0</f>
        <v>0</v>
      </c>
      <c r="E2405">
        <f>651092834/10^6</f>
        <v>651.09283400000004</v>
      </c>
      <c r="F2405">
        <f>0</f>
        <v>0</v>
      </c>
      <c r="G2405">
        <f>232144043/10^6</f>
        <v>232.14404300000001</v>
      </c>
      <c r="H2405">
        <f>0</f>
        <v>0</v>
      </c>
      <c r="I2405">
        <f>-39345371/10^6</f>
        <v>-39.345371</v>
      </c>
      <c r="J2405">
        <f>0</f>
        <v>0</v>
      </c>
    </row>
    <row r="2406" spans="1:10" x14ac:dyDescent="0.25">
      <c r="A2406" t="s">
        <v>2415</v>
      </c>
      <c r="B2406" t="s">
        <v>11</v>
      </c>
      <c r="C2406">
        <v>121.00206249999999</v>
      </c>
      <c r="D2406">
        <f>0</f>
        <v>0</v>
      </c>
      <c r="E2406">
        <f>651692444/10^6</f>
        <v>651.69244400000002</v>
      </c>
      <c r="F2406">
        <f>0</f>
        <v>0</v>
      </c>
      <c r="G2406">
        <f>232130524/10^6</f>
        <v>232.13052400000001</v>
      </c>
      <c r="H2406">
        <f>0</f>
        <v>0</v>
      </c>
      <c r="I2406">
        <f>-39247879/10^6</f>
        <v>-39.247878999999998</v>
      </c>
      <c r="J2406">
        <f>0</f>
        <v>0</v>
      </c>
    </row>
    <row r="2407" spans="1:10" x14ac:dyDescent="0.25">
      <c r="A2407" t="s">
        <v>2416</v>
      </c>
      <c r="B2407" t="s">
        <v>11</v>
      </c>
      <c r="C2407">
        <v>120.849929688</v>
      </c>
      <c r="D2407">
        <f>0</f>
        <v>0</v>
      </c>
      <c r="E2407">
        <f>652533508/10^6</f>
        <v>652.53350799999998</v>
      </c>
      <c r="F2407">
        <f>0</f>
        <v>0</v>
      </c>
      <c r="G2407">
        <f>232100647/10^6</f>
        <v>232.10064700000001</v>
      </c>
      <c r="H2407">
        <f>0</f>
        <v>0</v>
      </c>
      <c r="I2407">
        <f>-39252537/10^6</f>
        <v>-39.252536999999997</v>
      </c>
      <c r="J2407">
        <f>0</f>
        <v>0</v>
      </c>
    </row>
    <row r="2408" spans="1:10" x14ac:dyDescent="0.25">
      <c r="A2408" t="s">
        <v>2417</v>
      </c>
      <c r="B2408" t="s">
        <v>11</v>
      </c>
      <c r="C2408">
        <v>120.68642187499999</v>
      </c>
      <c r="D2408">
        <f>0</f>
        <v>0</v>
      </c>
      <c r="E2408">
        <f>653436035/10^6</f>
        <v>653.43603499999995</v>
      </c>
      <c r="F2408">
        <f>0</f>
        <v>0</v>
      </c>
      <c r="G2408">
        <f>232070129/10^6</f>
        <v>232.07012900000001</v>
      </c>
      <c r="H2408">
        <f>0</f>
        <v>0</v>
      </c>
      <c r="I2408">
        <f>-39375751/10^6</f>
        <v>-39.375751000000001</v>
      </c>
      <c r="J2408">
        <f>0</f>
        <v>0</v>
      </c>
    </row>
    <row r="2409" spans="1:10" x14ac:dyDescent="0.25">
      <c r="A2409" t="s">
        <v>2418</v>
      </c>
      <c r="B2409" t="s">
        <v>11</v>
      </c>
      <c r="C2409">
        <v>120.517039063</v>
      </c>
      <c r="D2409">
        <f>0</f>
        <v>0</v>
      </c>
      <c r="E2409">
        <f>65421283/10^5</f>
        <v>654.21283000000005</v>
      </c>
      <c r="F2409">
        <f>0</f>
        <v>0</v>
      </c>
      <c r="G2409">
        <f>232032196/10^6</f>
        <v>232.032196</v>
      </c>
      <c r="H2409">
        <f>0</f>
        <v>0</v>
      </c>
      <c r="I2409">
        <f>-39256241/10^6</f>
        <v>-39.256241000000003</v>
      </c>
      <c r="J2409">
        <f>0</f>
        <v>0</v>
      </c>
    </row>
    <row r="2410" spans="1:10" x14ac:dyDescent="0.25">
      <c r="A2410" t="s">
        <v>2419</v>
      </c>
      <c r="B2410" t="s">
        <v>11</v>
      </c>
      <c r="C2410">
        <v>120.32946875</v>
      </c>
      <c r="D2410">
        <f>0</f>
        <v>0</v>
      </c>
      <c r="E2410">
        <f>655178894/10^6</f>
        <v>655.17889400000001</v>
      </c>
      <c r="F2410">
        <f>0</f>
        <v>0</v>
      </c>
      <c r="G2410">
        <f>232001251/10^6</f>
        <v>232.001251</v>
      </c>
      <c r="H2410">
        <f>0</f>
        <v>0</v>
      </c>
      <c r="I2410">
        <f>-39265316/10^6</f>
        <v>-39.265315999999999</v>
      </c>
      <c r="J2410">
        <f>0</f>
        <v>0</v>
      </c>
    </row>
    <row r="2411" spans="1:10" x14ac:dyDescent="0.25">
      <c r="A2411" t="s">
        <v>2420</v>
      </c>
      <c r="B2411" t="s">
        <v>11</v>
      </c>
      <c r="C2411">
        <v>120.12265625000001</v>
      </c>
      <c r="D2411">
        <f>0</f>
        <v>0</v>
      </c>
      <c r="E2411">
        <f>656353394/10^6</f>
        <v>656.35339399999998</v>
      </c>
      <c r="F2411">
        <f>0</f>
        <v>0</v>
      </c>
      <c r="G2411">
        <f>231970001/10^6</f>
        <v>231.970001</v>
      </c>
      <c r="H2411">
        <f>0</f>
        <v>0</v>
      </c>
      <c r="I2411">
        <f>-39423054/10^6</f>
        <v>-39.423054</v>
      </c>
      <c r="J2411">
        <f>0</f>
        <v>0</v>
      </c>
    </row>
    <row r="2412" spans="1:10" x14ac:dyDescent="0.25">
      <c r="A2412" t="s">
        <v>2421</v>
      </c>
      <c r="B2412" t="s">
        <v>11</v>
      </c>
      <c r="C2412">
        <v>119.876289063</v>
      </c>
      <c r="D2412">
        <f>0</f>
        <v>0</v>
      </c>
      <c r="E2412">
        <f>65779541/10^5</f>
        <v>657.79540999999995</v>
      </c>
      <c r="F2412">
        <f>0</f>
        <v>0</v>
      </c>
      <c r="G2412">
        <f>231933884/10^6</f>
        <v>231.93388400000001</v>
      </c>
      <c r="H2412">
        <f>0</f>
        <v>0</v>
      </c>
      <c r="I2412">
        <f>-39771835/10^6</f>
        <v>-39.771835000000003</v>
      </c>
      <c r="J2412">
        <f>0</f>
        <v>0</v>
      </c>
    </row>
    <row r="2413" spans="1:10" x14ac:dyDescent="0.25">
      <c r="A2413" t="s">
        <v>2422</v>
      </c>
      <c r="B2413" t="s">
        <v>11</v>
      </c>
      <c r="C2413">
        <v>119.63628125</v>
      </c>
      <c r="D2413">
        <f>0</f>
        <v>0</v>
      </c>
      <c r="E2413">
        <f>659102417/10^6</f>
        <v>659.10241699999995</v>
      </c>
      <c r="F2413">
        <f>0</f>
        <v>0</v>
      </c>
      <c r="G2413">
        <f>231896317/10^6</f>
        <v>231.89631700000001</v>
      </c>
      <c r="H2413">
        <f>0</f>
        <v>0</v>
      </c>
      <c r="I2413">
        <f>-39932167/10^6</f>
        <v>-39.932167</v>
      </c>
      <c r="J2413">
        <f>0</f>
        <v>0</v>
      </c>
    </row>
    <row r="2414" spans="1:10" x14ac:dyDescent="0.25">
      <c r="A2414" t="s">
        <v>2423</v>
      </c>
      <c r="B2414" t="s">
        <v>11</v>
      </c>
      <c r="C2414">
        <v>119.407109375</v>
      </c>
      <c r="D2414">
        <f>0</f>
        <v>0</v>
      </c>
      <c r="E2414">
        <f>660250183/10^6</f>
        <v>660.25018299999999</v>
      </c>
      <c r="F2414">
        <f>0</f>
        <v>0</v>
      </c>
      <c r="G2414">
        <f>231850342/10^6</f>
        <v>231.85034200000001</v>
      </c>
      <c r="H2414">
        <f>0</f>
        <v>0</v>
      </c>
      <c r="I2414">
        <f>-39887337/10^6</f>
        <v>-39.887337000000002</v>
      </c>
      <c r="J2414">
        <f>0</f>
        <v>0</v>
      </c>
    </row>
    <row r="2415" spans="1:10" x14ac:dyDescent="0.25">
      <c r="A2415" t="s">
        <v>2424</v>
      </c>
      <c r="B2415" t="s">
        <v>11</v>
      </c>
      <c r="C2415">
        <v>119.143039063</v>
      </c>
      <c r="D2415">
        <f>0</f>
        <v>0</v>
      </c>
      <c r="E2415">
        <f>661690857/10^6</f>
        <v>661.69085700000005</v>
      </c>
      <c r="F2415">
        <f>0</f>
        <v>0</v>
      </c>
      <c r="G2415">
        <f>231808884/10^6</f>
        <v>231.80888400000001</v>
      </c>
      <c r="H2415">
        <f>0</f>
        <v>0</v>
      </c>
      <c r="I2415">
        <f>-40045238/10^6</f>
        <v>-40.045237999999998</v>
      </c>
      <c r="J2415">
        <f>0</f>
        <v>0</v>
      </c>
    </row>
    <row r="2416" spans="1:10" x14ac:dyDescent="0.25">
      <c r="A2416" t="s">
        <v>2425</v>
      </c>
      <c r="B2416" t="s">
        <v>11</v>
      </c>
      <c r="C2416">
        <v>118.85026562500001</v>
      </c>
      <c r="D2416">
        <f>0</f>
        <v>0</v>
      </c>
      <c r="E2416">
        <f>663273926/10^6</f>
        <v>663.27392599999996</v>
      </c>
      <c r="F2416">
        <f>0</f>
        <v>0</v>
      </c>
      <c r="G2416">
        <f>231769958/10^6</f>
        <v>231.769958</v>
      </c>
      <c r="H2416">
        <f>0</f>
        <v>0</v>
      </c>
      <c r="I2416">
        <f>-40148636/10^6</f>
        <v>-40.148636000000003</v>
      </c>
      <c r="J2416">
        <f>0</f>
        <v>0</v>
      </c>
    </row>
    <row r="2417" spans="1:10" x14ac:dyDescent="0.25">
      <c r="A2417" t="s">
        <v>2426</v>
      </c>
      <c r="B2417" t="s">
        <v>11</v>
      </c>
      <c r="C2417">
        <v>118.524710938</v>
      </c>
      <c r="D2417">
        <f>0</f>
        <v>0</v>
      </c>
      <c r="E2417">
        <f>665100647/10^6</f>
        <v>665.10064699999998</v>
      </c>
      <c r="F2417">
        <f>0</f>
        <v>0</v>
      </c>
      <c r="G2417">
        <f>231712982/10^6</f>
        <v>231.71298200000001</v>
      </c>
      <c r="H2417">
        <f>0</f>
        <v>0</v>
      </c>
      <c r="I2417">
        <f>-40385811/10^6</f>
        <v>-40.385810999999997</v>
      </c>
      <c r="J2417">
        <f>0</f>
        <v>0</v>
      </c>
    </row>
    <row r="2418" spans="1:10" x14ac:dyDescent="0.25">
      <c r="A2418" t="s">
        <v>2427</v>
      </c>
      <c r="B2418" t="s">
        <v>11</v>
      </c>
      <c r="C2418">
        <v>118.18684374999999</v>
      </c>
      <c r="D2418">
        <f>0</f>
        <v>0</v>
      </c>
      <c r="E2418">
        <f>667075134/10^6</f>
        <v>667.07513400000005</v>
      </c>
      <c r="F2418">
        <f>0</f>
        <v>0</v>
      </c>
      <c r="G2418">
        <f>231659531/10^6</f>
        <v>231.65953099999999</v>
      </c>
      <c r="H2418">
        <f>0</f>
        <v>0</v>
      </c>
      <c r="I2418">
        <f>-40671963/10^6</f>
        <v>-40.671962999999998</v>
      </c>
      <c r="J2418">
        <f>0</f>
        <v>0</v>
      </c>
    </row>
    <row r="2419" spans="1:10" x14ac:dyDescent="0.25">
      <c r="A2419" t="s">
        <v>2428</v>
      </c>
      <c r="B2419" t="s">
        <v>11</v>
      </c>
      <c r="C2419">
        <v>0</v>
      </c>
      <c r="D2419">
        <f>2</f>
        <v>2</v>
      </c>
      <c r="F2419">
        <f>2</f>
        <v>2</v>
      </c>
      <c r="H2419">
        <f>2</f>
        <v>2</v>
      </c>
      <c r="J2419">
        <f>2</f>
        <v>2</v>
      </c>
    </row>
    <row r="2420" spans="1:10" x14ac:dyDescent="0.25">
      <c r="A2420" t="s">
        <v>2429</v>
      </c>
      <c r="B2420" t="s">
        <v>11</v>
      </c>
      <c r="C2420">
        <v>117.41671875</v>
      </c>
      <c r="D2420">
        <f>0</f>
        <v>0</v>
      </c>
      <c r="E2420">
        <f>671275452/10^6</f>
        <v>671.27545199999997</v>
      </c>
      <c r="F2420">
        <f>0</f>
        <v>0</v>
      </c>
      <c r="G2420">
        <f>23151033/10^5</f>
        <v>231.51033000000001</v>
      </c>
      <c r="H2420">
        <f>0</f>
        <v>0</v>
      </c>
      <c r="I2420">
        <f>-41125404/10^6</f>
        <v>-41.125404000000003</v>
      </c>
      <c r="J2420">
        <f>0</f>
        <v>0</v>
      </c>
    </row>
    <row r="2421" spans="1:10" x14ac:dyDescent="0.25">
      <c r="A2421" t="s">
        <v>2430</v>
      </c>
      <c r="B2421" t="s">
        <v>11</v>
      </c>
      <c r="C2421">
        <v>116.95874999999999</v>
      </c>
      <c r="D2421">
        <f>0</f>
        <v>0</v>
      </c>
      <c r="E2421">
        <f>673863953/10^6</f>
        <v>673.86395300000004</v>
      </c>
      <c r="F2421">
        <f>0</f>
        <v>0</v>
      </c>
      <c r="G2421">
        <f>231431915/10^6</f>
        <v>231.431915</v>
      </c>
      <c r="H2421">
        <f>0</f>
        <v>0</v>
      </c>
      <c r="I2421">
        <f>-41427387/10^6</f>
        <v>-41.427387000000003</v>
      </c>
      <c r="J2421">
        <f>0</f>
        <v>0</v>
      </c>
    </row>
    <row r="2422" spans="1:10" x14ac:dyDescent="0.25">
      <c r="A2422" t="s">
        <v>2431</v>
      </c>
      <c r="B2422" t="s">
        <v>11</v>
      </c>
      <c r="C2422">
        <v>116.46322656300001</v>
      </c>
      <c r="D2422">
        <f>0</f>
        <v>0</v>
      </c>
      <c r="E2422">
        <f>676671265/10^6</f>
        <v>676.67126499999995</v>
      </c>
      <c r="F2422">
        <f>0</f>
        <v>0</v>
      </c>
      <c r="G2422">
        <f>231352631/10^6</f>
        <v>231.352631</v>
      </c>
      <c r="H2422">
        <f>0</f>
        <v>0</v>
      </c>
      <c r="I2422">
        <f>-41708969/10^6</f>
        <v>-41.708969000000003</v>
      </c>
      <c r="J2422">
        <f>0</f>
        <v>0</v>
      </c>
    </row>
    <row r="2423" spans="1:10" x14ac:dyDescent="0.25">
      <c r="A2423" t="s">
        <v>2432</v>
      </c>
      <c r="B2423" t="s">
        <v>11</v>
      </c>
      <c r="C2423">
        <v>115.946476563</v>
      </c>
      <c r="D2423">
        <f>0</f>
        <v>0</v>
      </c>
      <c r="E2423">
        <f>679822144/10^6</f>
        <v>679.82214399999998</v>
      </c>
      <c r="F2423">
        <f>0</f>
        <v>0</v>
      </c>
      <c r="G2423">
        <f>231270798/10^6</f>
        <v>231.27079800000001</v>
      </c>
      <c r="H2423">
        <f>0</f>
        <v>0</v>
      </c>
      <c r="I2423">
        <f>-42193245/10^6</f>
        <v>-42.193244999999997</v>
      </c>
      <c r="J2423">
        <f>0</f>
        <v>0</v>
      </c>
    </row>
    <row r="2424" spans="1:10" x14ac:dyDescent="0.25">
      <c r="A2424" t="s">
        <v>2433</v>
      </c>
      <c r="B2424" t="s">
        <v>11</v>
      </c>
      <c r="C2424">
        <v>115.51692187499999</v>
      </c>
      <c r="D2424">
        <f>0</f>
        <v>0</v>
      </c>
      <c r="E2424">
        <f>682128296/10^6</f>
        <v>682.12829599999998</v>
      </c>
      <c r="F2424">
        <f>0</f>
        <v>0</v>
      </c>
      <c r="G2424">
        <f>231133804/10^6</f>
        <v>231.133804</v>
      </c>
      <c r="H2424">
        <f>0</f>
        <v>0</v>
      </c>
      <c r="I2424">
        <f>-42510769/10^6</f>
        <v>-42.510769000000003</v>
      </c>
      <c r="J2424">
        <f>0</f>
        <v>0</v>
      </c>
    </row>
    <row r="2425" spans="1:10" x14ac:dyDescent="0.25">
      <c r="A2425" t="s">
        <v>2434</v>
      </c>
      <c r="B2425" t="s">
        <v>11</v>
      </c>
      <c r="C2425">
        <v>115.235359375</v>
      </c>
      <c r="D2425">
        <f>0</f>
        <v>0</v>
      </c>
      <c r="E2425">
        <f>683331299/10^6</f>
        <v>683.33129899999994</v>
      </c>
      <c r="F2425">
        <f>0</f>
        <v>0</v>
      </c>
      <c r="G2425">
        <f>230967072/10^6</f>
        <v>230.967072</v>
      </c>
      <c r="H2425">
        <f>0</f>
        <v>0</v>
      </c>
      <c r="I2425">
        <f>-4261377/10^5</f>
        <v>-42.613770000000002</v>
      </c>
      <c r="J2425">
        <f>0</f>
        <v>0</v>
      </c>
    </row>
    <row r="2426" spans="1:10" x14ac:dyDescent="0.25">
      <c r="A2426" t="s">
        <v>2435</v>
      </c>
      <c r="B2426" t="s">
        <v>11</v>
      </c>
      <c r="C2426">
        <v>115.06210937500001</v>
      </c>
      <c r="D2426">
        <f>0</f>
        <v>0</v>
      </c>
      <c r="E2426">
        <f>684461426/10^6</f>
        <v>684.46142599999996</v>
      </c>
      <c r="F2426">
        <f>0</f>
        <v>0</v>
      </c>
      <c r="G2426">
        <f>230944611/10^6</f>
        <v>230.94461100000001</v>
      </c>
      <c r="H2426">
        <f>0</f>
        <v>0</v>
      </c>
      <c r="I2426">
        <f>-42747826/10^6</f>
        <v>-42.747826000000003</v>
      </c>
      <c r="J2426">
        <f>0</f>
        <v>0</v>
      </c>
    </row>
    <row r="2427" spans="1:10" x14ac:dyDescent="0.25">
      <c r="A2427" t="s">
        <v>2436</v>
      </c>
      <c r="B2427" t="s">
        <v>11</v>
      </c>
      <c r="C2427">
        <v>0</v>
      </c>
      <c r="D2427">
        <f>2</f>
        <v>2</v>
      </c>
      <c r="F2427">
        <f>2</f>
        <v>2</v>
      </c>
      <c r="H2427">
        <f>2</f>
        <v>2</v>
      </c>
      <c r="J2427">
        <f>2</f>
        <v>2</v>
      </c>
    </row>
    <row r="2428" spans="1:10" x14ac:dyDescent="0.25">
      <c r="A2428" t="s">
        <v>2437</v>
      </c>
      <c r="B2428" t="s">
        <v>11</v>
      </c>
      <c r="C2428">
        <v>114.7745</v>
      </c>
      <c r="D2428">
        <f>0</f>
        <v>0</v>
      </c>
      <c r="E2428">
        <f>686080383/10^6</f>
        <v>686.08038299999998</v>
      </c>
      <c r="F2428">
        <f>0</f>
        <v>0</v>
      </c>
      <c r="G2428">
        <f>230857834/10^6</f>
        <v>230.857834</v>
      </c>
      <c r="H2428">
        <f>0</f>
        <v>0</v>
      </c>
      <c r="I2428">
        <f>-43162487/10^6</f>
        <v>-43.162486999999999</v>
      </c>
      <c r="J2428">
        <f>0</f>
        <v>0</v>
      </c>
    </row>
    <row r="2429" spans="1:10" x14ac:dyDescent="0.25">
      <c r="A2429" t="s">
        <v>2438</v>
      </c>
      <c r="B2429" t="s">
        <v>11</v>
      </c>
      <c r="C2429">
        <v>114.63727343800001</v>
      </c>
      <c r="D2429">
        <f>0</f>
        <v>0</v>
      </c>
      <c r="E2429">
        <f>686855469/10^6</f>
        <v>686.85546899999997</v>
      </c>
      <c r="F2429">
        <f>0</f>
        <v>0</v>
      </c>
      <c r="G2429">
        <f>230818115/10^6</f>
        <v>230.81811500000001</v>
      </c>
      <c r="H2429">
        <f>0</f>
        <v>0</v>
      </c>
      <c r="I2429">
        <f>-43251053/10^6</f>
        <v>-43.251052999999999</v>
      </c>
      <c r="J2429">
        <f>0</f>
        <v>0</v>
      </c>
    </row>
    <row r="2430" spans="1:10" x14ac:dyDescent="0.25">
      <c r="A2430" t="s">
        <v>2439</v>
      </c>
      <c r="B2430" t="s">
        <v>11</v>
      </c>
      <c r="C2430">
        <v>114.4945625</v>
      </c>
      <c r="D2430">
        <f>0</f>
        <v>0</v>
      </c>
      <c r="E2430">
        <f>687790283/10^6</f>
        <v>687.79028300000004</v>
      </c>
      <c r="F2430">
        <f>0</f>
        <v>0</v>
      </c>
      <c r="G2430">
        <f>230819382/10^6</f>
        <v>230.81938199999999</v>
      </c>
      <c r="H2430">
        <f>0</f>
        <v>0</v>
      </c>
      <c r="I2430">
        <f>-43402988/10^6</f>
        <v>-43.402988000000001</v>
      </c>
      <c r="J2430">
        <f>0</f>
        <v>0</v>
      </c>
    </row>
    <row r="2431" spans="1:10" x14ac:dyDescent="0.25">
      <c r="A2431" t="s">
        <v>2440</v>
      </c>
      <c r="B2431" t="s">
        <v>11</v>
      </c>
      <c r="C2431">
        <v>114.357078125</v>
      </c>
      <c r="D2431">
        <f>0</f>
        <v>0</v>
      </c>
      <c r="E2431">
        <f>688723206/10^6</f>
        <v>688.723206</v>
      </c>
      <c r="F2431">
        <f>0</f>
        <v>0</v>
      </c>
      <c r="G2431">
        <f>230810532/10^6</f>
        <v>230.81053199999999</v>
      </c>
      <c r="H2431">
        <f>0</f>
        <v>0</v>
      </c>
      <c r="I2431">
        <f>-43679108/10^6</f>
        <v>-43.679107999999999</v>
      </c>
      <c r="J2431">
        <f>0</f>
        <v>0</v>
      </c>
    </row>
    <row r="2432" spans="1:10" x14ac:dyDescent="0.25">
      <c r="A2432" t="s">
        <v>2441</v>
      </c>
      <c r="B2432" t="s">
        <v>11</v>
      </c>
      <c r="C2432">
        <v>114.32407031300001</v>
      </c>
      <c r="D2432">
        <f>0</f>
        <v>0</v>
      </c>
      <c r="E2432">
        <f>689003479/10^6</f>
        <v>689.00347899999997</v>
      </c>
      <c r="F2432">
        <f>0</f>
        <v>0</v>
      </c>
      <c r="G2432">
        <f>230804871/10^6</f>
        <v>230.80487099999999</v>
      </c>
      <c r="H2432">
        <f>0</f>
        <v>0</v>
      </c>
      <c r="I2432">
        <f>-43816063/10^6</f>
        <v>-43.816063</v>
      </c>
      <c r="J2432">
        <f>0</f>
        <v>0</v>
      </c>
    </row>
    <row r="2433" spans="1:10" x14ac:dyDescent="0.25">
      <c r="A2433" t="s">
        <v>2442</v>
      </c>
      <c r="B2433" t="s">
        <v>11</v>
      </c>
      <c r="C2433">
        <v>114.41211718800001</v>
      </c>
      <c r="D2433">
        <f>0</f>
        <v>0</v>
      </c>
      <c r="E2433">
        <f>688413818/10^6</f>
        <v>688.41381799999999</v>
      </c>
      <c r="F2433">
        <f>0</f>
        <v>0</v>
      </c>
      <c r="G2433">
        <f>230827759/10^6</f>
        <v>230.82775899999999</v>
      </c>
      <c r="H2433">
        <f>0</f>
        <v>0</v>
      </c>
      <c r="I2433">
        <f>-43609718/10^6</f>
        <v>-43.609718000000001</v>
      </c>
      <c r="J2433">
        <f>0</f>
        <v>0</v>
      </c>
    </row>
    <row r="2434" spans="1:10" x14ac:dyDescent="0.25">
      <c r="A2434" t="s">
        <v>2443</v>
      </c>
      <c r="B2434" t="s">
        <v>11</v>
      </c>
      <c r="C2434">
        <v>0</v>
      </c>
      <c r="D2434">
        <f>2</f>
        <v>2</v>
      </c>
      <c r="F2434">
        <f>2</f>
        <v>2</v>
      </c>
      <c r="H2434">
        <f>2</f>
        <v>2</v>
      </c>
      <c r="J2434">
        <f>2</f>
        <v>2</v>
      </c>
    </row>
    <row r="2435" spans="1:10" x14ac:dyDescent="0.25">
      <c r="A2435" t="s">
        <v>2444</v>
      </c>
      <c r="B2435" t="s">
        <v>11</v>
      </c>
      <c r="C2435">
        <v>114.652078125</v>
      </c>
      <c r="D2435">
        <f>0</f>
        <v>0</v>
      </c>
      <c r="E2435">
        <f>687041382/10^6</f>
        <v>687.041382</v>
      </c>
      <c r="F2435">
        <f>0</f>
        <v>0</v>
      </c>
      <c r="G2435">
        <f>230938568/10^6</f>
        <v>230.938568</v>
      </c>
      <c r="H2435">
        <f>0</f>
        <v>0</v>
      </c>
      <c r="I2435">
        <f>-43321449/10^6</f>
        <v>-43.321449000000001</v>
      </c>
      <c r="J2435">
        <f>0</f>
        <v>0</v>
      </c>
    </row>
    <row r="2436" spans="1:10" x14ac:dyDescent="0.25">
      <c r="A2436" t="s">
        <v>2445</v>
      </c>
      <c r="B2436" t="s">
        <v>11</v>
      </c>
      <c r="C2436">
        <v>114.689046875</v>
      </c>
      <c r="D2436">
        <f>0</f>
        <v>0</v>
      </c>
      <c r="E2436">
        <f>686910278/10^6</f>
        <v>686.91027799999995</v>
      </c>
      <c r="F2436">
        <f>0</f>
        <v>0</v>
      </c>
      <c r="G2436">
        <f>230954285/10^6</f>
        <v>230.954285</v>
      </c>
      <c r="H2436">
        <f>0</f>
        <v>0</v>
      </c>
      <c r="I2436">
        <f>-43394352/10^6</f>
        <v>-43.394351999999998</v>
      </c>
      <c r="J2436">
        <f>0</f>
        <v>0</v>
      </c>
    </row>
    <row r="2437" spans="1:10" x14ac:dyDescent="0.25">
      <c r="A2437" t="s">
        <v>2446</v>
      </c>
      <c r="B2437" t="s">
        <v>11</v>
      </c>
      <c r="C2437">
        <v>114.68970312499999</v>
      </c>
      <c r="D2437">
        <f>0</f>
        <v>0</v>
      </c>
      <c r="E2437">
        <f>687071106/10^6</f>
        <v>687.07110599999999</v>
      </c>
      <c r="F2437">
        <f>0</f>
        <v>0</v>
      </c>
      <c r="G2437">
        <f>230963394/10^6</f>
        <v>230.96339399999999</v>
      </c>
      <c r="H2437">
        <f>0</f>
        <v>0</v>
      </c>
      <c r="I2437">
        <f>-43502209/10^6</f>
        <v>-43.502209000000001</v>
      </c>
      <c r="J2437">
        <f>0</f>
        <v>0</v>
      </c>
    </row>
    <row r="2438" spans="1:10" x14ac:dyDescent="0.25">
      <c r="A2438" t="s">
        <v>2447</v>
      </c>
      <c r="B2438" t="s">
        <v>11</v>
      </c>
      <c r="C2438">
        <v>114.695234375</v>
      </c>
      <c r="D2438">
        <f>0</f>
        <v>0</v>
      </c>
      <c r="E2438">
        <f>687108704/10^6</f>
        <v>687.10870399999999</v>
      </c>
      <c r="F2438">
        <f>0</f>
        <v>0</v>
      </c>
      <c r="G2438">
        <f>231000336/10^6</f>
        <v>231.000336</v>
      </c>
      <c r="H2438">
        <f>0</f>
        <v>0</v>
      </c>
      <c r="I2438">
        <f>-43418018/10^6</f>
        <v>-43.418018000000004</v>
      </c>
      <c r="J2438">
        <f>0</f>
        <v>0</v>
      </c>
    </row>
    <row r="2439" spans="1:10" x14ac:dyDescent="0.25">
      <c r="A2439" t="s">
        <v>2448</v>
      </c>
      <c r="B2439" t="s">
        <v>11</v>
      </c>
      <c r="C2439">
        <v>114.72304687499999</v>
      </c>
      <c r="D2439">
        <f>0</f>
        <v>0</v>
      </c>
      <c r="E2439">
        <f>686882202/10^6</f>
        <v>686.88220200000001</v>
      </c>
      <c r="F2439">
        <f>0</f>
        <v>0</v>
      </c>
      <c r="G2439">
        <f>230984116/10^6</f>
        <v>230.984116</v>
      </c>
      <c r="H2439">
        <f>0</f>
        <v>0</v>
      </c>
      <c r="I2439">
        <f>-43372696/10^6</f>
        <v>-43.372695999999998</v>
      </c>
      <c r="J2439">
        <f>0</f>
        <v>0</v>
      </c>
    </row>
    <row r="2440" spans="1:10" x14ac:dyDescent="0.25">
      <c r="A2440" t="s">
        <v>2449</v>
      </c>
      <c r="B2440" t="s">
        <v>11</v>
      </c>
      <c r="C2440">
        <v>114.760851563</v>
      </c>
      <c r="D2440">
        <f>0</f>
        <v>0</v>
      </c>
      <c r="E2440">
        <f>686747498/10^6</f>
        <v>686.74749799999995</v>
      </c>
      <c r="F2440">
        <f>0</f>
        <v>0</v>
      </c>
      <c r="G2440">
        <f>231003265/10^6</f>
        <v>231.003265</v>
      </c>
      <c r="H2440">
        <f>0</f>
        <v>0</v>
      </c>
      <c r="I2440">
        <f>-4346207/10^5</f>
        <v>-43.462069999999997</v>
      </c>
      <c r="J2440">
        <f>0</f>
        <v>0</v>
      </c>
    </row>
    <row r="2441" spans="1:10" x14ac:dyDescent="0.25">
      <c r="A2441" t="s">
        <v>2450</v>
      </c>
      <c r="B2441" t="s">
        <v>11</v>
      </c>
      <c r="C2441">
        <v>114.83932812499999</v>
      </c>
      <c r="D2441">
        <f>0</f>
        <v>0</v>
      </c>
      <c r="E2441">
        <f>686461487/10^6</f>
        <v>686.46148700000003</v>
      </c>
      <c r="F2441">
        <f>0</f>
        <v>0</v>
      </c>
      <c r="G2441">
        <f>231091553/10^6</f>
        <v>231.091553</v>
      </c>
      <c r="H2441">
        <f>0</f>
        <v>0</v>
      </c>
      <c r="I2441">
        <f>-4329298/10^5</f>
        <v>-43.29298</v>
      </c>
      <c r="J2441">
        <f>0</f>
        <v>0</v>
      </c>
    </row>
    <row r="2442" spans="1:10" x14ac:dyDescent="0.25">
      <c r="A2442" t="s">
        <v>2451</v>
      </c>
      <c r="B2442" t="s">
        <v>11</v>
      </c>
      <c r="C2442">
        <v>114.976242188</v>
      </c>
      <c r="D2442">
        <f>0</f>
        <v>0</v>
      </c>
      <c r="E2442">
        <f>685612671/10^6</f>
        <v>685.61267099999998</v>
      </c>
      <c r="F2442">
        <f>0</f>
        <v>0</v>
      </c>
      <c r="G2442">
        <f>231122818/10^6</f>
        <v>231.122818</v>
      </c>
      <c r="H2442">
        <f>0</f>
        <v>0</v>
      </c>
      <c r="I2442">
        <f>-43043365/10^6</f>
        <v>-43.043365000000001</v>
      </c>
      <c r="J2442">
        <f>0</f>
        <v>0</v>
      </c>
    </row>
    <row r="2443" spans="1:10" x14ac:dyDescent="0.25">
      <c r="A2443" t="s">
        <v>2452</v>
      </c>
      <c r="B2443" t="s">
        <v>11</v>
      </c>
      <c r="C2443">
        <v>115.143203125</v>
      </c>
      <c r="D2443">
        <f>0</f>
        <v>0</v>
      </c>
      <c r="E2443">
        <f>684491028/10^6</f>
        <v>684.49102800000003</v>
      </c>
      <c r="F2443">
        <f>0</f>
        <v>0</v>
      </c>
      <c r="G2443">
        <f>231150436/10^6</f>
        <v>231.15043600000001</v>
      </c>
      <c r="H2443">
        <f>0</f>
        <v>0</v>
      </c>
      <c r="I2443">
        <f>-42889679/10^6</f>
        <v>-42.889679000000001</v>
      </c>
      <c r="J2443">
        <f>0</f>
        <v>0</v>
      </c>
    </row>
    <row r="2444" spans="1:10" x14ac:dyDescent="0.25">
      <c r="A2444" t="s">
        <v>2453</v>
      </c>
      <c r="B2444" t="s">
        <v>11</v>
      </c>
      <c r="C2444">
        <v>115.30025000000001</v>
      </c>
      <c r="D2444">
        <f>0</f>
        <v>0</v>
      </c>
      <c r="E2444">
        <f>683676086/10^6</f>
        <v>683.67608600000005</v>
      </c>
      <c r="F2444">
        <f>0</f>
        <v>0</v>
      </c>
      <c r="G2444">
        <f>231207932/10^6</f>
        <v>231.207932</v>
      </c>
      <c r="H2444">
        <f>0</f>
        <v>0</v>
      </c>
      <c r="I2444">
        <f>-42853111/10^6</f>
        <v>-42.853110999999998</v>
      </c>
      <c r="J2444">
        <f>0</f>
        <v>0</v>
      </c>
    </row>
    <row r="2445" spans="1:10" x14ac:dyDescent="0.25">
      <c r="A2445" t="s">
        <v>2454</v>
      </c>
      <c r="B2445" t="s">
        <v>11</v>
      </c>
      <c r="C2445">
        <v>115.44807812499999</v>
      </c>
      <c r="D2445">
        <f>0</f>
        <v>0</v>
      </c>
      <c r="E2445">
        <f>682939697/10^6</f>
        <v>682.93969700000002</v>
      </c>
      <c r="F2445">
        <f>0</f>
        <v>0</v>
      </c>
      <c r="G2445">
        <f>231233841/10^6</f>
        <v>231.23384100000001</v>
      </c>
      <c r="H2445">
        <f>0</f>
        <v>0</v>
      </c>
      <c r="I2445">
        <f>-42894226/10^6</f>
        <v>-42.894226000000003</v>
      </c>
      <c r="J2445">
        <f>0</f>
        <v>0</v>
      </c>
    </row>
    <row r="2446" spans="1:10" x14ac:dyDescent="0.25">
      <c r="A2446" t="s">
        <v>2455</v>
      </c>
      <c r="B2446" t="s">
        <v>11</v>
      </c>
      <c r="C2446">
        <v>115.637507813</v>
      </c>
      <c r="D2446">
        <f>0</f>
        <v>0</v>
      </c>
      <c r="E2446">
        <f>681959167/10^6</f>
        <v>681.95916699999998</v>
      </c>
      <c r="F2446">
        <f>0</f>
        <v>0</v>
      </c>
      <c r="G2446">
        <f>231309845/10^6</f>
        <v>231.309845</v>
      </c>
      <c r="H2446">
        <f>0</f>
        <v>0</v>
      </c>
      <c r="I2446">
        <f>-42809399/10^6</f>
        <v>-42.809398999999999</v>
      </c>
      <c r="J2446">
        <f>0</f>
        <v>0</v>
      </c>
    </row>
    <row r="2447" spans="1:10" x14ac:dyDescent="0.25">
      <c r="A2447" t="s">
        <v>2456</v>
      </c>
      <c r="B2447" t="s">
        <v>11</v>
      </c>
      <c r="C2447">
        <v>115.88115625</v>
      </c>
      <c r="D2447">
        <f>0</f>
        <v>0</v>
      </c>
      <c r="E2447">
        <f>680753174/10^6</f>
        <v>680.75317399999994</v>
      </c>
      <c r="F2447">
        <f>0</f>
        <v>0</v>
      </c>
      <c r="G2447">
        <f>231400269/10^6</f>
        <v>231.40026900000001</v>
      </c>
      <c r="H2447">
        <f>0</f>
        <v>0</v>
      </c>
      <c r="I2447">
        <f>-42747982/10^6</f>
        <v>-42.747982</v>
      </c>
      <c r="J2447">
        <f>0</f>
        <v>0</v>
      </c>
    </row>
    <row r="2448" spans="1:10" x14ac:dyDescent="0.25">
      <c r="A2448" t="s">
        <v>2457</v>
      </c>
      <c r="B2448" t="s">
        <v>11</v>
      </c>
      <c r="C2448">
        <v>116.156070313</v>
      </c>
      <c r="D2448">
        <f>0</f>
        <v>0</v>
      </c>
      <c r="E2448">
        <f>679225708/10^6</f>
        <v>679.22570800000005</v>
      </c>
      <c r="F2448">
        <f>0</f>
        <v>0</v>
      </c>
      <c r="G2448">
        <f>231458542/10^6</f>
        <v>231.45854199999999</v>
      </c>
      <c r="H2448">
        <f>0</f>
        <v>0</v>
      </c>
      <c r="I2448">
        <f>-42621857/10^6</f>
        <v>-42.621856999999999</v>
      </c>
      <c r="J2448">
        <f>0</f>
        <v>0</v>
      </c>
    </row>
    <row r="2449" spans="1:10" x14ac:dyDescent="0.25">
      <c r="A2449" t="s">
        <v>2458</v>
      </c>
      <c r="B2449" t="s">
        <v>11</v>
      </c>
      <c r="C2449">
        <v>116.44669531300001</v>
      </c>
      <c r="D2449">
        <f>0</f>
        <v>0</v>
      </c>
      <c r="E2449">
        <f>677444153/10^6</f>
        <v>677.44415300000003</v>
      </c>
      <c r="F2449">
        <f>0</f>
        <v>0</v>
      </c>
      <c r="G2449">
        <f>231518646/10^6</f>
        <v>231.51864599999999</v>
      </c>
      <c r="H2449">
        <f>0</f>
        <v>0</v>
      </c>
      <c r="I2449">
        <f>-42278118/10^6</f>
        <v>-42.278117999999999</v>
      </c>
      <c r="J2449">
        <f>0</f>
        <v>0</v>
      </c>
    </row>
    <row r="2450" spans="1:10" x14ac:dyDescent="0.25">
      <c r="A2450" t="s">
        <v>2459</v>
      </c>
      <c r="B2450" t="s">
        <v>11</v>
      </c>
      <c r="C2450">
        <v>116.76365625</v>
      </c>
      <c r="D2450">
        <f>0</f>
        <v>0</v>
      </c>
      <c r="E2450">
        <f>675625671/10^6</f>
        <v>675.62567100000001</v>
      </c>
      <c r="F2450">
        <f>0</f>
        <v>0</v>
      </c>
      <c r="G2450">
        <f>231567307/10^6</f>
        <v>231.567307</v>
      </c>
      <c r="H2450">
        <f>0</f>
        <v>0</v>
      </c>
      <c r="I2450">
        <f>-42028767/10^6</f>
        <v>-42.028767000000002</v>
      </c>
      <c r="J2450">
        <f>0</f>
        <v>0</v>
      </c>
    </row>
    <row r="2451" spans="1:10" x14ac:dyDescent="0.25">
      <c r="A2451" t="s">
        <v>2460</v>
      </c>
      <c r="B2451" t="s">
        <v>11</v>
      </c>
      <c r="C2451">
        <v>117.128328125</v>
      </c>
      <c r="D2451">
        <f>0</f>
        <v>0</v>
      </c>
      <c r="E2451">
        <f>673612976/10^6</f>
        <v>673.612976</v>
      </c>
      <c r="F2451">
        <f>0</f>
        <v>0</v>
      </c>
      <c r="G2451">
        <f>231627747/10^6</f>
        <v>231.627747</v>
      </c>
      <c r="H2451">
        <f>0</f>
        <v>0</v>
      </c>
      <c r="I2451">
        <f>-41886829/10^6</f>
        <v>-41.886828999999999</v>
      </c>
      <c r="J2451">
        <f>0</f>
        <v>0</v>
      </c>
    </row>
    <row r="2452" spans="1:10" x14ac:dyDescent="0.25">
      <c r="A2452" t="s">
        <v>2461</v>
      </c>
      <c r="B2452" t="s">
        <v>11</v>
      </c>
      <c r="C2452">
        <v>117.56564843800001</v>
      </c>
      <c r="D2452">
        <f>0</f>
        <v>0</v>
      </c>
      <c r="E2452">
        <f>671167297/10^6</f>
        <v>671.16729699999996</v>
      </c>
      <c r="F2452">
        <f>0</f>
        <v>0</v>
      </c>
      <c r="G2452">
        <f>23169902/10^5</f>
        <v>231.69901999999999</v>
      </c>
      <c r="H2452">
        <f>0</f>
        <v>0</v>
      </c>
      <c r="I2452">
        <f>-41782375/10^6</f>
        <v>-41.782375000000002</v>
      </c>
      <c r="J2452">
        <f>0</f>
        <v>0</v>
      </c>
    </row>
    <row r="2453" spans="1:10" x14ac:dyDescent="0.25">
      <c r="A2453" t="s">
        <v>2462</v>
      </c>
      <c r="B2453" t="s">
        <v>11</v>
      </c>
      <c r="C2453">
        <v>118.09136718800001</v>
      </c>
      <c r="D2453">
        <f>0</f>
        <v>0</v>
      </c>
      <c r="E2453">
        <f>66823291/10^5</f>
        <v>668.23290999999995</v>
      </c>
      <c r="F2453">
        <f>0</f>
        <v>0</v>
      </c>
      <c r="G2453">
        <f>23176506/10^5</f>
        <v>231.76506000000001</v>
      </c>
      <c r="H2453">
        <f>0</f>
        <v>0</v>
      </c>
      <c r="I2453">
        <f>-41585117/10^6</f>
        <v>-41.585116999999997</v>
      </c>
      <c r="J2453">
        <f>0</f>
        <v>0</v>
      </c>
    </row>
    <row r="2454" spans="1:10" x14ac:dyDescent="0.25">
      <c r="A2454" t="s">
        <v>2463</v>
      </c>
      <c r="B2454" t="s">
        <v>11</v>
      </c>
      <c r="C2454">
        <v>118.685625</v>
      </c>
      <c r="D2454">
        <f>0</f>
        <v>0</v>
      </c>
      <c r="E2454">
        <f>664739929/10^6</f>
        <v>664.73992899999996</v>
      </c>
      <c r="F2454">
        <f>0</f>
        <v>0</v>
      </c>
      <c r="G2454">
        <f>231836838/10^6</f>
        <v>231.836838</v>
      </c>
      <c r="H2454">
        <f>0</f>
        <v>0</v>
      </c>
      <c r="I2454">
        <f>-41083759/10^6</f>
        <v>-41.083759000000001</v>
      </c>
      <c r="J2454">
        <f>0</f>
        <v>0</v>
      </c>
    </row>
    <row r="2455" spans="1:10" x14ac:dyDescent="0.25">
      <c r="A2455" t="s">
        <v>2464</v>
      </c>
      <c r="B2455" t="s">
        <v>11</v>
      </c>
      <c r="C2455">
        <v>119.29994531300001</v>
      </c>
      <c r="D2455">
        <f>0</f>
        <v>0</v>
      </c>
      <c r="E2455">
        <f>661207947/10^6</f>
        <v>661.20794699999999</v>
      </c>
      <c r="F2455">
        <f>0</f>
        <v>0</v>
      </c>
      <c r="G2455">
        <f>231915207/10^6</f>
        <v>231.91520700000001</v>
      </c>
      <c r="H2455">
        <f>0</f>
        <v>0</v>
      </c>
      <c r="I2455">
        <f>-40598072/10^6</f>
        <v>-40.598072000000002</v>
      </c>
      <c r="J2455">
        <f>0</f>
        <v>0</v>
      </c>
    </row>
    <row r="2456" spans="1:10" x14ac:dyDescent="0.25">
      <c r="A2456" t="s">
        <v>2465</v>
      </c>
      <c r="B2456" t="s">
        <v>11</v>
      </c>
      <c r="C2456">
        <v>119.893984375</v>
      </c>
      <c r="D2456">
        <f>0</f>
        <v>0</v>
      </c>
      <c r="E2456">
        <f>657988342/10^6</f>
        <v>657.98834199999999</v>
      </c>
      <c r="F2456">
        <f>0</f>
        <v>0</v>
      </c>
      <c r="G2456">
        <f>231991013/10^6</f>
        <v>231.99101300000001</v>
      </c>
      <c r="H2456">
        <f>0</f>
        <v>0</v>
      </c>
      <c r="I2456">
        <f>-40451599/10^6</f>
        <v>-40.451599000000002</v>
      </c>
      <c r="J2456">
        <f>0</f>
        <v>0</v>
      </c>
    </row>
    <row r="2457" spans="1:10" x14ac:dyDescent="0.25">
      <c r="A2457" t="s">
        <v>2466</v>
      </c>
      <c r="B2457" t="s">
        <v>11</v>
      </c>
      <c r="C2457">
        <v>120.47278125</v>
      </c>
      <c r="D2457">
        <f>0</f>
        <v>0</v>
      </c>
      <c r="E2457">
        <f>654684937/10^6</f>
        <v>654.68493699999999</v>
      </c>
      <c r="F2457">
        <f>0</f>
        <v>0</v>
      </c>
      <c r="G2457">
        <f>232035828/10^6</f>
        <v>232.03582800000001</v>
      </c>
      <c r="H2457">
        <f>0</f>
        <v>0</v>
      </c>
      <c r="I2457">
        <f>-40080139/10^6</f>
        <v>-40.080139000000003</v>
      </c>
      <c r="J2457">
        <f>0</f>
        <v>0</v>
      </c>
    </row>
    <row r="2458" spans="1:10" x14ac:dyDescent="0.25">
      <c r="A2458" t="s">
        <v>2467</v>
      </c>
      <c r="B2458" t="s">
        <v>11</v>
      </c>
      <c r="C2458">
        <v>120.948859375</v>
      </c>
      <c r="D2458">
        <f>0</f>
        <v>0</v>
      </c>
      <c r="E2458">
        <f>651820313/10^6</f>
        <v>651.82031300000006</v>
      </c>
      <c r="F2458">
        <f>0</f>
        <v>0</v>
      </c>
      <c r="G2458">
        <f>232047821/10^6</f>
        <v>232.047821</v>
      </c>
      <c r="H2458">
        <f>0</f>
        <v>0</v>
      </c>
      <c r="I2458">
        <f>-39455212/10^6</f>
        <v>-39.455212000000003</v>
      </c>
      <c r="J2458">
        <f>0</f>
        <v>0</v>
      </c>
    </row>
    <row r="2459" spans="1:10" x14ac:dyDescent="0.25">
      <c r="A2459" t="s">
        <v>2468</v>
      </c>
      <c r="B2459" t="s">
        <v>11</v>
      </c>
      <c r="C2459">
        <v>121.211523438</v>
      </c>
      <c r="D2459">
        <f>0</f>
        <v>0</v>
      </c>
      <c r="E2459">
        <f>650259094/10^6</f>
        <v>650.259094</v>
      </c>
      <c r="F2459">
        <f>0</f>
        <v>0</v>
      </c>
      <c r="G2459">
        <f>232075775/10^6</f>
        <v>232.07577499999999</v>
      </c>
      <c r="H2459">
        <f>0</f>
        <v>0</v>
      </c>
      <c r="I2459">
        <f>-39249176/10^6</f>
        <v>-39.249175999999999</v>
      </c>
      <c r="J2459">
        <f>0</f>
        <v>0</v>
      </c>
    </row>
    <row r="2460" spans="1:10" x14ac:dyDescent="0.25">
      <c r="A2460" t="s">
        <v>2469</v>
      </c>
      <c r="B2460" t="s">
        <v>11</v>
      </c>
      <c r="C2460">
        <v>0</v>
      </c>
      <c r="D2460">
        <f>2</f>
        <v>2</v>
      </c>
      <c r="F2460">
        <f>2</f>
        <v>2</v>
      </c>
      <c r="H2460">
        <f>2</f>
        <v>2</v>
      </c>
      <c r="J2460">
        <f>2</f>
        <v>2</v>
      </c>
    </row>
    <row r="2461" spans="1:10" x14ac:dyDescent="0.25">
      <c r="A2461" t="s">
        <v>2470</v>
      </c>
      <c r="B2461" t="s">
        <v>11</v>
      </c>
      <c r="C2461">
        <v>121.423109375</v>
      </c>
      <c r="D2461">
        <f>0</f>
        <v>0</v>
      </c>
      <c r="E2461">
        <f>649373535/10^6</f>
        <v>649.37353499999995</v>
      </c>
      <c r="F2461">
        <f>0</f>
        <v>0</v>
      </c>
      <c r="G2461">
        <f>232168396/10^6</f>
        <v>232.168396</v>
      </c>
      <c r="H2461">
        <f>0</f>
        <v>0</v>
      </c>
      <c r="I2461">
        <f>-39279327/10^6</f>
        <v>-39.279327000000002</v>
      </c>
      <c r="J2461">
        <f>0</f>
        <v>0</v>
      </c>
    </row>
    <row r="2462" spans="1:10" x14ac:dyDescent="0.25">
      <c r="A2462" t="s">
        <v>2471</v>
      </c>
      <c r="B2462" t="s">
        <v>11</v>
      </c>
      <c r="C2462">
        <v>121.49853125</v>
      </c>
      <c r="D2462">
        <f>0</f>
        <v>0</v>
      </c>
      <c r="E2462">
        <f>648951355/10^6</f>
        <v>648.95135500000004</v>
      </c>
      <c r="F2462">
        <f>0</f>
        <v>0</v>
      </c>
      <c r="G2462">
        <f>232201782/10^6</f>
        <v>232.20178200000001</v>
      </c>
      <c r="H2462">
        <f>0</f>
        <v>0</v>
      </c>
      <c r="I2462">
        <f>-39141689/10^6</f>
        <v>-39.141689</v>
      </c>
      <c r="J2462">
        <f>0</f>
        <v>0</v>
      </c>
    </row>
    <row r="2463" spans="1:10" x14ac:dyDescent="0.25">
      <c r="A2463" t="s">
        <v>2472</v>
      </c>
      <c r="B2463" t="s">
        <v>11</v>
      </c>
      <c r="C2463">
        <v>121.56475</v>
      </c>
      <c r="D2463">
        <f>0</f>
        <v>0</v>
      </c>
      <c r="E2463">
        <f>648671875/10^6</f>
        <v>648.671875</v>
      </c>
      <c r="F2463">
        <f>0</f>
        <v>0</v>
      </c>
      <c r="G2463">
        <f>23222438/10^5</f>
        <v>232.22438</v>
      </c>
      <c r="H2463">
        <f>0</f>
        <v>0</v>
      </c>
      <c r="I2463">
        <f>-39206776/10^6</f>
        <v>-39.206775999999998</v>
      </c>
      <c r="J2463">
        <f>0</f>
        <v>0</v>
      </c>
    </row>
    <row r="2464" spans="1:10" x14ac:dyDescent="0.25">
      <c r="A2464" t="s">
        <v>2473</v>
      </c>
      <c r="B2464" t="s">
        <v>11</v>
      </c>
      <c r="C2464">
        <v>0</v>
      </c>
      <c r="D2464">
        <f>2</f>
        <v>2</v>
      </c>
      <c r="F2464">
        <f>2</f>
        <v>2</v>
      </c>
      <c r="H2464">
        <f>2</f>
        <v>2</v>
      </c>
      <c r="J2464">
        <f>2</f>
        <v>2</v>
      </c>
    </row>
    <row r="2465" spans="1:10" x14ac:dyDescent="0.25">
      <c r="A2465" t="s">
        <v>2474</v>
      </c>
      <c r="B2465" t="s">
        <v>11</v>
      </c>
      <c r="C2465">
        <v>121.492445313</v>
      </c>
      <c r="D2465">
        <f>0</f>
        <v>0</v>
      </c>
      <c r="E2465">
        <f>649079712/10^6</f>
        <v>649.07971199999997</v>
      </c>
      <c r="F2465">
        <f>0</f>
        <v>0</v>
      </c>
      <c r="G2465">
        <f>232233353/10^6</f>
        <v>232.23335299999999</v>
      </c>
      <c r="H2465">
        <f>0</f>
        <v>0</v>
      </c>
      <c r="I2465">
        <f>-39119171/10^6</f>
        <v>-39.119171000000001</v>
      </c>
      <c r="J2465">
        <f>0</f>
        <v>0</v>
      </c>
    </row>
    <row r="2466" spans="1:10" x14ac:dyDescent="0.25">
      <c r="A2466" t="s">
        <v>2475</v>
      </c>
      <c r="B2466" t="s">
        <v>11</v>
      </c>
      <c r="C2466">
        <v>121.35184375</v>
      </c>
      <c r="D2466">
        <f>0</f>
        <v>0</v>
      </c>
      <c r="E2466">
        <f>649896423/10^6</f>
        <v>649.89642300000003</v>
      </c>
      <c r="F2466">
        <f>0</f>
        <v>0</v>
      </c>
      <c r="G2466">
        <f>232229584/10^6</f>
        <v>232.22958399999999</v>
      </c>
      <c r="H2466">
        <f>0</f>
        <v>0</v>
      </c>
      <c r="I2466">
        <f>-39043617/10^6</f>
        <v>-39.043616999999998</v>
      </c>
      <c r="J2466">
        <f>0</f>
        <v>0</v>
      </c>
    </row>
    <row r="2467" spans="1:10" x14ac:dyDescent="0.25">
      <c r="A2467" t="s">
        <v>2476</v>
      </c>
      <c r="B2467" t="s">
        <v>11</v>
      </c>
      <c r="C2467">
        <v>121.17196875</v>
      </c>
      <c r="D2467">
        <f>0</f>
        <v>0</v>
      </c>
      <c r="E2467">
        <f>650889771/10^6</f>
        <v>650.889771</v>
      </c>
      <c r="F2467">
        <f>0</f>
        <v>0</v>
      </c>
      <c r="G2467">
        <f>232208832/10^6</f>
        <v>232.208832</v>
      </c>
      <c r="H2467">
        <f>0</f>
        <v>0</v>
      </c>
      <c r="I2467">
        <f>-3902739/10^5</f>
        <v>-39.027389999999997</v>
      </c>
      <c r="J2467">
        <f>0</f>
        <v>0</v>
      </c>
    </row>
    <row r="2468" spans="1:10" x14ac:dyDescent="0.25">
      <c r="A2468" t="s">
        <v>2477</v>
      </c>
      <c r="B2468" t="s">
        <v>11</v>
      </c>
      <c r="C2468">
        <v>120.957921875</v>
      </c>
      <c r="D2468">
        <f>0</f>
        <v>0</v>
      </c>
      <c r="E2468">
        <f>652023926/10^6</f>
        <v>652.02392599999996</v>
      </c>
      <c r="F2468">
        <f>0</f>
        <v>0</v>
      </c>
      <c r="G2468">
        <f>232180542/10^6</f>
        <v>232.180542</v>
      </c>
      <c r="H2468">
        <f>0</f>
        <v>0</v>
      </c>
      <c r="I2468">
        <f>-39153679/10^6</f>
        <v>-39.153678999999997</v>
      </c>
      <c r="J2468">
        <f>0</f>
        <v>0</v>
      </c>
    </row>
    <row r="2469" spans="1:10" x14ac:dyDescent="0.25">
      <c r="A2469" t="s">
        <v>2478</v>
      </c>
      <c r="B2469" t="s">
        <v>11</v>
      </c>
      <c r="C2469">
        <v>120.719835938</v>
      </c>
      <c r="D2469">
        <f>0</f>
        <v>0</v>
      </c>
      <c r="E2469">
        <f>653410217/10^6</f>
        <v>653.41021699999999</v>
      </c>
      <c r="F2469">
        <f>0</f>
        <v>0</v>
      </c>
      <c r="G2469">
        <f>232144806/10^6</f>
        <v>232.14480599999999</v>
      </c>
      <c r="H2469">
        <f>0</f>
        <v>0</v>
      </c>
      <c r="I2469">
        <f>-39362003/10^6</f>
        <v>-39.362003000000001</v>
      </c>
      <c r="J2469">
        <f>0</f>
        <v>0</v>
      </c>
    </row>
    <row r="2470" spans="1:10" x14ac:dyDescent="0.25">
      <c r="A2470" t="s">
        <v>2479</v>
      </c>
      <c r="B2470" t="s">
        <v>11</v>
      </c>
      <c r="C2470">
        <v>120.451882813</v>
      </c>
      <c r="D2470">
        <f>0</f>
        <v>0</v>
      </c>
      <c r="E2470">
        <f>654852173/10^6</f>
        <v>654.85217299999999</v>
      </c>
      <c r="F2470">
        <f>0</f>
        <v>0</v>
      </c>
      <c r="G2470">
        <f>232100128/10^6</f>
        <v>232.10012800000001</v>
      </c>
      <c r="H2470">
        <f>0</f>
        <v>0</v>
      </c>
      <c r="I2470">
        <f>-39438076/10^6</f>
        <v>-39.438076000000002</v>
      </c>
      <c r="J2470">
        <f>0</f>
        <v>0</v>
      </c>
    </row>
    <row r="2471" spans="1:10" x14ac:dyDescent="0.25">
      <c r="A2471" t="s">
        <v>2480</v>
      </c>
      <c r="B2471" t="s">
        <v>11</v>
      </c>
      <c r="C2471">
        <v>120.171835938</v>
      </c>
      <c r="D2471">
        <f>0</f>
        <v>0</v>
      </c>
      <c r="E2471">
        <f>656308411/10^6</f>
        <v>656.30841099999998</v>
      </c>
      <c r="F2471">
        <f>0</f>
        <v>0</v>
      </c>
      <c r="G2471">
        <f>232061356/10^6</f>
        <v>232.06135599999999</v>
      </c>
      <c r="H2471">
        <f>0</f>
        <v>0</v>
      </c>
      <c r="I2471">
        <f>-39495777/10^6</f>
        <v>-39.495776999999997</v>
      </c>
      <c r="J2471">
        <f>0</f>
        <v>0</v>
      </c>
    </row>
    <row r="2472" spans="1:10" x14ac:dyDescent="0.25">
      <c r="A2472" t="s">
        <v>2481</v>
      </c>
      <c r="B2472" t="s">
        <v>11</v>
      </c>
      <c r="C2472">
        <v>119.882835938</v>
      </c>
      <c r="D2472">
        <f>0</f>
        <v>0</v>
      </c>
      <c r="E2472">
        <f>657895447/10^6</f>
        <v>657.89544699999999</v>
      </c>
      <c r="F2472">
        <f>0</f>
        <v>0</v>
      </c>
      <c r="G2472">
        <f>232004272/10^6</f>
        <v>232.00427199999999</v>
      </c>
      <c r="H2472">
        <f>0</f>
        <v>0</v>
      </c>
      <c r="I2472">
        <f>-39592815/10^6</f>
        <v>-39.592815000000002</v>
      </c>
      <c r="J2472">
        <f>0</f>
        <v>0</v>
      </c>
    </row>
    <row r="2473" spans="1:10" x14ac:dyDescent="0.25">
      <c r="A2473" t="s">
        <v>2482</v>
      </c>
      <c r="B2473" t="s">
        <v>11</v>
      </c>
      <c r="C2473">
        <v>0</v>
      </c>
      <c r="D2473">
        <f>2</f>
        <v>2</v>
      </c>
      <c r="F2473">
        <f>2</f>
        <v>2</v>
      </c>
      <c r="H2473">
        <f>2</f>
        <v>2</v>
      </c>
      <c r="J2473">
        <f>2</f>
        <v>2</v>
      </c>
    </row>
    <row r="2474" spans="1:10" x14ac:dyDescent="0.25">
      <c r="A2474" t="s">
        <v>2483</v>
      </c>
      <c r="B2474" t="s">
        <v>11</v>
      </c>
      <c r="C2474">
        <v>119.18109375</v>
      </c>
      <c r="D2474">
        <f>0</f>
        <v>0</v>
      </c>
      <c r="E2474">
        <f>661583069/10^6</f>
        <v>661.58306900000002</v>
      </c>
      <c r="F2474">
        <f>0</f>
        <v>0</v>
      </c>
      <c r="G2474">
        <f>231888504/10^6</f>
        <v>231.88850400000001</v>
      </c>
      <c r="H2474">
        <f>0</f>
        <v>0</v>
      </c>
      <c r="I2474">
        <f>-39847965/10^6</f>
        <v>-39.847965000000002</v>
      </c>
      <c r="J2474">
        <f>0</f>
        <v>0</v>
      </c>
    </row>
    <row r="2475" spans="1:10" x14ac:dyDescent="0.25">
      <c r="A2475" t="s">
        <v>2484</v>
      </c>
      <c r="B2475" t="s">
        <v>11</v>
      </c>
      <c r="C2475">
        <v>118.863726563</v>
      </c>
      <c r="D2475">
        <f>0</f>
        <v>0</v>
      </c>
      <c r="E2475">
        <f>663328308/10^6</f>
        <v>663.32830799999999</v>
      </c>
      <c r="F2475">
        <f>0</f>
        <v>0</v>
      </c>
      <c r="G2475">
        <f>231825562/10^6</f>
        <v>231.82556199999999</v>
      </c>
      <c r="H2475">
        <f>0</f>
        <v>0</v>
      </c>
      <c r="I2475">
        <f>-40052216/10^6</f>
        <v>-40.052216000000001</v>
      </c>
      <c r="J2475">
        <f>0</f>
        <v>0</v>
      </c>
    </row>
    <row r="2476" spans="1:10" x14ac:dyDescent="0.25">
      <c r="A2476" t="s">
        <v>2485</v>
      </c>
      <c r="B2476" t="s">
        <v>11</v>
      </c>
      <c r="C2476">
        <v>118.50363281300001</v>
      </c>
      <c r="D2476">
        <f>0</f>
        <v>0</v>
      </c>
      <c r="E2476">
        <f>665360535/10^6</f>
        <v>665.36053500000003</v>
      </c>
      <c r="F2476">
        <f>0</f>
        <v>0</v>
      </c>
      <c r="G2476">
        <f>231745636/10^6</f>
        <v>231.74563599999999</v>
      </c>
      <c r="H2476">
        <f>0</f>
        <v>0</v>
      </c>
      <c r="I2476">
        <f>-40412334/10^6</f>
        <v>-40.412334000000001</v>
      </c>
      <c r="J2476">
        <f>0</f>
        <v>0</v>
      </c>
    </row>
    <row r="2477" spans="1:10" x14ac:dyDescent="0.25">
      <c r="A2477" t="s">
        <v>2486</v>
      </c>
      <c r="B2477" t="s">
        <v>11</v>
      </c>
      <c r="C2477">
        <v>118.123210938</v>
      </c>
      <c r="D2477">
        <f>0</f>
        <v>0</v>
      </c>
      <c r="E2477">
        <f>667367432/10^6</f>
        <v>667.36743200000001</v>
      </c>
      <c r="F2477">
        <f>0</f>
        <v>0</v>
      </c>
      <c r="G2477">
        <f>231660599/10^6</f>
        <v>231.66059899999999</v>
      </c>
      <c r="H2477">
        <f>0</f>
        <v>0</v>
      </c>
      <c r="I2477">
        <f>-40594589/10^6</f>
        <v>-40.594588999999999</v>
      </c>
      <c r="J2477">
        <f>0</f>
        <v>0</v>
      </c>
    </row>
    <row r="2478" spans="1:10" x14ac:dyDescent="0.25">
      <c r="A2478" t="s">
        <v>2487</v>
      </c>
      <c r="B2478" t="s">
        <v>11</v>
      </c>
      <c r="C2478">
        <v>117.72296875000001</v>
      </c>
      <c r="D2478">
        <f>0</f>
        <v>0</v>
      </c>
      <c r="E2478">
        <f>669568848/10^6</f>
        <v>669.568848</v>
      </c>
      <c r="F2478">
        <f>0</f>
        <v>0</v>
      </c>
      <c r="G2478">
        <f>231588425/10^6</f>
        <v>231.588425</v>
      </c>
      <c r="H2478">
        <f>0</f>
        <v>0</v>
      </c>
      <c r="I2478">
        <f>-40937248/10^6</f>
        <v>-40.937247999999997</v>
      </c>
      <c r="J2478">
        <f>0</f>
        <v>0</v>
      </c>
    </row>
    <row r="2479" spans="1:10" x14ac:dyDescent="0.25">
      <c r="A2479" t="s">
        <v>2488</v>
      </c>
      <c r="B2479" t="s">
        <v>11</v>
      </c>
      <c r="C2479">
        <v>117.315828125</v>
      </c>
      <c r="D2479">
        <f>0</f>
        <v>0</v>
      </c>
      <c r="E2479">
        <f>671983337/10^6</f>
        <v>671.98333700000001</v>
      </c>
      <c r="F2479">
        <f>0</f>
        <v>0</v>
      </c>
      <c r="G2479">
        <f>231514053/10^6</f>
        <v>231.51405299999999</v>
      </c>
      <c r="H2479">
        <f>0</f>
        <v>0</v>
      </c>
      <c r="I2479">
        <f>-41355358/10^6</f>
        <v>-41.355358000000003</v>
      </c>
      <c r="J2479">
        <f>0</f>
        <v>0</v>
      </c>
    </row>
    <row r="2480" spans="1:10" x14ac:dyDescent="0.25">
      <c r="A2480" t="s">
        <v>2489</v>
      </c>
      <c r="B2480" t="s">
        <v>11</v>
      </c>
      <c r="C2480">
        <v>116.903773438</v>
      </c>
      <c r="D2480">
        <f>0</f>
        <v>0</v>
      </c>
      <c r="E2480">
        <f>674294006/10^6</f>
        <v>674.29400599999997</v>
      </c>
      <c r="F2480">
        <f>0</f>
        <v>0</v>
      </c>
      <c r="G2480">
        <f>231433395/10^6</f>
        <v>231.43339499999999</v>
      </c>
      <c r="H2480">
        <f>0</f>
        <v>0</v>
      </c>
      <c r="I2480">
        <f>-41559425/10^6</f>
        <v>-41.559424999999997</v>
      </c>
      <c r="J2480">
        <f>0</f>
        <v>0</v>
      </c>
    </row>
    <row r="2481" spans="1:10" x14ac:dyDescent="0.25">
      <c r="A2481" t="s">
        <v>2490</v>
      </c>
      <c r="B2481" t="s">
        <v>11</v>
      </c>
      <c r="C2481">
        <v>116.486890625</v>
      </c>
      <c r="D2481">
        <f>0</f>
        <v>0</v>
      </c>
      <c r="E2481">
        <f>676630249/10^6</f>
        <v>676.63024900000005</v>
      </c>
      <c r="F2481">
        <f>0</f>
        <v>0</v>
      </c>
      <c r="G2481">
        <f>231379868/10^6</f>
        <v>231.37986799999999</v>
      </c>
      <c r="H2481">
        <f>0</f>
        <v>0</v>
      </c>
      <c r="I2481">
        <f>-41716908/10^6</f>
        <v>-41.716907999999997</v>
      </c>
      <c r="J2481">
        <f>0</f>
        <v>0</v>
      </c>
    </row>
    <row r="2482" spans="1:10" x14ac:dyDescent="0.25">
      <c r="A2482" t="s">
        <v>2491</v>
      </c>
      <c r="B2482" t="s">
        <v>11</v>
      </c>
      <c r="C2482">
        <v>116.08671093800001</v>
      </c>
      <c r="D2482">
        <f>0</f>
        <v>0</v>
      </c>
      <c r="E2482">
        <f>678982117/10^6</f>
        <v>678.98211700000002</v>
      </c>
      <c r="F2482">
        <f>0</f>
        <v>0</v>
      </c>
      <c r="G2482">
        <f>231329025/10^6</f>
        <v>231.329025</v>
      </c>
      <c r="H2482">
        <f>0</f>
        <v>0</v>
      </c>
      <c r="I2482">
        <f>-42003082/10^6</f>
        <v>-42.003081999999999</v>
      </c>
      <c r="J2482">
        <f>0</f>
        <v>0</v>
      </c>
    </row>
    <row r="2483" spans="1:10" x14ac:dyDescent="0.25">
      <c r="A2483" t="s">
        <v>2492</v>
      </c>
      <c r="B2483" t="s">
        <v>11</v>
      </c>
      <c r="C2483">
        <v>115.75063281300001</v>
      </c>
      <c r="D2483">
        <f>0</f>
        <v>0</v>
      </c>
      <c r="E2483">
        <f>680881897/10^6</f>
        <v>680.88189699999998</v>
      </c>
      <c r="F2483">
        <f>0</f>
        <v>0</v>
      </c>
      <c r="G2483">
        <f>231210693/10^6</f>
        <v>231.21069299999999</v>
      </c>
      <c r="H2483">
        <f>0</f>
        <v>0</v>
      </c>
      <c r="I2483">
        <f>-42391174/10^6</f>
        <v>-42.391173999999999</v>
      </c>
      <c r="J2483">
        <f>0</f>
        <v>0</v>
      </c>
    </row>
    <row r="2484" spans="1:10" x14ac:dyDescent="0.25">
      <c r="A2484" t="s">
        <v>2493</v>
      </c>
      <c r="B2484" t="s">
        <v>11</v>
      </c>
      <c r="C2484">
        <v>115.472351563</v>
      </c>
      <c r="D2484">
        <f>0</f>
        <v>0</v>
      </c>
      <c r="E2484">
        <f>682444397/10^6</f>
        <v>682.44439699999998</v>
      </c>
      <c r="F2484">
        <f>0</f>
        <v>0</v>
      </c>
      <c r="G2484">
        <f>231113708/10^6</f>
        <v>231.113708</v>
      </c>
      <c r="H2484">
        <f>0</f>
        <v>0</v>
      </c>
      <c r="I2484">
        <f>-42690002/10^6</f>
        <v>-42.690002</v>
      </c>
      <c r="J2484">
        <f>0</f>
        <v>0</v>
      </c>
    </row>
    <row r="2485" spans="1:10" x14ac:dyDescent="0.25">
      <c r="A2485" t="s">
        <v>2494</v>
      </c>
      <c r="B2485" t="s">
        <v>11</v>
      </c>
      <c r="C2485">
        <v>0</v>
      </c>
      <c r="D2485">
        <f>2</f>
        <v>2</v>
      </c>
      <c r="F2485">
        <f>2</f>
        <v>2</v>
      </c>
      <c r="H2485">
        <f>2</f>
        <v>2</v>
      </c>
      <c r="J2485">
        <f>2</f>
        <v>2</v>
      </c>
    </row>
    <row r="2486" spans="1:10" x14ac:dyDescent="0.25">
      <c r="A2486" t="s">
        <v>2495</v>
      </c>
      <c r="B2486" t="s">
        <v>11</v>
      </c>
      <c r="C2486">
        <v>115.24057031300001</v>
      </c>
      <c r="D2486">
        <f>0</f>
        <v>0</v>
      </c>
      <c r="E2486">
        <f>683824219/10^6</f>
        <v>683.82421899999997</v>
      </c>
      <c r="F2486">
        <f>0</f>
        <v>0</v>
      </c>
      <c r="G2486">
        <f>231074219/10^6</f>
        <v>231.074219</v>
      </c>
      <c r="H2486">
        <f>0</f>
        <v>0</v>
      </c>
      <c r="I2486">
        <f>-42993984/10^6</f>
        <v>-42.993983999999998</v>
      </c>
      <c r="J2486">
        <f>0</f>
        <v>0</v>
      </c>
    </row>
    <row r="2487" spans="1:10" x14ac:dyDescent="0.25">
      <c r="A2487" t="s">
        <v>2496</v>
      </c>
      <c r="B2487" t="s">
        <v>11</v>
      </c>
      <c r="C2487">
        <v>115.16228125000001</v>
      </c>
      <c r="D2487">
        <f>0</f>
        <v>0</v>
      </c>
      <c r="E2487">
        <f>684119019/10^6</f>
        <v>684.11901899999998</v>
      </c>
      <c r="F2487">
        <f>0</f>
        <v>0</v>
      </c>
      <c r="G2487">
        <f>231078812/10^6</f>
        <v>231.078812</v>
      </c>
      <c r="H2487">
        <f>0</f>
        <v>0</v>
      </c>
      <c r="I2487">
        <f>-42704185/10^6</f>
        <v>-42.704185000000003</v>
      </c>
      <c r="J2487">
        <f>0</f>
        <v>0</v>
      </c>
    </row>
    <row r="2488" spans="1:10" x14ac:dyDescent="0.25">
      <c r="A2488" t="s">
        <v>2497</v>
      </c>
      <c r="B2488" t="s">
        <v>11</v>
      </c>
      <c r="C2488">
        <v>114.991710938</v>
      </c>
      <c r="D2488">
        <f>0</f>
        <v>0</v>
      </c>
      <c r="E2488">
        <f>685068787/10^6</f>
        <v>685.06878700000004</v>
      </c>
      <c r="F2488">
        <f>0</f>
        <v>0</v>
      </c>
      <c r="G2488">
        <f>231008209/10^6</f>
        <v>231.00820899999999</v>
      </c>
      <c r="H2488">
        <f>0</f>
        <v>0</v>
      </c>
      <c r="I2488">
        <f>-42975777/10^6</f>
        <v>-42.975777000000001</v>
      </c>
      <c r="J2488">
        <f>0</f>
        <v>0</v>
      </c>
    </row>
    <row r="2489" spans="1:10" x14ac:dyDescent="0.25">
      <c r="A2489" t="s">
        <v>2498</v>
      </c>
      <c r="B2489" t="s">
        <v>11</v>
      </c>
      <c r="C2489">
        <v>114.877804688</v>
      </c>
      <c r="D2489">
        <f>0</f>
        <v>0</v>
      </c>
      <c r="E2489">
        <f>685718872/10^6</f>
        <v>685.71887200000003</v>
      </c>
      <c r="F2489">
        <f>0</f>
        <v>0</v>
      </c>
      <c r="G2489">
        <f>23093782/10^5</f>
        <v>230.93781999999999</v>
      </c>
      <c r="H2489">
        <f>0</f>
        <v>0</v>
      </c>
      <c r="I2489">
        <f>-43231136/10^6</f>
        <v>-43.231135999999999</v>
      </c>
      <c r="J2489">
        <f>0</f>
        <v>0</v>
      </c>
    </row>
    <row r="2490" spans="1:10" x14ac:dyDescent="0.25">
      <c r="A2490" t="s">
        <v>2499</v>
      </c>
      <c r="B2490" t="s">
        <v>11</v>
      </c>
      <c r="C2490">
        <v>114.83278125</v>
      </c>
      <c r="D2490">
        <f>0</f>
        <v>0</v>
      </c>
      <c r="E2490">
        <f>685884949/10^6</f>
        <v>685.88494900000001</v>
      </c>
      <c r="F2490">
        <f>0</f>
        <v>0</v>
      </c>
      <c r="G2490">
        <f>230942093/10^6</f>
        <v>230.942093</v>
      </c>
      <c r="H2490">
        <f>0</f>
        <v>0</v>
      </c>
      <c r="I2490">
        <f>-42955727/10^6</f>
        <v>-42.955727000000003</v>
      </c>
      <c r="J2490">
        <f>0</f>
        <v>0</v>
      </c>
    </row>
    <row r="2491" spans="1:10" x14ac:dyDescent="0.25">
      <c r="A2491" t="s">
        <v>2500</v>
      </c>
      <c r="B2491" t="s">
        <v>11</v>
      </c>
      <c r="C2491">
        <v>114.779335938</v>
      </c>
      <c r="D2491">
        <f>0</f>
        <v>0</v>
      </c>
      <c r="E2491">
        <f>686322754/10^6</f>
        <v>686.32275400000003</v>
      </c>
      <c r="F2491">
        <f>0</f>
        <v>0</v>
      </c>
      <c r="G2491">
        <f>230975632/10^6</f>
        <v>230.97563199999999</v>
      </c>
      <c r="H2491">
        <f>0</f>
        <v>0</v>
      </c>
      <c r="I2491">
        <f>-43068027/10^6</f>
        <v>-43.068027000000001</v>
      </c>
      <c r="J2491">
        <f>0</f>
        <v>0</v>
      </c>
    </row>
    <row r="2492" spans="1:10" x14ac:dyDescent="0.25">
      <c r="A2492" t="s">
        <v>2501</v>
      </c>
      <c r="B2492" t="s">
        <v>11</v>
      </c>
      <c r="C2492">
        <v>114.736421875</v>
      </c>
      <c r="D2492">
        <f>0</f>
        <v>0</v>
      </c>
      <c r="E2492">
        <f>686553833/10^6</f>
        <v>686.55383300000005</v>
      </c>
      <c r="F2492">
        <f>0</f>
        <v>0</v>
      </c>
      <c r="G2492">
        <f>230932739/10^6</f>
        <v>230.932739</v>
      </c>
      <c r="H2492">
        <f>0</f>
        <v>0</v>
      </c>
      <c r="I2492">
        <f>-43253521/10^6</f>
        <v>-43.253520999999999</v>
      </c>
      <c r="J2492">
        <f>0</f>
        <v>0</v>
      </c>
    </row>
    <row r="2493" spans="1:10" x14ac:dyDescent="0.25">
      <c r="A2493" t="s">
        <v>2502</v>
      </c>
      <c r="B2493" t="s">
        <v>11</v>
      </c>
      <c r="C2493">
        <v>114.729828125</v>
      </c>
      <c r="D2493">
        <f>0</f>
        <v>0</v>
      </c>
      <c r="E2493">
        <f>686636902/10^6</f>
        <v>686.63690199999996</v>
      </c>
      <c r="F2493">
        <f>0</f>
        <v>0</v>
      </c>
      <c r="G2493">
        <f>230939819/10^6</f>
        <v>230.939819</v>
      </c>
      <c r="H2493">
        <f>0</f>
        <v>0</v>
      </c>
      <c r="I2493">
        <f>-43271217/10^6</f>
        <v>-43.271217</v>
      </c>
      <c r="J2493">
        <f>0</f>
        <v>0</v>
      </c>
    </row>
    <row r="2494" spans="1:10" x14ac:dyDescent="0.25">
      <c r="A2494" t="s">
        <v>2503</v>
      </c>
      <c r="B2494" t="s">
        <v>11</v>
      </c>
      <c r="C2494">
        <v>114.708</v>
      </c>
      <c r="D2494">
        <f>0</f>
        <v>0</v>
      </c>
      <c r="E2494">
        <f>686970886/10^6</f>
        <v>686.97088599999995</v>
      </c>
      <c r="F2494">
        <f>0</f>
        <v>0</v>
      </c>
      <c r="G2494">
        <f>231014465/10^6</f>
        <v>231.014465</v>
      </c>
      <c r="H2494">
        <f>0</f>
        <v>0</v>
      </c>
      <c r="I2494">
        <f>-43327599/10^6</f>
        <v>-43.327598999999999</v>
      </c>
      <c r="J2494">
        <f>0</f>
        <v>0</v>
      </c>
    </row>
    <row r="2495" spans="1:10" x14ac:dyDescent="0.25">
      <c r="A2495" t="s">
        <v>2504</v>
      </c>
      <c r="B2495" t="s">
        <v>11</v>
      </c>
      <c r="C2495">
        <v>0</v>
      </c>
      <c r="D2495">
        <f>2</f>
        <v>2</v>
      </c>
      <c r="F2495">
        <f>2</f>
        <v>2</v>
      </c>
      <c r="H2495">
        <f>2</f>
        <v>2</v>
      </c>
      <c r="J2495">
        <f>2</f>
        <v>2</v>
      </c>
    </row>
    <row r="2496" spans="1:10" x14ac:dyDescent="0.25">
      <c r="A2496" t="s">
        <v>2505</v>
      </c>
      <c r="B2496" t="s">
        <v>11</v>
      </c>
      <c r="C2496">
        <v>114.63256250000001</v>
      </c>
      <c r="D2496">
        <f>0</f>
        <v>0</v>
      </c>
      <c r="E2496">
        <f>687440735/10^6</f>
        <v>687.44073500000002</v>
      </c>
      <c r="F2496">
        <f>0</f>
        <v>0</v>
      </c>
      <c r="G2496">
        <f>230965607/10^6</f>
        <v>230.96560700000001</v>
      </c>
      <c r="H2496">
        <f>0</f>
        <v>0</v>
      </c>
      <c r="I2496">
        <f>-43571335/10^6</f>
        <v>-43.571334999999998</v>
      </c>
      <c r="J2496">
        <f>0</f>
        <v>0</v>
      </c>
    </row>
    <row r="2497" spans="1:10" x14ac:dyDescent="0.25">
      <c r="A2497" t="s">
        <v>2506</v>
      </c>
      <c r="B2497" t="s">
        <v>11</v>
      </c>
      <c r="C2497">
        <v>114.63782031300001</v>
      </c>
      <c r="D2497">
        <f>0</f>
        <v>0</v>
      </c>
      <c r="E2497">
        <f>687328979/10^6</f>
        <v>687.328979</v>
      </c>
      <c r="F2497">
        <f>0</f>
        <v>0</v>
      </c>
      <c r="G2497">
        <f>230971268/10^6</f>
        <v>230.97126800000001</v>
      </c>
      <c r="H2497">
        <f>0</f>
        <v>0</v>
      </c>
      <c r="I2497">
        <f>-43413136/10^6</f>
        <v>-43.413136000000002</v>
      </c>
      <c r="J2497">
        <f>0</f>
        <v>0</v>
      </c>
    </row>
    <row r="2498" spans="1:10" x14ac:dyDescent="0.25">
      <c r="A2498" t="s">
        <v>2507</v>
      </c>
      <c r="B2498" t="s">
        <v>11</v>
      </c>
      <c r="C2498">
        <v>114.6681875</v>
      </c>
      <c r="D2498">
        <f>0</f>
        <v>0</v>
      </c>
      <c r="E2498">
        <f>687047546/10^6</f>
        <v>687.04754600000001</v>
      </c>
      <c r="F2498">
        <f>0</f>
        <v>0</v>
      </c>
      <c r="G2498">
        <f>230962067/10^6</f>
        <v>230.96206699999999</v>
      </c>
      <c r="H2498">
        <f>0</f>
        <v>0</v>
      </c>
      <c r="I2498">
        <f>-43228905/10^6</f>
        <v>-43.228904999999997</v>
      </c>
      <c r="J2498">
        <f>0</f>
        <v>0</v>
      </c>
    </row>
    <row r="2499" spans="1:10" x14ac:dyDescent="0.25">
      <c r="A2499" t="s">
        <v>2508</v>
      </c>
      <c r="B2499" t="s">
        <v>11</v>
      </c>
      <c r="C2499">
        <v>114.67438281300001</v>
      </c>
      <c r="D2499">
        <f>0</f>
        <v>0</v>
      </c>
      <c r="E2499">
        <f>687036804/10^6</f>
        <v>687.03680399999996</v>
      </c>
      <c r="F2499">
        <f>0</f>
        <v>0</v>
      </c>
      <c r="G2499">
        <f>230960098/10^6</f>
        <v>230.96009799999999</v>
      </c>
      <c r="H2499">
        <f>0</f>
        <v>0</v>
      </c>
      <c r="I2499">
        <f>-4341003/10^5</f>
        <v>-43.410029999999999</v>
      </c>
      <c r="J2499">
        <f>0</f>
        <v>0</v>
      </c>
    </row>
    <row r="2500" spans="1:10" x14ac:dyDescent="0.25">
      <c r="A2500" t="s">
        <v>2509</v>
      </c>
      <c r="B2500" t="s">
        <v>11</v>
      </c>
      <c r="C2500">
        <v>114.680398438</v>
      </c>
      <c r="D2500">
        <f>0</f>
        <v>0</v>
      </c>
      <c r="E2500">
        <f>686960144/10^6</f>
        <v>686.96014400000001</v>
      </c>
      <c r="F2500">
        <f>0</f>
        <v>0</v>
      </c>
      <c r="G2500">
        <f>230975388/10^6</f>
        <v>230.97538800000001</v>
      </c>
      <c r="H2500">
        <f>0</f>
        <v>0</v>
      </c>
      <c r="I2500">
        <f>-43322086/10^6</f>
        <v>-43.322085999999999</v>
      </c>
      <c r="J2500">
        <f>0</f>
        <v>0</v>
      </c>
    </row>
    <row r="2501" spans="1:10" x14ac:dyDescent="0.25">
      <c r="A2501" t="s">
        <v>2510</v>
      </c>
      <c r="B2501" t="s">
        <v>11</v>
      </c>
      <c r="C2501">
        <v>114.68585937500001</v>
      </c>
      <c r="D2501">
        <f>0</f>
        <v>0</v>
      </c>
      <c r="E2501">
        <f>687140686/10^6</f>
        <v>687.14068599999996</v>
      </c>
      <c r="F2501">
        <f>0</f>
        <v>0</v>
      </c>
      <c r="G2501">
        <f>231031448/10^6</f>
        <v>231.03144800000001</v>
      </c>
      <c r="H2501">
        <f>0</f>
        <v>0</v>
      </c>
      <c r="I2501">
        <f>-43284916/10^6</f>
        <v>-43.284916000000003</v>
      </c>
      <c r="J2501">
        <f>0</f>
        <v>0</v>
      </c>
    </row>
    <row r="2502" spans="1:10" x14ac:dyDescent="0.25">
      <c r="A2502" t="s">
        <v>2511</v>
      </c>
      <c r="B2502" t="s">
        <v>11</v>
      </c>
      <c r="C2502">
        <v>114.69308593800001</v>
      </c>
      <c r="D2502">
        <f>0</f>
        <v>0</v>
      </c>
      <c r="E2502">
        <f>687197449/10^6</f>
        <v>687.19744900000001</v>
      </c>
      <c r="F2502">
        <f>0</f>
        <v>0</v>
      </c>
      <c r="G2502">
        <f>231027939/10^6</f>
        <v>231.027939</v>
      </c>
      <c r="H2502">
        <f>0</f>
        <v>0</v>
      </c>
      <c r="I2502">
        <f>-43480492/10^6</f>
        <v>-43.480491999999998</v>
      </c>
      <c r="J2502">
        <f>0</f>
        <v>0</v>
      </c>
    </row>
    <row r="2503" spans="1:10" x14ac:dyDescent="0.25">
      <c r="A2503" t="s">
        <v>2512</v>
      </c>
      <c r="B2503" t="s">
        <v>11</v>
      </c>
      <c r="C2503">
        <v>114.73390625</v>
      </c>
      <c r="D2503">
        <f>0</f>
        <v>0</v>
      </c>
      <c r="E2503">
        <f>686713318/10^6</f>
        <v>686.71331799999996</v>
      </c>
      <c r="F2503">
        <f>0</f>
        <v>0</v>
      </c>
      <c r="G2503">
        <f>230976196/10^6</f>
        <v>230.97619599999999</v>
      </c>
      <c r="H2503">
        <f>0</f>
        <v>0</v>
      </c>
      <c r="I2503">
        <f>-43408375/10^6</f>
        <v>-43.408374999999999</v>
      </c>
      <c r="J2503">
        <f>0</f>
        <v>0</v>
      </c>
    </row>
    <row r="2504" spans="1:10" x14ac:dyDescent="0.25">
      <c r="A2504" t="s">
        <v>2513</v>
      </c>
      <c r="B2504" t="s">
        <v>11</v>
      </c>
      <c r="C2504">
        <v>114.78522656300001</v>
      </c>
      <c r="D2504">
        <f>0</f>
        <v>0</v>
      </c>
      <c r="E2504">
        <f>686331543/10^6</f>
        <v>686.33154300000001</v>
      </c>
      <c r="F2504">
        <f>0</f>
        <v>0</v>
      </c>
      <c r="G2504">
        <f>230968628/10^6</f>
        <v>230.968628</v>
      </c>
      <c r="H2504">
        <f>0</f>
        <v>0</v>
      </c>
      <c r="I2504">
        <f>-43334568/10^6</f>
        <v>-43.334567999999997</v>
      </c>
      <c r="J2504">
        <f>0</f>
        <v>0</v>
      </c>
    </row>
    <row r="2505" spans="1:10" x14ac:dyDescent="0.25">
      <c r="A2505" t="s">
        <v>2514</v>
      </c>
      <c r="B2505" t="s">
        <v>11</v>
      </c>
      <c r="C2505">
        <v>114.856046875</v>
      </c>
      <c r="D2505">
        <f>0</f>
        <v>0</v>
      </c>
      <c r="E2505">
        <f>686019653/10^6</f>
        <v>686.01965299999995</v>
      </c>
      <c r="F2505">
        <f>0</f>
        <v>0</v>
      </c>
      <c r="G2505">
        <f>231012894/10^6</f>
        <v>231.01289399999999</v>
      </c>
      <c r="H2505">
        <f>0</f>
        <v>0</v>
      </c>
      <c r="I2505">
        <f>-43292736/10^6</f>
        <v>-43.292735999999998</v>
      </c>
      <c r="J2505">
        <f>0</f>
        <v>0</v>
      </c>
    </row>
    <row r="2506" spans="1:10" x14ac:dyDescent="0.25">
      <c r="A2506" t="s">
        <v>2515</v>
      </c>
      <c r="B2506" t="s">
        <v>11</v>
      </c>
      <c r="C2506">
        <v>114.97152343800001</v>
      </c>
      <c r="D2506">
        <f>0</f>
        <v>0</v>
      </c>
      <c r="E2506">
        <f>685511047/10^6</f>
        <v>685.51104699999996</v>
      </c>
      <c r="F2506">
        <f>0</f>
        <v>0</v>
      </c>
      <c r="G2506">
        <f>231116394/10^6</f>
        <v>231.11639400000001</v>
      </c>
      <c r="H2506">
        <f>0</f>
        <v>0</v>
      </c>
      <c r="I2506">
        <f>-4306324/10^5</f>
        <v>-43.06324</v>
      </c>
      <c r="J2506">
        <f>0</f>
        <v>0</v>
      </c>
    </row>
    <row r="2507" spans="1:10" x14ac:dyDescent="0.25">
      <c r="A2507" t="s">
        <v>2516</v>
      </c>
      <c r="B2507" t="s">
        <v>11</v>
      </c>
      <c r="C2507">
        <v>115.10529687499999</v>
      </c>
      <c r="D2507">
        <f>0</f>
        <v>0</v>
      </c>
      <c r="E2507">
        <f>684931824/10^6</f>
        <v>684.93182400000001</v>
      </c>
      <c r="F2507">
        <f>0</f>
        <v>0</v>
      </c>
      <c r="G2507">
        <f>231213516/10^6</f>
        <v>231.213516</v>
      </c>
      <c r="H2507">
        <f>0</f>
        <v>0</v>
      </c>
      <c r="I2507">
        <f>-42943676/10^6</f>
        <v>-42.943676000000004</v>
      </c>
      <c r="J2507">
        <f>0</f>
        <v>0</v>
      </c>
    </row>
    <row r="2508" spans="1:10" x14ac:dyDescent="0.25">
      <c r="A2508" t="s">
        <v>2517</v>
      </c>
      <c r="B2508" t="s">
        <v>11</v>
      </c>
      <c r="C2508">
        <v>115.264453125</v>
      </c>
      <c r="D2508">
        <f>0</f>
        <v>0</v>
      </c>
      <c r="E2508">
        <f>68417041/10^5</f>
        <v>684.17040999999995</v>
      </c>
      <c r="F2508">
        <f>0</f>
        <v>0</v>
      </c>
      <c r="G2508">
        <f>231272888/10^6</f>
        <v>231.27288799999999</v>
      </c>
      <c r="H2508">
        <f>0</f>
        <v>0</v>
      </c>
      <c r="I2508">
        <f>-42972462/10^6</f>
        <v>-42.972462</v>
      </c>
      <c r="J2508">
        <f>0</f>
        <v>0</v>
      </c>
    </row>
    <row r="2509" spans="1:10" x14ac:dyDescent="0.25">
      <c r="A2509" t="s">
        <v>2518</v>
      </c>
      <c r="B2509" t="s">
        <v>11</v>
      </c>
      <c r="C2509">
        <v>115.456164063</v>
      </c>
      <c r="D2509">
        <f>0</f>
        <v>0</v>
      </c>
      <c r="E2509">
        <f>682992737/10^6</f>
        <v>682.99273700000003</v>
      </c>
      <c r="F2509">
        <f>0</f>
        <v>0</v>
      </c>
      <c r="G2509">
        <f>231273804/10^6</f>
        <v>231.27380400000001</v>
      </c>
      <c r="H2509">
        <f>0</f>
        <v>0</v>
      </c>
      <c r="I2509">
        <f>-42971146/10^6</f>
        <v>-42.971145999999997</v>
      </c>
      <c r="J2509">
        <f>0</f>
        <v>0</v>
      </c>
    </row>
    <row r="2510" spans="1:10" x14ac:dyDescent="0.25">
      <c r="A2510" t="s">
        <v>2519</v>
      </c>
      <c r="B2510" t="s">
        <v>11</v>
      </c>
      <c r="C2510">
        <v>115.68245312499999</v>
      </c>
      <c r="D2510">
        <f>0</f>
        <v>0</v>
      </c>
      <c r="E2510">
        <f>681599426/10^6</f>
        <v>681.59942599999999</v>
      </c>
      <c r="F2510">
        <f>0</f>
        <v>0</v>
      </c>
      <c r="G2510">
        <f>231302628/10^6</f>
        <v>231.302628</v>
      </c>
      <c r="H2510">
        <f>0</f>
        <v>0</v>
      </c>
      <c r="I2510">
        <f>-42786781/10^6</f>
        <v>-42.786780999999998</v>
      </c>
      <c r="J2510">
        <f>0</f>
        <v>0</v>
      </c>
    </row>
    <row r="2511" spans="1:10" x14ac:dyDescent="0.25">
      <c r="A2511" t="s">
        <v>2520</v>
      </c>
      <c r="B2511" t="s">
        <v>11</v>
      </c>
      <c r="C2511">
        <v>115.946585938</v>
      </c>
      <c r="D2511">
        <f>0</f>
        <v>0</v>
      </c>
      <c r="E2511">
        <f>680239563/10^6</f>
        <v>680.23956299999998</v>
      </c>
      <c r="F2511">
        <f>0</f>
        <v>0</v>
      </c>
      <c r="G2511">
        <f>231402771/10^6</f>
        <v>231.402771</v>
      </c>
      <c r="H2511">
        <f>0</f>
        <v>0</v>
      </c>
      <c r="I2511">
        <f>-42613079/10^6</f>
        <v>-42.613078999999999</v>
      </c>
      <c r="J2511">
        <f>0</f>
        <v>0</v>
      </c>
    </row>
    <row r="2512" spans="1:10" x14ac:dyDescent="0.25">
      <c r="A2512" t="s">
        <v>2521</v>
      </c>
      <c r="B2512" t="s">
        <v>11</v>
      </c>
      <c r="C2512">
        <v>116.21889843800001</v>
      </c>
      <c r="D2512">
        <f>0</f>
        <v>0</v>
      </c>
      <c r="E2512">
        <f>678776611/10^6</f>
        <v>678.776611</v>
      </c>
      <c r="F2512">
        <f>0</f>
        <v>0</v>
      </c>
      <c r="G2512">
        <f>231472809/10^6</f>
        <v>231.47280900000001</v>
      </c>
      <c r="H2512">
        <f>0</f>
        <v>0</v>
      </c>
      <c r="I2512">
        <f>-42568024/10^6</f>
        <v>-42.568024000000001</v>
      </c>
      <c r="J2512">
        <f>0</f>
        <v>0</v>
      </c>
    </row>
    <row r="2513" spans="1:10" x14ac:dyDescent="0.25">
      <c r="A2513" t="s">
        <v>2522</v>
      </c>
      <c r="B2513" t="s">
        <v>11</v>
      </c>
      <c r="C2513">
        <v>116.512585938</v>
      </c>
      <c r="D2513">
        <f>0</f>
        <v>0</v>
      </c>
      <c r="E2513">
        <f>677038574/10^6</f>
        <v>677.03857400000004</v>
      </c>
      <c r="F2513">
        <f>0</f>
        <v>0</v>
      </c>
      <c r="G2513">
        <f>231520309/10^6</f>
        <v>231.520309</v>
      </c>
      <c r="H2513">
        <f>0</f>
        <v>0</v>
      </c>
      <c r="I2513">
        <f>-42338322/10^6</f>
        <v>-42.338321999999998</v>
      </c>
      <c r="J2513">
        <f>0</f>
        <v>0</v>
      </c>
    </row>
    <row r="2514" spans="1:10" x14ac:dyDescent="0.25">
      <c r="A2514" t="s">
        <v>2523</v>
      </c>
      <c r="B2514" t="s">
        <v>11</v>
      </c>
      <c r="C2514">
        <v>116.896570313</v>
      </c>
      <c r="D2514">
        <f>0</f>
        <v>0</v>
      </c>
      <c r="E2514">
        <f>674838379/10^6</f>
        <v>674.83837900000003</v>
      </c>
      <c r="F2514">
        <f>0</f>
        <v>0</v>
      </c>
      <c r="G2514">
        <f>231577423/10^6</f>
        <v>231.57742300000001</v>
      </c>
      <c r="H2514">
        <f>0</f>
        <v>0</v>
      </c>
      <c r="I2514">
        <f>-42073586/10^6</f>
        <v>-42.073585999999999</v>
      </c>
      <c r="J2514">
        <f>0</f>
        <v>0</v>
      </c>
    </row>
    <row r="2515" spans="1:10" x14ac:dyDescent="0.25">
      <c r="A2515" t="s">
        <v>2524</v>
      </c>
      <c r="B2515" t="s">
        <v>11</v>
      </c>
      <c r="C2515">
        <v>117.39103125</v>
      </c>
      <c r="D2515">
        <f>0</f>
        <v>0</v>
      </c>
      <c r="E2515">
        <f>672101196/10^6</f>
        <v>672.10119599999996</v>
      </c>
      <c r="F2515">
        <f>0</f>
        <v>0</v>
      </c>
      <c r="G2515">
        <f>231650253/10^6</f>
        <v>231.65025299999999</v>
      </c>
      <c r="H2515">
        <f>0</f>
        <v>0</v>
      </c>
      <c r="I2515">
        <f>-418964/10^4</f>
        <v>-41.8964</v>
      </c>
      <c r="J2515">
        <f>0</f>
        <v>0</v>
      </c>
    </row>
    <row r="2516" spans="1:10" x14ac:dyDescent="0.25">
      <c r="A2516" t="s">
        <v>2525</v>
      </c>
      <c r="B2516" t="s">
        <v>11</v>
      </c>
      <c r="C2516">
        <v>117.984960938</v>
      </c>
      <c r="D2516">
        <f>0</f>
        <v>0</v>
      </c>
      <c r="E2516">
        <f>668750244/10^6</f>
        <v>668.75024399999995</v>
      </c>
      <c r="F2516">
        <f>0</f>
        <v>0</v>
      </c>
      <c r="G2516">
        <f>231736374/10^6</f>
        <v>231.73637400000001</v>
      </c>
      <c r="H2516">
        <f>0</f>
        <v>0</v>
      </c>
      <c r="I2516">
        <f>-4166238/10^5</f>
        <v>-41.662379999999999</v>
      </c>
      <c r="J2516">
        <f>0</f>
        <v>0</v>
      </c>
    </row>
    <row r="2517" spans="1:10" x14ac:dyDescent="0.25">
      <c r="A2517" t="s">
        <v>2526</v>
      </c>
      <c r="B2517" t="s">
        <v>11</v>
      </c>
      <c r="C2517">
        <v>118.67821875</v>
      </c>
      <c r="D2517">
        <f>0</f>
        <v>0</v>
      </c>
      <c r="E2517">
        <f>664741394/10^6</f>
        <v>664.74139400000001</v>
      </c>
      <c r="F2517">
        <f>0</f>
        <v>0</v>
      </c>
      <c r="G2517">
        <f>231825485/10^6</f>
        <v>231.82548499999999</v>
      </c>
      <c r="H2517">
        <f>0</f>
        <v>0</v>
      </c>
      <c r="I2517">
        <f>-41275028/10^6</f>
        <v>-41.275027999999999</v>
      </c>
      <c r="J2517">
        <f>0</f>
        <v>0</v>
      </c>
    </row>
    <row r="2518" spans="1:10" x14ac:dyDescent="0.25">
      <c r="A2518" t="s">
        <v>2527</v>
      </c>
      <c r="B2518" t="s">
        <v>11</v>
      </c>
      <c r="C2518">
        <v>119.41546093800001</v>
      </c>
      <c r="D2518">
        <f>0</f>
        <v>0</v>
      </c>
      <c r="E2518">
        <f>660482117/10^6</f>
        <v>660.48211700000002</v>
      </c>
      <c r="F2518">
        <f>0</f>
        <v>0</v>
      </c>
      <c r="G2518">
        <f>231907486/10^6</f>
        <v>231.90748600000001</v>
      </c>
      <c r="H2518">
        <f>0</f>
        <v>0</v>
      </c>
      <c r="I2518">
        <f>-40776047/10^6</f>
        <v>-40.776046999999998</v>
      </c>
      <c r="J2518">
        <f>0</f>
        <v>0</v>
      </c>
    </row>
    <row r="2519" spans="1:10" x14ac:dyDescent="0.25">
      <c r="A2519" t="s">
        <v>2528</v>
      </c>
      <c r="B2519" t="s">
        <v>11</v>
      </c>
      <c r="C2519">
        <v>120.15692968800001</v>
      </c>
      <c r="D2519">
        <f>0</f>
        <v>0</v>
      </c>
      <c r="E2519">
        <f>656185181/10^6</f>
        <v>656.18518099999994</v>
      </c>
      <c r="F2519">
        <f>0</f>
        <v>0</v>
      </c>
      <c r="G2519">
        <f>231982285/10^6</f>
        <v>231.98228499999999</v>
      </c>
      <c r="H2519">
        <f>0</f>
        <v>0</v>
      </c>
      <c r="I2519">
        <f>-40156689/10^6</f>
        <v>-40.156689</v>
      </c>
      <c r="J2519">
        <f>0</f>
        <v>0</v>
      </c>
    </row>
    <row r="2520" spans="1:10" x14ac:dyDescent="0.25">
      <c r="A2520" t="s">
        <v>2529</v>
      </c>
      <c r="B2520" t="s">
        <v>11</v>
      </c>
      <c r="C2520">
        <v>120.840632813</v>
      </c>
      <c r="D2520">
        <f>0</f>
        <v>0</v>
      </c>
      <c r="E2520">
        <f>652343201/10^6</f>
        <v>652.34320100000002</v>
      </c>
      <c r="F2520">
        <f>0</f>
        <v>0</v>
      </c>
      <c r="G2520">
        <f>232031891/10^6</f>
        <v>232.031891</v>
      </c>
      <c r="H2520">
        <f>0</f>
        <v>0</v>
      </c>
      <c r="I2520">
        <f>-3981897/10^5</f>
        <v>-39.81897</v>
      </c>
      <c r="J2520">
        <f>0</f>
        <v>0</v>
      </c>
    </row>
    <row r="2521" spans="1:10" x14ac:dyDescent="0.25">
      <c r="A2521" t="s">
        <v>2530</v>
      </c>
      <c r="B2521" t="s">
        <v>11</v>
      </c>
      <c r="C2521">
        <v>121.343914063</v>
      </c>
      <c r="D2521">
        <f>0</f>
        <v>0</v>
      </c>
      <c r="E2521">
        <f>649449585/10^6</f>
        <v>649.44958499999996</v>
      </c>
      <c r="F2521">
        <f>0</f>
        <v>0</v>
      </c>
      <c r="G2521">
        <f>232063171/10^6</f>
        <v>232.06317100000001</v>
      </c>
      <c r="H2521">
        <f>0</f>
        <v>0</v>
      </c>
      <c r="I2521">
        <f>-39563404/10^6</f>
        <v>-39.563403999999998</v>
      </c>
      <c r="J2521">
        <f>0</f>
        <v>0</v>
      </c>
    </row>
    <row r="2522" spans="1:10" x14ac:dyDescent="0.25">
      <c r="A2522" t="s">
        <v>2531</v>
      </c>
      <c r="B2522" t="s">
        <v>11</v>
      </c>
      <c r="C2522">
        <v>121.629125</v>
      </c>
      <c r="D2522">
        <f>0</f>
        <v>0</v>
      </c>
      <c r="E2522">
        <f>647761658/10^6</f>
        <v>647.76165800000001</v>
      </c>
      <c r="F2522">
        <f>0</f>
        <v>0</v>
      </c>
      <c r="G2522">
        <f>232107635/10^6</f>
        <v>232.10763499999999</v>
      </c>
      <c r="H2522">
        <f>0</f>
        <v>0</v>
      </c>
      <c r="I2522">
        <f>-39099731/10^6</f>
        <v>-39.099730999999998</v>
      </c>
      <c r="J2522">
        <f>0</f>
        <v>0</v>
      </c>
    </row>
    <row r="2523" spans="1:10" x14ac:dyDescent="0.25">
      <c r="A2523" t="s">
        <v>2532</v>
      </c>
      <c r="B2523" t="s">
        <v>11</v>
      </c>
      <c r="C2523">
        <v>121.75429687499999</v>
      </c>
      <c r="D2523">
        <f>0</f>
        <v>0</v>
      </c>
      <c r="E2523">
        <f>647237671/10^6</f>
        <v>647.23767099999998</v>
      </c>
      <c r="F2523">
        <f>0</f>
        <v>0</v>
      </c>
      <c r="G2523">
        <f>232153809/10^6</f>
        <v>232.153809</v>
      </c>
      <c r="H2523">
        <f>0</f>
        <v>0</v>
      </c>
      <c r="I2523">
        <f>-38960686/10^6</f>
        <v>-38.960686000000003</v>
      </c>
      <c r="J2523">
        <f>0</f>
        <v>0</v>
      </c>
    </row>
    <row r="2524" spans="1:10" x14ac:dyDescent="0.25">
      <c r="A2524" t="s">
        <v>2533</v>
      </c>
      <c r="B2524" t="s">
        <v>11</v>
      </c>
      <c r="C2524">
        <v>121.811234375</v>
      </c>
      <c r="D2524">
        <f>0</f>
        <v>0</v>
      </c>
      <c r="E2524">
        <f>647049377/10^6</f>
        <v>647.04937700000005</v>
      </c>
      <c r="F2524">
        <f>0</f>
        <v>0</v>
      </c>
      <c r="G2524">
        <f>232198044/10^6</f>
        <v>232.19804400000001</v>
      </c>
      <c r="H2524">
        <f>0</f>
        <v>0</v>
      </c>
      <c r="I2524">
        <f>-38986584/10^6</f>
        <v>-38.986584000000001</v>
      </c>
      <c r="J2524">
        <f>0</f>
        <v>0</v>
      </c>
    </row>
    <row r="2525" spans="1:10" x14ac:dyDescent="0.25">
      <c r="A2525" t="s">
        <v>2534</v>
      </c>
      <c r="B2525" t="s">
        <v>11</v>
      </c>
      <c r="C2525">
        <v>121.864171875</v>
      </c>
      <c r="D2525">
        <f>0</f>
        <v>0</v>
      </c>
      <c r="E2525">
        <f>646846924/10^6</f>
        <v>646.84692399999994</v>
      </c>
      <c r="F2525">
        <f>0</f>
        <v>0</v>
      </c>
      <c r="G2525">
        <f>232238327/10^6</f>
        <v>232.238327</v>
      </c>
      <c r="H2525">
        <f>0</f>
        <v>0</v>
      </c>
      <c r="I2525">
        <f>-38972206/10^6</f>
        <v>-38.972206</v>
      </c>
      <c r="J2525">
        <f>0</f>
        <v>0</v>
      </c>
    </row>
    <row r="2526" spans="1:10" x14ac:dyDescent="0.25">
      <c r="A2526" t="s">
        <v>2535</v>
      </c>
      <c r="B2526" t="s">
        <v>11</v>
      </c>
      <c r="C2526">
        <v>121.90251562500001</v>
      </c>
      <c r="D2526">
        <f>0</f>
        <v>0</v>
      </c>
      <c r="E2526">
        <f>646777405/10^6</f>
        <v>646.77740500000004</v>
      </c>
      <c r="F2526">
        <f>0</f>
        <v>0</v>
      </c>
      <c r="G2526">
        <f>23226384/10^5</f>
        <v>232.26383999999999</v>
      </c>
      <c r="H2526">
        <f>0</f>
        <v>0</v>
      </c>
      <c r="I2526">
        <f>-38993038/10^6</f>
        <v>-38.993037999999999</v>
      </c>
      <c r="J2526">
        <f>0</f>
        <v>0</v>
      </c>
    </row>
    <row r="2527" spans="1:10" x14ac:dyDescent="0.25">
      <c r="A2527" t="s">
        <v>2536</v>
      </c>
      <c r="B2527" t="s">
        <v>11</v>
      </c>
      <c r="C2527">
        <v>121.8874375</v>
      </c>
      <c r="D2527">
        <f>0</f>
        <v>0</v>
      </c>
      <c r="E2527">
        <f>646939636/10^6</f>
        <v>646.93963599999995</v>
      </c>
      <c r="F2527">
        <f>0</f>
        <v>0</v>
      </c>
      <c r="G2527">
        <f>232272293/10^6</f>
        <v>232.27229299999999</v>
      </c>
      <c r="H2527">
        <f>0</f>
        <v>0</v>
      </c>
      <c r="I2527">
        <f>-39029884/10^6</f>
        <v>-39.029884000000003</v>
      </c>
      <c r="J2527">
        <f>0</f>
        <v>0</v>
      </c>
    </row>
    <row r="2528" spans="1:10" x14ac:dyDescent="0.25">
      <c r="A2528" t="s">
        <v>2537</v>
      </c>
      <c r="B2528" t="s">
        <v>11</v>
      </c>
      <c r="C2528">
        <v>121.796976563</v>
      </c>
      <c r="D2528">
        <f>0</f>
        <v>0</v>
      </c>
      <c r="E2528">
        <f>647428162/10^6</f>
        <v>647.42816200000004</v>
      </c>
      <c r="F2528">
        <f>0</f>
        <v>0</v>
      </c>
      <c r="G2528">
        <f>232273056/10^6</f>
        <v>232.273056</v>
      </c>
      <c r="H2528">
        <f>0</f>
        <v>0</v>
      </c>
      <c r="I2528">
        <f>-39001553/10^6</f>
        <v>-39.001553000000001</v>
      </c>
      <c r="J2528">
        <f>0</f>
        <v>0</v>
      </c>
    </row>
    <row r="2529" spans="1:10" x14ac:dyDescent="0.25">
      <c r="A2529" t="s">
        <v>2538</v>
      </c>
      <c r="B2529" t="s">
        <v>11</v>
      </c>
      <c r="C2529">
        <v>121.65664062499999</v>
      </c>
      <c r="D2529">
        <f>0</f>
        <v>0</v>
      </c>
      <c r="E2529">
        <f>64809668/10^5</f>
        <v>648.09667999999999</v>
      </c>
      <c r="F2529">
        <f>0</f>
        <v>0</v>
      </c>
      <c r="G2529">
        <f>232260971/10^6</f>
        <v>232.26097100000001</v>
      </c>
      <c r="H2529">
        <f>0</f>
        <v>0</v>
      </c>
      <c r="I2529">
        <f>-38810135/10^6</f>
        <v>-38.810135000000002</v>
      </c>
      <c r="J2529">
        <f>0</f>
        <v>0</v>
      </c>
    </row>
    <row r="2530" spans="1:10" x14ac:dyDescent="0.25">
      <c r="A2530" t="s">
        <v>2539</v>
      </c>
      <c r="B2530" t="s">
        <v>11</v>
      </c>
      <c r="C2530">
        <v>121.489835938</v>
      </c>
      <c r="D2530">
        <f>0</f>
        <v>0</v>
      </c>
      <c r="E2530">
        <f>649026794/10^6</f>
        <v>649.026794</v>
      </c>
      <c r="F2530">
        <f>0</f>
        <v>0</v>
      </c>
      <c r="G2530">
        <f>232238663/10^6</f>
        <v>232.238663</v>
      </c>
      <c r="H2530">
        <f>0</f>
        <v>0</v>
      </c>
      <c r="I2530">
        <f>-38875263/10^6</f>
        <v>-38.875262999999997</v>
      </c>
      <c r="J2530">
        <f>0</f>
        <v>0</v>
      </c>
    </row>
    <row r="2531" spans="1:10" x14ac:dyDescent="0.25">
      <c r="A2531" t="s">
        <v>2540</v>
      </c>
      <c r="B2531" t="s">
        <v>11</v>
      </c>
      <c r="C2531">
        <v>121.2735625</v>
      </c>
      <c r="D2531">
        <f>0</f>
        <v>0</v>
      </c>
      <c r="E2531">
        <f>650362915/10^6</f>
        <v>650.36291500000004</v>
      </c>
      <c r="F2531">
        <f>0</f>
        <v>0</v>
      </c>
      <c r="G2531">
        <f>232212524/10^6</f>
        <v>232.212524</v>
      </c>
      <c r="H2531">
        <f>0</f>
        <v>0</v>
      </c>
      <c r="I2531">
        <f>-39200687/10^6</f>
        <v>-39.200687000000002</v>
      </c>
      <c r="J2531">
        <f>0</f>
        <v>0</v>
      </c>
    </row>
    <row r="2532" spans="1:10" x14ac:dyDescent="0.25">
      <c r="A2532" t="s">
        <v>2541</v>
      </c>
      <c r="B2532" t="s">
        <v>11</v>
      </c>
      <c r="C2532">
        <v>121.0113125</v>
      </c>
      <c r="D2532">
        <f>0</f>
        <v>0</v>
      </c>
      <c r="E2532">
        <f>651777893/10^6</f>
        <v>651.77789299999995</v>
      </c>
      <c r="F2532">
        <f>0</f>
        <v>0</v>
      </c>
      <c r="G2532">
        <f>232170532/10^6</f>
        <v>232.17053200000001</v>
      </c>
      <c r="H2532">
        <f>0</f>
        <v>0</v>
      </c>
      <c r="I2532">
        <f>-39258102/10^6</f>
        <v>-39.258102000000001</v>
      </c>
      <c r="J2532">
        <f>0</f>
        <v>0</v>
      </c>
    </row>
    <row r="2533" spans="1:10" x14ac:dyDescent="0.25">
      <c r="A2533" t="s">
        <v>2542</v>
      </c>
      <c r="B2533" t="s">
        <v>11</v>
      </c>
      <c r="C2533">
        <v>120.720828125</v>
      </c>
      <c r="D2533">
        <f>0</f>
        <v>0</v>
      </c>
      <c r="E2533">
        <f>653304016/10^6</f>
        <v>653.30401600000005</v>
      </c>
      <c r="F2533">
        <f>0</f>
        <v>0</v>
      </c>
      <c r="G2533">
        <f>232121078/10^6</f>
        <v>232.12107800000001</v>
      </c>
      <c r="H2533">
        <f>0</f>
        <v>0</v>
      </c>
      <c r="I2533">
        <f>-39303505/10^6</f>
        <v>-39.303505000000001</v>
      </c>
      <c r="J2533">
        <f>0</f>
        <v>0</v>
      </c>
    </row>
    <row r="2534" spans="1:10" x14ac:dyDescent="0.25">
      <c r="A2534" t="s">
        <v>2543</v>
      </c>
      <c r="B2534" t="s">
        <v>11</v>
      </c>
      <c r="C2534">
        <v>120.41147656300001</v>
      </c>
      <c r="D2534">
        <f>0</f>
        <v>0</v>
      </c>
      <c r="E2534">
        <f>654964844/10^6</f>
        <v>654.96484399999997</v>
      </c>
      <c r="F2534">
        <f>0</f>
        <v>0</v>
      </c>
      <c r="G2534">
        <f>232073273/10^6</f>
        <v>232.073273</v>
      </c>
      <c r="H2534">
        <f>0</f>
        <v>0</v>
      </c>
      <c r="I2534">
        <f>-39463512/10^6</f>
        <v>-39.463512000000001</v>
      </c>
      <c r="J2534">
        <f>0</f>
        <v>0</v>
      </c>
    </row>
    <row r="2535" spans="1:10" x14ac:dyDescent="0.25">
      <c r="A2535" t="s">
        <v>2544</v>
      </c>
      <c r="B2535" t="s">
        <v>11</v>
      </c>
      <c r="C2535">
        <v>120.116</v>
      </c>
      <c r="D2535">
        <f>0</f>
        <v>0</v>
      </c>
      <c r="E2535">
        <f>656455017/10^6</f>
        <v>656.455017</v>
      </c>
      <c r="F2535">
        <f>0</f>
        <v>0</v>
      </c>
      <c r="G2535">
        <f>232025726/10^6</f>
        <v>232.02572599999999</v>
      </c>
      <c r="H2535">
        <f>0</f>
        <v>0</v>
      </c>
      <c r="I2535">
        <f>-39566441/10^6</f>
        <v>-39.566440999999998</v>
      </c>
      <c r="J2535">
        <f>0</f>
        <v>0</v>
      </c>
    </row>
    <row r="2536" spans="1:10" x14ac:dyDescent="0.25">
      <c r="A2536" t="s">
        <v>2545</v>
      </c>
      <c r="B2536" t="s">
        <v>11</v>
      </c>
      <c r="C2536">
        <v>119.82352343800001</v>
      </c>
      <c r="D2536">
        <f>0</f>
        <v>0</v>
      </c>
      <c r="E2536">
        <f>6580802/10^4</f>
        <v>658.08019999999999</v>
      </c>
      <c r="F2536">
        <f>0</f>
        <v>0</v>
      </c>
      <c r="G2536">
        <f>231972992/10^6</f>
        <v>231.972992</v>
      </c>
      <c r="H2536">
        <f>0</f>
        <v>0</v>
      </c>
      <c r="I2536">
        <f>-3967952/10^5</f>
        <v>-39.679519999999997</v>
      </c>
      <c r="J2536">
        <f>0</f>
        <v>0</v>
      </c>
    </row>
    <row r="2537" spans="1:10" x14ac:dyDescent="0.25">
      <c r="A2537" t="s">
        <v>2546</v>
      </c>
      <c r="B2537" t="s">
        <v>11</v>
      </c>
      <c r="C2537">
        <v>119.48952343800001</v>
      </c>
      <c r="D2537">
        <f>0</f>
        <v>0</v>
      </c>
      <c r="E2537">
        <f>659930176/10^6</f>
        <v>659.93017599999996</v>
      </c>
      <c r="F2537">
        <f>0</f>
        <v>0</v>
      </c>
      <c r="G2537">
        <f>231922379/10^6</f>
        <v>231.92237900000001</v>
      </c>
      <c r="H2537">
        <f>0</f>
        <v>0</v>
      </c>
      <c r="I2537">
        <f>-3989624/10^5</f>
        <v>-39.896239999999999</v>
      </c>
      <c r="J2537">
        <f>0</f>
        <v>0</v>
      </c>
    </row>
    <row r="2538" spans="1:10" x14ac:dyDescent="0.25">
      <c r="A2538" t="s">
        <v>2547</v>
      </c>
      <c r="B2538" t="s">
        <v>11</v>
      </c>
      <c r="C2538">
        <v>119.187015625</v>
      </c>
      <c r="D2538">
        <f>0</f>
        <v>0</v>
      </c>
      <c r="E2538">
        <f>661483337/10^6</f>
        <v>661.48333700000001</v>
      </c>
      <c r="F2538">
        <f>0</f>
        <v>0</v>
      </c>
      <c r="G2538">
        <f>231870987/10^6</f>
        <v>231.87098700000001</v>
      </c>
      <c r="H2538">
        <f>0</f>
        <v>0</v>
      </c>
      <c r="I2538">
        <f>-39983543/10^6</f>
        <v>-39.983542999999997</v>
      </c>
      <c r="J2538">
        <f>0</f>
        <v>0</v>
      </c>
    </row>
    <row r="2539" spans="1:10" x14ac:dyDescent="0.25">
      <c r="A2539" t="s">
        <v>2548</v>
      </c>
      <c r="B2539" t="s">
        <v>11</v>
      </c>
      <c r="C2539">
        <v>118.91399218800001</v>
      </c>
      <c r="D2539">
        <f>0</f>
        <v>0</v>
      </c>
      <c r="E2539">
        <f>662980896/10^6</f>
        <v>662.98089600000003</v>
      </c>
      <c r="F2539">
        <f>0</f>
        <v>0</v>
      </c>
      <c r="G2539">
        <f>23181015/10^5</f>
        <v>231.81014999999999</v>
      </c>
      <c r="H2539">
        <f>0</f>
        <v>0</v>
      </c>
      <c r="I2539">
        <f>-40030991/10^6</f>
        <v>-40.030991</v>
      </c>
      <c r="J2539">
        <f>0</f>
        <v>0</v>
      </c>
    </row>
    <row r="2540" spans="1:10" x14ac:dyDescent="0.25">
      <c r="A2540" t="s">
        <v>2549</v>
      </c>
      <c r="B2540" t="s">
        <v>11</v>
      </c>
      <c r="C2540">
        <v>118.596625</v>
      </c>
      <c r="D2540">
        <f>0</f>
        <v>0</v>
      </c>
      <c r="E2540">
        <f>664752197/10^6</f>
        <v>664.75219700000002</v>
      </c>
      <c r="F2540">
        <f>0</f>
        <v>0</v>
      </c>
      <c r="G2540">
        <f>231741547/10^6</f>
        <v>231.741547</v>
      </c>
      <c r="H2540">
        <f>0</f>
        <v>0</v>
      </c>
      <c r="I2540">
        <f>-40349823/10^6</f>
        <v>-40.349823000000001</v>
      </c>
      <c r="J2540">
        <f>0</f>
        <v>0</v>
      </c>
    </row>
    <row r="2541" spans="1:10" x14ac:dyDescent="0.25">
      <c r="A2541" t="s">
        <v>2550</v>
      </c>
      <c r="B2541" t="s">
        <v>11</v>
      </c>
      <c r="C2541">
        <v>118.268078125</v>
      </c>
      <c r="D2541">
        <f>0</f>
        <v>0</v>
      </c>
      <c r="E2541">
        <f>66655542/10^5</f>
        <v>666.55542000000003</v>
      </c>
      <c r="F2541">
        <f>0</f>
        <v>0</v>
      </c>
      <c r="G2541">
        <f>23166777/10^5</f>
        <v>231.66776999999999</v>
      </c>
      <c r="H2541">
        <f>0</f>
        <v>0</v>
      </c>
      <c r="I2541">
        <f>-40637688/10^6</f>
        <v>-40.637687999999997</v>
      </c>
      <c r="J2541">
        <f>0</f>
        <v>0</v>
      </c>
    </row>
    <row r="2542" spans="1:10" x14ac:dyDescent="0.25">
      <c r="A2542" t="s">
        <v>2551</v>
      </c>
      <c r="B2542" t="s">
        <v>11</v>
      </c>
      <c r="C2542">
        <v>0</v>
      </c>
      <c r="D2542">
        <f>2</f>
        <v>2</v>
      </c>
      <c r="F2542">
        <f>2</f>
        <v>2</v>
      </c>
      <c r="H2542">
        <f>2</f>
        <v>2</v>
      </c>
      <c r="J2542">
        <f>2</f>
        <v>2</v>
      </c>
    </row>
    <row r="2543" spans="1:10" x14ac:dyDescent="0.25">
      <c r="A2543" t="s">
        <v>2552</v>
      </c>
      <c r="B2543" t="s">
        <v>11</v>
      </c>
      <c r="C2543">
        <v>117.630695313</v>
      </c>
      <c r="D2543">
        <f>0</f>
        <v>0</v>
      </c>
      <c r="E2543">
        <f>670144043/10^6</f>
        <v>670.14404300000001</v>
      </c>
      <c r="F2543">
        <f>0</f>
        <v>0</v>
      </c>
      <c r="G2543">
        <f>231570206/10^6</f>
        <v>231.57020600000001</v>
      </c>
      <c r="H2543">
        <f>0</f>
        <v>0</v>
      </c>
      <c r="I2543">
        <f>-41076969/10^6</f>
        <v>-41.076968999999998</v>
      </c>
      <c r="J2543">
        <f>0</f>
        <v>0</v>
      </c>
    </row>
    <row r="2544" spans="1:10" x14ac:dyDescent="0.25">
      <c r="A2544" t="s">
        <v>2553</v>
      </c>
      <c r="B2544" t="s">
        <v>11</v>
      </c>
      <c r="C2544">
        <v>117.333039063</v>
      </c>
      <c r="D2544">
        <f>0</f>
        <v>0</v>
      </c>
      <c r="E2544">
        <f>671983826/10^6</f>
        <v>671.98382600000002</v>
      </c>
      <c r="F2544">
        <f>0</f>
        <v>0</v>
      </c>
      <c r="G2544">
        <f>23155069/10^5</f>
        <v>231.55069</v>
      </c>
      <c r="H2544">
        <f>0</f>
        <v>0</v>
      </c>
      <c r="I2544">
        <f>-41392799/10^6</f>
        <v>-41.392798999999997</v>
      </c>
      <c r="J2544">
        <f>0</f>
        <v>0</v>
      </c>
    </row>
    <row r="2545" spans="1:10" x14ac:dyDescent="0.25">
      <c r="A2545" t="s">
        <v>2554</v>
      </c>
      <c r="B2545" t="s">
        <v>11</v>
      </c>
      <c r="C2545">
        <v>117.058914063</v>
      </c>
      <c r="D2545">
        <f>0</f>
        <v>0</v>
      </c>
      <c r="E2545">
        <f>673426147/10^6</f>
        <v>673.42614700000001</v>
      </c>
      <c r="F2545">
        <f>0</f>
        <v>0</v>
      </c>
      <c r="G2545">
        <f>231510742/10^6</f>
        <v>231.51074199999999</v>
      </c>
      <c r="H2545">
        <f>0</f>
        <v>0</v>
      </c>
      <c r="I2545">
        <f>-4141721/10^5</f>
        <v>-41.417209999999997</v>
      </c>
      <c r="J2545">
        <f>0</f>
        <v>0</v>
      </c>
    </row>
    <row r="2546" spans="1:10" x14ac:dyDescent="0.25">
      <c r="A2546" t="s">
        <v>2555</v>
      </c>
      <c r="B2546" t="s">
        <v>11</v>
      </c>
      <c r="C2546">
        <v>116.806921875</v>
      </c>
      <c r="D2546">
        <f>0</f>
        <v>0</v>
      </c>
      <c r="E2546">
        <f>674804993/10^6</f>
        <v>674.80499299999997</v>
      </c>
      <c r="F2546">
        <f>0</f>
        <v>0</v>
      </c>
      <c r="G2546">
        <f>231461716/10^6</f>
        <v>231.461716</v>
      </c>
      <c r="H2546">
        <f>0</f>
        <v>0</v>
      </c>
      <c r="I2546">
        <f>-41550545/10^6</f>
        <v>-41.550545</v>
      </c>
      <c r="J2546">
        <f>0</f>
        <v>0</v>
      </c>
    </row>
    <row r="2547" spans="1:10" x14ac:dyDescent="0.25">
      <c r="A2547" t="s">
        <v>2556</v>
      </c>
      <c r="B2547" t="s">
        <v>11</v>
      </c>
      <c r="C2547">
        <v>116.549085938</v>
      </c>
      <c r="D2547">
        <f>0</f>
        <v>0</v>
      </c>
      <c r="E2547">
        <f>676467529/10^6</f>
        <v>676.46752900000001</v>
      </c>
      <c r="F2547">
        <f>0</f>
        <v>0</v>
      </c>
      <c r="G2547">
        <f>231415894/10^6</f>
        <v>231.41589400000001</v>
      </c>
      <c r="H2547">
        <f>0</f>
        <v>0</v>
      </c>
      <c r="I2547">
        <f>-41907463/10^6</f>
        <v>-41.907463</v>
      </c>
      <c r="J2547">
        <f>0</f>
        <v>0</v>
      </c>
    </row>
    <row r="2548" spans="1:10" x14ac:dyDescent="0.25">
      <c r="A2548" t="s">
        <v>2557</v>
      </c>
      <c r="B2548" t="s">
        <v>11</v>
      </c>
      <c r="C2548">
        <v>116.28790625000001</v>
      </c>
      <c r="D2548">
        <f>0</f>
        <v>0</v>
      </c>
      <c r="E2548">
        <f>677986877/10^6</f>
        <v>677.98687700000005</v>
      </c>
      <c r="F2548">
        <f>0</f>
        <v>0</v>
      </c>
      <c r="G2548">
        <f>231384201/10^6</f>
        <v>231.38420099999999</v>
      </c>
      <c r="H2548">
        <f>0</f>
        <v>0</v>
      </c>
      <c r="I2548">
        <f>-41970337/10^6</f>
        <v>-41.970337000000001</v>
      </c>
      <c r="J2548">
        <f>0</f>
        <v>0</v>
      </c>
    </row>
    <row r="2549" spans="1:10" x14ac:dyDescent="0.25">
      <c r="A2549" t="s">
        <v>2558</v>
      </c>
      <c r="B2549" t="s">
        <v>11</v>
      </c>
      <c r="C2549">
        <v>116.00440625</v>
      </c>
      <c r="D2549">
        <f>0</f>
        <v>0</v>
      </c>
      <c r="E2549">
        <f>679446899/10^6</f>
        <v>679.44689900000003</v>
      </c>
      <c r="F2549">
        <f>0</f>
        <v>0</v>
      </c>
      <c r="G2549">
        <f>231317673/10^6</f>
        <v>231.31767300000001</v>
      </c>
      <c r="H2549">
        <f>0</f>
        <v>0</v>
      </c>
      <c r="I2549">
        <f>-42082859/10^6</f>
        <v>-42.082858999999999</v>
      </c>
      <c r="J2549">
        <f>0</f>
        <v>0</v>
      </c>
    </row>
    <row r="2550" spans="1:10" x14ac:dyDescent="0.25">
      <c r="A2550" t="s">
        <v>2559</v>
      </c>
      <c r="B2550" t="s">
        <v>11</v>
      </c>
      <c r="C2550">
        <v>115.731757813</v>
      </c>
      <c r="D2550">
        <f>0</f>
        <v>0</v>
      </c>
      <c r="E2550">
        <f>680987244/10^6</f>
        <v>680.98724400000003</v>
      </c>
      <c r="F2550">
        <f>0</f>
        <v>0</v>
      </c>
      <c r="G2550">
        <f>231222214/10^6</f>
        <v>231.22221400000001</v>
      </c>
      <c r="H2550">
        <f>0</f>
        <v>0</v>
      </c>
      <c r="I2550">
        <f>-42522938/10^6</f>
        <v>-42.522938000000003</v>
      </c>
      <c r="J2550">
        <f>0</f>
        <v>0</v>
      </c>
    </row>
    <row r="2551" spans="1:10" x14ac:dyDescent="0.25">
      <c r="A2551" t="s">
        <v>2560</v>
      </c>
      <c r="B2551" t="s">
        <v>11</v>
      </c>
      <c r="C2551">
        <v>115.564875</v>
      </c>
      <c r="D2551">
        <f>0</f>
        <v>0</v>
      </c>
      <c r="E2551">
        <f>682040161/10^6</f>
        <v>682.04016100000001</v>
      </c>
      <c r="F2551">
        <f>0</f>
        <v>0</v>
      </c>
      <c r="G2551">
        <f>231197037/10^6</f>
        <v>231.19703699999999</v>
      </c>
      <c r="H2551">
        <f>0</f>
        <v>0</v>
      </c>
      <c r="I2551">
        <f>-42805424/10^6</f>
        <v>-42.805424000000002</v>
      </c>
      <c r="J2551">
        <f>0</f>
        <v>0</v>
      </c>
    </row>
    <row r="2552" spans="1:10" x14ac:dyDescent="0.25">
      <c r="A2552" t="s">
        <v>2561</v>
      </c>
      <c r="B2552" t="s">
        <v>11</v>
      </c>
      <c r="C2552">
        <v>115.438429688</v>
      </c>
      <c r="D2552">
        <f>0</f>
        <v>0</v>
      </c>
      <c r="E2552">
        <f>682786682/10^6</f>
        <v>682.78668200000004</v>
      </c>
      <c r="F2552">
        <f>0</f>
        <v>0</v>
      </c>
      <c r="G2552">
        <f>231213654/10^6</f>
        <v>231.21365399999999</v>
      </c>
      <c r="H2552">
        <f>0</f>
        <v>0</v>
      </c>
      <c r="I2552">
        <f>-42613403/10^6</f>
        <v>-42.613402999999998</v>
      </c>
      <c r="J2552">
        <f>0</f>
        <v>0</v>
      </c>
    </row>
    <row r="2553" spans="1:10" x14ac:dyDescent="0.25">
      <c r="A2553" t="s">
        <v>2562</v>
      </c>
      <c r="B2553" t="s">
        <v>11</v>
      </c>
      <c r="C2553">
        <v>115.28138281300001</v>
      </c>
      <c r="D2553">
        <f>0</f>
        <v>0</v>
      </c>
      <c r="E2553">
        <f>683593018/10^6</f>
        <v>683.59301800000003</v>
      </c>
      <c r="F2553">
        <f>0</f>
        <v>0</v>
      </c>
      <c r="G2553">
        <f>231160767/10^6</f>
        <v>231.16076699999999</v>
      </c>
      <c r="H2553">
        <f>0</f>
        <v>0</v>
      </c>
      <c r="I2553">
        <f>-42640976/10^6</f>
        <v>-42.640976000000002</v>
      </c>
      <c r="J2553">
        <f>0</f>
        <v>0</v>
      </c>
    </row>
    <row r="2554" spans="1:10" x14ac:dyDescent="0.25">
      <c r="A2554" t="s">
        <v>2563</v>
      </c>
      <c r="B2554" t="s">
        <v>11</v>
      </c>
      <c r="C2554">
        <v>115.13487499999999</v>
      </c>
      <c r="D2554">
        <f>0</f>
        <v>0</v>
      </c>
      <c r="E2554">
        <f>684224548/10^6</f>
        <v>684.22454800000003</v>
      </c>
      <c r="F2554">
        <f>0</f>
        <v>0</v>
      </c>
      <c r="G2554">
        <f>231064468/10^6</f>
        <v>231.06446800000001</v>
      </c>
      <c r="H2554">
        <f>0</f>
        <v>0</v>
      </c>
      <c r="I2554">
        <f>-42781399/10^6</f>
        <v>-42.781399</v>
      </c>
      <c r="J2554">
        <f>0</f>
        <v>0</v>
      </c>
    </row>
    <row r="2555" spans="1:10" x14ac:dyDescent="0.25">
      <c r="A2555" t="s">
        <v>2564</v>
      </c>
      <c r="B2555" t="s">
        <v>11</v>
      </c>
      <c r="C2555">
        <v>115.01007812500001</v>
      </c>
      <c r="D2555">
        <f>0</f>
        <v>0</v>
      </c>
      <c r="E2555">
        <f>684940857/10^6</f>
        <v>684.94085700000005</v>
      </c>
      <c r="F2555">
        <f>0</f>
        <v>0</v>
      </c>
      <c r="G2555">
        <f>231039566/10^6</f>
        <v>231.03956600000001</v>
      </c>
      <c r="H2555">
        <f>0</f>
        <v>0</v>
      </c>
      <c r="I2555">
        <f>-42766834/10^6</f>
        <v>-42.766834000000003</v>
      </c>
      <c r="J2555">
        <f>0</f>
        <v>0</v>
      </c>
    </row>
    <row r="2556" spans="1:10" x14ac:dyDescent="0.25">
      <c r="A2556" t="s">
        <v>2565</v>
      </c>
      <c r="B2556" t="s">
        <v>11</v>
      </c>
      <c r="C2556">
        <v>114.934304688</v>
      </c>
      <c r="D2556">
        <f>0</f>
        <v>0</v>
      </c>
      <c r="E2556">
        <f>685483398/10^6</f>
        <v>685.48339799999997</v>
      </c>
      <c r="F2556">
        <f>0</f>
        <v>0</v>
      </c>
      <c r="G2556">
        <f>231034576/10^6</f>
        <v>231.03457599999999</v>
      </c>
      <c r="H2556">
        <f>0</f>
        <v>0</v>
      </c>
      <c r="I2556">
        <f>-43033134/10^6</f>
        <v>-43.033133999999997</v>
      </c>
      <c r="J2556">
        <f>0</f>
        <v>0</v>
      </c>
    </row>
    <row r="2557" spans="1:10" x14ac:dyDescent="0.25">
      <c r="A2557" t="s">
        <v>2566</v>
      </c>
      <c r="B2557" t="s">
        <v>11</v>
      </c>
      <c r="C2557">
        <v>114.920164063</v>
      </c>
      <c r="D2557">
        <f>0</f>
        <v>0</v>
      </c>
      <c r="E2557">
        <f>685676758/10^6</f>
        <v>685.67675799999995</v>
      </c>
      <c r="F2557">
        <f>0</f>
        <v>0</v>
      </c>
      <c r="G2557">
        <f>231026886/10^6</f>
        <v>231.02688599999999</v>
      </c>
      <c r="H2557">
        <f>0</f>
        <v>0</v>
      </c>
      <c r="I2557">
        <f>-43272728/10^6</f>
        <v>-43.272728000000001</v>
      </c>
      <c r="J2557">
        <f>0</f>
        <v>0</v>
      </c>
    </row>
    <row r="2558" spans="1:10" x14ac:dyDescent="0.25">
      <c r="A2558" t="s">
        <v>2567</v>
      </c>
      <c r="B2558" t="s">
        <v>11</v>
      </c>
      <c r="C2558">
        <v>114.929867188</v>
      </c>
      <c r="D2558">
        <f>0</f>
        <v>0</v>
      </c>
      <c r="E2558">
        <f>685648254/10^6</f>
        <v>685.64825399999995</v>
      </c>
      <c r="F2558">
        <f>0</f>
        <v>0</v>
      </c>
      <c r="G2558">
        <f>231041489/10^6</f>
        <v>231.04148900000001</v>
      </c>
      <c r="H2558">
        <f>0</f>
        <v>0</v>
      </c>
      <c r="I2558">
        <f>-43247177/10^6</f>
        <v>-43.247177000000001</v>
      </c>
      <c r="J2558">
        <f>0</f>
        <v>0</v>
      </c>
    </row>
    <row r="2559" spans="1:10" x14ac:dyDescent="0.25">
      <c r="A2559" t="s">
        <v>2568</v>
      </c>
      <c r="B2559" t="s">
        <v>11</v>
      </c>
      <c r="C2559">
        <v>114.94010937500001</v>
      </c>
      <c r="D2559">
        <f>0</f>
        <v>0</v>
      </c>
      <c r="E2559">
        <f>685544495/10^6</f>
        <v>685.54449499999998</v>
      </c>
      <c r="F2559">
        <f>0</f>
        <v>0</v>
      </c>
      <c r="G2559">
        <f>231060043/10^6</f>
        <v>231.06004300000001</v>
      </c>
      <c r="H2559">
        <f>0</f>
        <v>0</v>
      </c>
      <c r="I2559">
        <f>-43123245/10^6</f>
        <v>-43.123244999999997</v>
      </c>
      <c r="J2559">
        <f>0</f>
        <v>0</v>
      </c>
    </row>
    <row r="2560" spans="1:10" x14ac:dyDescent="0.25">
      <c r="A2560" t="s">
        <v>2569</v>
      </c>
      <c r="B2560" t="s">
        <v>11</v>
      </c>
      <c r="C2560">
        <v>114.94280468800001</v>
      </c>
      <c r="D2560">
        <f>0</f>
        <v>0</v>
      </c>
      <c r="E2560">
        <f>685624878/10^6</f>
        <v>685.62487799999997</v>
      </c>
      <c r="F2560">
        <f>0</f>
        <v>0</v>
      </c>
      <c r="G2560">
        <f>231085968/10^6</f>
        <v>231.08596800000001</v>
      </c>
      <c r="H2560">
        <f>0</f>
        <v>0</v>
      </c>
      <c r="I2560">
        <f>-43094769/10^6</f>
        <v>-43.094768999999999</v>
      </c>
      <c r="J2560">
        <f>0</f>
        <v>0</v>
      </c>
    </row>
    <row r="2561" spans="1:10" x14ac:dyDescent="0.25">
      <c r="A2561" t="s">
        <v>2570</v>
      </c>
      <c r="B2561" t="s">
        <v>11</v>
      </c>
      <c r="C2561">
        <v>114.92446875</v>
      </c>
      <c r="D2561">
        <f>0</f>
        <v>0</v>
      </c>
      <c r="E2561">
        <f>685750488/10^6</f>
        <v>685.75048800000002</v>
      </c>
      <c r="F2561">
        <f>0</f>
        <v>0</v>
      </c>
      <c r="G2561">
        <f>231076294/10^6</f>
        <v>231.07629399999999</v>
      </c>
      <c r="H2561">
        <f>0</f>
        <v>0</v>
      </c>
      <c r="I2561">
        <f>-43204788/10^6</f>
        <v>-43.204788000000001</v>
      </c>
      <c r="J2561">
        <f>0</f>
        <v>0</v>
      </c>
    </row>
    <row r="2562" spans="1:10" x14ac:dyDescent="0.25">
      <c r="A2562" t="s">
        <v>2571</v>
      </c>
      <c r="B2562" t="s">
        <v>11</v>
      </c>
      <c r="C2562">
        <v>114.91574218800001</v>
      </c>
      <c r="D2562">
        <f>0</f>
        <v>0</v>
      </c>
      <c r="E2562">
        <f>685653015/10^6</f>
        <v>685.65301499999998</v>
      </c>
      <c r="F2562">
        <f>0</f>
        <v>0</v>
      </c>
      <c r="G2562">
        <f>231044907/10^6</f>
        <v>231.04490699999999</v>
      </c>
      <c r="H2562">
        <f>0</f>
        <v>0</v>
      </c>
      <c r="I2562">
        <f>-43186832/10^6</f>
        <v>-43.186832000000003</v>
      </c>
      <c r="J2562">
        <f>0</f>
        <v>0</v>
      </c>
    </row>
    <row r="2563" spans="1:10" x14ac:dyDescent="0.25">
      <c r="A2563" t="s">
        <v>2572</v>
      </c>
      <c r="B2563" t="s">
        <v>11</v>
      </c>
      <c r="C2563">
        <v>0</v>
      </c>
      <c r="D2563">
        <f>2</f>
        <v>2</v>
      </c>
      <c r="F2563">
        <f>2</f>
        <v>2</v>
      </c>
      <c r="H2563">
        <f>2</f>
        <v>2</v>
      </c>
      <c r="J2563">
        <f>2</f>
        <v>2</v>
      </c>
    </row>
    <row r="2564" spans="1:10" x14ac:dyDescent="0.25">
      <c r="A2564" t="s">
        <v>2573</v>
      </c>
      <c r="B2564" t="s">
        <v>11</v>
      </c>
      <c r="C2564">
        <v>115.00015625</v>
      </c>
      <c r="D2564">
        <f>0</f>
        <v>0</v>
      </c>
      <c r="E2564">
        <f>685467773/10^6</f>
        <v>685.46777299999997</v>
      </c>
      <c r="F2564">
        <f>0</f>
        <v>0</v>
      </c>
      <c r="G2564">
        <f>231136047/10^6</f>
        <v>231.13604699999999</v>
      </c>
      <c r="H2564">
        <f>0</f>
        <v>0</v>
      </c>
      <c r="I2564">
        <f>-43208908/10^6</f>
        <v>-43.208908000000001</v>
      </c>
      <c r="J2564">
        <f>0</f>
        <v>0</v>
      </c>
    </row>
    <row r="2565" spans="1:10" x14ac:dyDescent="0.25">
      <c r="A2565" t="s">
        <v>2574</v>
      </c>
      <c r="B2565" t="s">
        <v>11</v>
      </c>
      <c r="C2565">
        <v>115.033570313</v>
      </c>
      <c r="D2565">
        <f>0</f>
        <v>0</v>
      </c>
      <c r="E2565">
        <f>685327026/10^6</f>
        <v>685.32702600000005</v>
      </c>
      <c r="F2565">
        <f>0</f>
        <v>0</v>
      </c>
      <c r="G2565">
        <f>231175751/10^6</f>
        <v>231.17575099999999</v>
      </c>
      <c r="H2565">
        <f>0</f>
        <v>0</v>
      </c>
      <c r="I2565">
        <f>-43110649/10^6</f>
        <v>-43.110649000000002</v>
      </c>
      <c r="J2565">
        <f>0</f>
        <v>0</v>
      </c>
    </row>
    <row r="2566" spans="1:10" x14ac:dyDescent="0.25">
      <c r="A2566" t="s">
        <v>2575</v>
      </c>
      <c r="B2566" t="s">
        <v>11</v>
      </c>
      <c r="C2566">
        <v>0</v>
      </c>
      <c r="D2566">
        <f>2</f>
        <v>2</v>
      </c>
      <c r="F2566">
        <f>2</f>
        <v>2</v>
      </c>
      <c r="H2566">
        <f>2</f>
        <v>2</v>
      </c>
      <c r="J2566">
        <f>2</f>
        <v>2</v>
      </c>
    </row>
    <row r="2567" spans="1:10" x14ac:dyDescent="0.25">
      <c r="A2567" t="s">
        <v>2576</v>
      </c>
      <c r="B2567" t="s">
        <v>11</v>
      </c>
      <c r="C2567">
        <v>115.103554688</v>
      </c>
      <c r="D2567">
        <f>0</f>
        <v>0</v>
      </c>
      <c r="E2567">
        <f>684832764/10^6</f>
        <v>684.832764</v>
      </c>
      <c r="F2567">
        <f>0</f>
        <v>0</v>
      </c>
      <c r="G2567">
        <f>231137512/10^6</f>
        <v>231.13751199999999</v>
      </c>
      <c r="H2567">
        <f>0</f>
        <v>0</v>
      </c>
      <c r="I2567">
        <f>-43191132/10^6</f>
        <v>-43.191132000000003</v>
      </c>
      <c r="J2567">
        <f>0</f>
        <v>0</v>
      </c>
    </row>
    <row r="2568" spans="1:10" x14ac:dyDescent="0.25">
      <c r="A2568" t="s">
        <v>2577</v>
      </c>
      <c r="B2568" t="s">
        <v>11</v>
      </c>
      <c r="C2568">
        <v>115.201554688</v>
      </c>
      <c r="D2568">
        <f>0</f>
        <v>0</v>
      </c>
      <c r="E2568">
        <f>684383789/10^6</f>
        <v>684.38378899999998</v>
      </c>
      <c r="F2568">
        <f>0</f>
        <v>0</v>
      </c>
      <c r="G2568">
        <f>231210068/10^6</f>
        <v>231.21006800000001</v>
      </c>
      <c r="H2568">
        <f>0</f>
        <v>0</v>
      </c>
      <c r="I2568">
        <f>-43075504/10^6</f>
        <v>-43.075504000000002</v>
      </c>
      <c r="J2568">
        <f>0</f>
        <v>0</v>
      </c>
    </row>
    <row r="2569" spans="1:10" x14ac:dyDescent="0.25">
      <c r="A2569" t="s">
        <v>2578</v>
      </c>
      <c r="B2569" t="s">
        <v>11</v>
      </c>
      <c r="C2569">
        <v>115.327601563</v>
      </c>
      <c r="D2569">
        <f>0</f>
        <v>0</v>
      </c>
      <c r="E2569">
        <f>683767273/10^6</f>
        <v>683.76727300000005</v>
      </c>
      <c r="F2569">
        <f>0</f>
        <v>0</v>
      </c>
      <c r="G2569">
        <f>231272079/10^6</f>
        <v>231.27207899999999</v>
      </c>
      <c r="H2569">
        <f>0</f>
        <v>0</v>
      </c>
      <c r="I2569">
        <f>-43060974/10^6</f>
        <v>-43.060974000000002</v>
      </c>
      <c r="J2569">
        <f>0</f>
        <v>0</v>
      </c>
    </row>
    <row r="2570" spans="1:10" x14ac:dyDescent="0.25">
      <c r="A2570" t="s">
        <v>2579</v>
      </c>
      <c r="B2570" t="s">
        <v>11</v>
      </c>
      <c r="C2570">
        <v>115.496515625</v>
      </c>
      <c r="D2570">
        <f>0</f>
        <v>0</v>
      </c>
      <c r="E2570">
        <f>682917786/10^6</f>
        <v>682.91778599999998</v>
      </c>
      <c r="F2570">
        <f>0</f>
        <v>0</v>
      </c>
      <c r="G2570">
        <f>231347519/10^6</f>
        <v>231.34751900000001</v>
      </c>
      <c r="H2570">
        <f>0</f>
        <v>0</v>
      </c>
      <c r="I2570">
        <f>-4285149/10^5</f>
        <v>-42.851489999999998</v>
      </c>
      <c r="J2570">
        <f>0</f>
        <v>0</v>
      </c>
    </row>
    <row r="2571" spans="1:10" x14ac:dyDescent="0.25">
      <c r="A2571" t="s">
        <v>2580</v>
      </c>
      <c r="B2571" t="s">
        <v>11</v>
      </c>
      <c r="C2571">
        <v>115.721007813</v>
      </c>
      <c r="D2571">
        <f>0</f>
        <v>0</v>
      </c>
      <c r="E2571">
        <f>681713074/10^6</f>
        <v>681.71307400000001</v>
      </c>
      <c r="F2571">
        <f>0</f>
        <v>0</v>
      </c>
      <c r="G2571">
        <f>231421417/10^6</f>
        <v>231.42141699999999</v>
      </c>
      <c r="H2571">
        <f>0</f>
        <v>0</v>
      </c>
      <c r="I2571">
        <f>-42703056/10^6</f>
        <v>-42.703055999999997</v>
      </c>
      <c r="J2571">
        <f>0</f>
        <v>0</v>
      </c>
    </row>
    <row r="2572" spans="1:10" x14ac:dyDescent="0.25">
      <c r="A2572" t="s">
        <v>2581</v>
      </c>
      <c r="B2572" t="s">
        <v>11</v>
      </c>
      <c r="C2572">
        <v>116.02078906300001</v>
      </c>
      <c r="D2572">
        <f>0</f>
        <v>0</v>
      </c>
      <c r="E2572">
        <f>680042419/10^6</f>
        <v>680.042419</v>
      </c>
      <c r="F2572">
        <f>0</f>
        <v>0</v>
      </c>
      <c r="G2572">
        <f>231486359/10^6</f>
        <v>231.48635899999999</v>
      </c>
      <c r="H2572">
        <f>0</f>
        <v>0</v>
      </c>
      <c r="I2572">
        <f>-42699146/10^6</f>
        <v>-42.699145999999999</v>
      </c>
      <c r="J2572">
        <f>0</f>
        <v>0</v>
      </c>
    </row>
    <row r="2573" spans="1:10" x14ac:dyDescent="0.25">
      <c r="A2573" t="s">
        <v>2582</v>
      </c>
      <c r="B2573" t="s">
        <v>11</v>
      </c>
      <c r="C2573">
        <v>116.39971875000001</v>
      </c>
      <c r="D2573">
        <f>0</f>
        <v>0</v>
      </c>
      <c r="E2573">
        <f>677786072/10^6</f>
        <v>677.78607199999999</v>
      </c>
      <c r="F2573">
        <f>0</f>
        <v>0</v>
      </c>
      <c r="G2573">
        <f>23154718/10^5</f>
        <v>231.54718</v>
      </c>
      <c r="H2573">
        <f>0</f>
        <v>0</v>
      </c>
      <c r="I2573">
        <f>-42292713/10^6</f>
        <v>-42.292712999999999</v>
      </c>
      <c r="J2573">
        <f>0</f>
        <v>0</v>
      </c>
    </row>
    <row r="2574" spans="1:10" x14ac:dyDescent="0.25">
      <c r="A2574" t="s">
        <v>2583</v>
      </c>
      <c r="B2574" t="s">
        <v>11</v>
      </c>
      <c r="C2574">
        <v>116.795125</v>
      </c>
      <c r="D2574">
        <f>0</f>
        <v>0</v>
      </c>
      <c r="E2574">
        <f>675418335/10^6</f>
        <v>675.41833499999996</v>
      </c>
      <c r="F2574">
        <f>0</f>
        <v>0</v>
      </c>
      <c r="G2574">
        <f>231590332/10^6</f>
        <v>231.59033199999999</v>
      </c>
      <c r="H2574">
        <f>0</f>
        <v>0</v>
      </c>
      <c r="I2574">
        <f>-41936382/10^6</f>
        <v>-41.936382000000002</v>
      </c>
      <c r="J2574">
        <f>0</f>
        <v>0</v>
      </c>
    </row>
    <row r="2575" spans="1:10" x14ac:dyDescent="0.25">
      <c r="A2575" t="s">
        <v>2584</v>
      </c>
      <c r="B2575" t="s">
        <v>11</v>
      </c>
      <c r="C2575">
        <v>117.216296875</v>
      </c>
      <c r="D2575">
        <f>0</f>
        <v>0</v>
      </c>
      <c r="E2575">
        <f>672994507/10^6</f>
        <v>672.994507</v>
      </c>
      <c r="F2575">
        <f>0</f>
        <v>0</v>
      </c>
      <c r="G2575">
        <f>231652191/10^6</f>
        <v>231.65219099999999</v>
      </c>
      <c r="H2575">
        <f>0</f>
        <v>0</v>
      </c>
      <c r="I2575">
        <f>-41849686/10^6</f>
        <v>-41.849685999999998</v>
      </c>
      <c r="J2575">
        <f>0</f>
        <v>0</v>
      </c>
    </row>
    <row r="2576" spans="1:10" x14ac:dyDescent="0.25">
      <c r="A2576" t="s">
        <v>2585</v>
      </c>
      <c r="B2576" t="s">
        <v>11</v>
      </c>
      <c r="C2576">
        <v>117.70874999999999</v>
      </c>
      <c r="D2576">
        <f>0</f>
        <v>0</v>
      </c>
      <c r="E2576">
        <f>670310547/10^6</f>
        <v>670.31054700000004</v>
      </c>
      <c r="F2576">
        <f>0</f>
        <v>0</v>
      </c>
      <c r="G2576">
        <f>231725113/10^6</f>
        <v>231.72511299999999</v>
      </c>
      <c r="H2576">
        <f>0</f>
        <v>0</v>
      </c>
      <c r="I2576">
        <f>-41747047/10^6</f>
        <v>-41.747047000000002</v>
      </c>
      <c r="J2576">
        <f>0</f>
        <v>0</v>
      </c>
    </row>
    <row r="2577" spans="1:10" x14ac:dyDescent="0.25">
      <c r="A2577" t="s">
        <v>2586</v>
      </c>
      <c r="B2577" t="s">
        <v>11</v>
      </c>
      <c r="C2577">
        <v>118.246742188</v>
      </c>
      <c r="D2577">
        <f>0</f>
        <v>0</v>
      </c>
      <c r="E2577">
        <f>667328308/10^6</f>
        <v>667.32830799999999</v>
      </c>
      <c r="F2577">
        <f>0</f>
        <v>0</v>
      </c>
      <c r="G2577">
        <f>23179216/10^5</f>
        <v>231.79216</v>
      </c>
      <c r="H2577">
        <f>0</f>
        <v>0</v>
      </c>
      <c r="I2577">
        <f>-41536457/10^6</f>
        <v>-41.536456999999999</v>
      </c>
      <c r="J2577">
        <f>0</f>
        <v>0</v>
      </c>
    </row>
    <row r="2578" spans="1:10" x14ac:dyDescent="0.25">
      <c r="A2578" t="s">
        <v>2587</v>
      </c>
      <c r="B2578" t="s">
        <v>11</v>
      </c>
      <c r="C2578">
        <v>118.837226563</v>
      </c>
      <c r="D2578">
        <f>0</f>
        <v>0</v>
      </c>
      <c r="E2578">
        <f>663830933/10^6</f>
        <v>663.83093299999996</v>
      </c>
      <c r="F2578">
        <f>0</f>
        <v>0</v>
      </c>
      <c r="G2578">
        <f>231866531/10^6</f>
        <v>231.86653100000001</v>
      </c>
      <c r="H2578">
        <f>0</f>
        <v>0</v>
      </c>
      <c r="I2578">
        <f>-41010414/10^6</f>
        <v>-41.010413999999997</v>
      </c>
      <c r="J2578">
        <f>0</f>
        <v>0</v>
      </c>
    </row>
    <row r="2579" spans="1:10" x14ac:dyDescent="0.25">
      <c r="A2579" t="s">
        <v>2588</v>
      </c>
      <c r="B2579" t="s">
        <v>11</v>
      </c>
      <c r="C2579">
        <v>119.47280468800001</v>
      </c>
      <c r="D2579">
        <f>0</f>
        <v>0</v>
      </c>
      <c r="E2579">
        <f>660279114/10^6</f>
        <v>660.27911400000005</v>
      </c>
      <c r="F2579">
        <f>0</f>
        <v>0</v>
      </c>
      <c r="G2579">
        <f>231947845/10^6</f>
        <v>231.947845</v>
      </c>
      <c r="H2579">
        <f>0</f>
        <v>0</v>
      </c>
      <c r="I2579">
        <f>-40629913/10^6</f>
        <v>-40.629913000000002</v>
      </c>
      <c r="J2579">
        <f>0</f>
        <v>0</v>
      </c>
    </row>
    <row r="2580" spans="1:10" x14ac:dyDescent="0.25">
      <c r="A2580" t="s">
        <v>2589</v>
      </c>
      <c r="B2580" t="s">
        <v>11</v>
      </c>
      <c r="C2580">
        <v>120.10894531300001</v>
      </c>
      <c r="D2580">
        <f>0</f>
        <v>0</v>
      </c>
      <c r="E2580">
        <f>656635193/10^6</f>
        <v>656.63519299999996</v>
      </c>
      <c r="F2580">
        <f>0</f>
        <v>0</v>
      </c>
      <c r="G2580">
        <f>232021988/10^6</f>
        <v>232.02198799999999</v>
      </c>
      <c r="H2580">
        <f>0</f>
        <v>0</v>
      </c>
      <c r="I2580">
        <f>-40171097/10^6</f>
        <v>-40.171097000000003</v>
      </c>
      <c r="J2580">
        <f>0</f>
        <v>0</v>
      </c>
    </row>
    <row r="2581" spans="1:10" x14ac:dyDescent="0.25">
      <c r="A2581" t="s">
        <v>2590</v>
      </c>
      <c r="B2581" t="s">
        <v>11</v>
      </c>
      <c r="C2581">
        <v>0</v>
      </c>
      <c r="D2581">
        <f>2</f>
        <v>2</v>
      </c>
      <c r="F2581">
        <f>2</f>
        <v>2</v>
      </c>
      <c r="H2581">
        <f>2</f>
        <v>2</v>
      </c>
      <c r="J2581">
        <f>2</f>
        <v>2</v>
      </c>
    </row>
    <row r="2582" spans="1:10" x14ac:dyDescent="0.25">
      <c r="A2582" t="s">
        <v>2591</v>
      </c>
      <c r="B2582" t="s">
        <v>11</v>
      </c>
      <c r="C2582">
        <v>121.198265625</v>
      </c>
      <c r="D2582">
        <f>0</f>
        <v>0</v>
      </c>
      <c r="E2582">
        <f>650309509/10^6</f>
        <v>650.30950900000005</v>
      </c>
      <c r="F2582">
        <f>0</f>
        <v>0</v>
      </c>
      <c r="G2582">
        <f>232076508/10^6</f>
        <v>232.07650799999999</v>
      </c>
      <c r="H2582">
        <f>0</f>
        <v>0</v>
      </c>
      <c r="I2582">
        <f>-39470711/10^6</f>
        <v>-39.470711000000001</v>
      </c>
      <c r="J2582">
        <f>0</f>
        <v>0</v>
      </c>
    </row>
    <row r="2583" spans="1:10" x14ac:dyDescent="0.25">
      <c r="A2583" t="s">
        <v>2592</v>
      </c>
      <c r="B2583" t="s">
        <v>11</v>
      </c>
      <c r="C2583">
        <v>121.473890625</v>
      </c>
      <c r="D2583">
        <f>0</f>
        <v>0</v>
      </c>
      <c r="E2583">
        <f>648859009/10^6</f>
        <v>648.85900900000001</v>
      </c>
      <c r="F2583">
        <f>0</f>
        <v>0</v>
      </c>
      <c r="G2583">
        <f>23212149/10^5</f>
        <v>232.12148999999999</v>
      </c>
      <c r="H2583">
        <f>0</f>
        <v>0</v>
      </c>
      <c r="I2583">
        <f>-39349468/10^6</f>
        <v>-39.349468000000002</v>
      </c>
      <c r="J2583">
        <f>0</f>
        <v>0</v>
      </c>
    </row>
    <row r="2584" spans="1:10" x14ac:dyDescent="0.25">
      <c r="A2584" t="s">
        <v>2593</v>
      </c>
      <c r="B2584" t="s">
        <v>11</v>
      </c>
      <c r="C2584">
        <v>0</v>
      </c>
      <c r="D2584">
        <f>2</f>
        <v>2</v>
      </c>
      <c r="F2584">
        <f>2</f>
        <v>2</v>
      </c>
      <c r="H2584">
        <f>2</f>
        <v>2</v>
      </c>
      <c r="J2584">
        <f>2</f>
        <v>2</v>
      </c>
    </row>
    <row r="2585" spans="1:10" x14ac:dyDescent="0.25">
      <c r="A2585" t="s">
        <v>2594</v>
      </c>
      <c r="B2585" t="s">
        <v>11</v>
      </c>
      <c r="C2585">
        <v>121.66729687500001</v>
      </c>
      <c r="D2585">
        <f>0</f>
        <v>0</v>
      </c>
      <c r="E2585">
        <f>648056335/10^6</f>
        <v>648.05633499999999</v>
      </c>
      <c r="F2585">
        <f>0</f>
        <v>0</v>
      </c>
      <c r="G2585">
        <f>232210312/10^6</f>
        <v>232.21031199999999</v>
      </c>
      <c r="H2585">
        <f>0</f>
        <v>0</v>
      </c>
      <c r="I2585">
        <f>-39320988/10^6</f>
        <v>-39.320988</v>
      </c>
      <c r="J2585">
        <f>0</f>
        <v>0</v>
      </c>
    </row>
    <row r="2586" spans="1:10" x14ac:dyDescent="0.25">
      <c r="A2586" t="s">
        <v>2595</v>
      </c>
      <c r="B2586" t="s">
        <v>11</v>
      </c>
      <c r="C2586">
        <v>121.74211718800001</v>
      </c>
      <c r="D2586">
        <f>0</f>
        <v>0</v>
      </c>
      <c r="E2586">
        <f>647574829/10^6</f>
        <v>647.57482900000002</v>
      </c>
      <c r="F2586">
        <f>0</f>
        <v>0</v>
      </c>
      <c r="G2586">
        <f>232244614/10^6</f>
        <v>232.24461400000001</v>
      </c>
      <c r="H2586">
        <f>0</f>
        <v>0</v>
      </c>
      <c r="I2586">
        <f>-39048302/10^6</f>
        <v>-39.048302</v>
      </c>
      <c r="J2586">
        <f>0</f>
        <v>0</v>
      </c>
    </row>
    <row r="2587" spans="1:10" x14ac:dyDescent="0.25">
      <c r="A2587" t="s">
        <v>2596</v>
      </c>
      <c r="B2587" t="s">
        <v>11</v>
      </c>
      <c r="C2587">
        <v>121.783359375</v>
      </c>
      <c r="D2587">
        <f>0</f>
        <v>0</v>
      </c>
      <c r="E2587">
        <f>647365173/10^6</f>
        <v>647.36517300000003</v>
      </c>
      <c r="F2587">
        <f>0</f>
        <v>0</v>
      </c>
      <c r="G2587">
        <f>232262344/10^6</f>
        <v>232.26234400000001</v>
      </c>
      <c r="H2587">
        <f>0</f>
        <v>0</v>
      </c>
      <c r="I2587">
        <f>-38818295/10^6</f>
        <v>-38.818294999999999</v>
      </c>
      <c r="J2587">
        <f>0</f>
        <v>0</v>
      </c>
    </row>
    <row r="2588" spans="1:10" x14ac:dyDescent="0.25">
      <c r="A2588" t="s">
        <v>2597</v>
      </c>
      <c r="B2588" t="s">
        <v>11</v>
      </c>
      <c r="C2588">
        <v>121.71302343800001</v>
      </c>
      <c r="D2588">
        <f>0</f>
        <v>0</v>
      </c>
      <c r="E2588">
        <f>647900391/10^6</f>
        <v>647.90039100000001</v>
      </c>
      <c r="F2588">
        <f>0</f>
        <v>0</v>
      </c>
      <c r="G2588">
        <f>232268723/10^6</f>
        <v>232.26872299999999</v>
      </c>
      <c r="H2588">
        <f>0</f>
        <v>0</v>
      </c>
      <c r="I2588">
        <f>-38942345/10^6</f>
        <v>-38.942345000000003</v>
      </c>
      <c r="J2588">
        <f>0</f>
        <v>0</v>
      </c>
    </row>
    <row r="2589" spans="1:10" x14ac:dyDescent="0.25">
      <c r="A2589" t="s">
        <v>2598</v>
      </c>
      <c r="B2589" t="s">
        <v>11</v>
      </c>
      <c r="C2589">
        <v>121.56218749999999</v>
      </c>
      <c r="D2589">
        <f>0</f>
        <v>0</v>
      </c>
      <c r="E2589">
        <f>648688904/10^6</f>
        <v>648.68890399999998</v>
      </c>
      <c r="F2589">
        <f>0</f>
        <v>0</v>
      </c>
      <c r="G2589">
        <f>232261765/10^6</f>
        <v>232.261765</v>
      </c>
      <c r="H2589">
        <f>0</f>
        <v>0</v>
      </c>
      <c r="I2589">
        <f>-38905273/10^6</f>
        <v>-38.905273000000001</v>
      </c>
      <c r="J2589">
        <f>0</f>
        <v>0</v>
      </c>
    </row>
    <row r="2590" spans="1:10" x14ac:dyDescent="0.25">
      <c r="A2590" t="s">
        <v>2599</v>
      </c>
      <c r="B2590" t="s">
        <v>11</v>
      </c>
      <c r="C2590">
        <v>121.36634375</v>
      </c>
      <c r="D2590">
        <f>0</f>
        <v>0</v>
      </c>
      <c r="E2590">
        <f>649764099/10^6</f>
        <v>649.76409899999999</v>
      </c>
      <c r="F2590">
        <f>0</f>
        <v>0</v>
      </c>
      <c r="G2590">
        <f>232247818/10^6</f>
        <v>232.247818</v>
      </c>
      <c r="H2590">
        <f>0</f>
        <v>0</v>
      </c>
      <c r="I2590">
        <f>-38911503/10^6</f>
        <v>-38.911503000000003</v>
      </c>
      <c r="J2590">
        <f>0</f>
        <v>0</v>
      </c>
    </row>
    <row r="2591" spans="1:10" x14ac:dyDescent="0.25">
      <c r="A2591" t="s">
        <v>2600</v>
      </c>
      <c r="B2591" t="s">
        <v>11</v>
      </c>
      <c r="C2591">
        <v>121.13575</v>
      </c>
      <c r="D2591">
        <f>0</f>
        <v>0</v>
      </c>
      <c r="E2591">
        <f>651095947/10^6</f>
        <v>651.09594700000002</v>
      </c>
      <c r="F2591">
        <f>0</f>
        <v>0</v>
      </c>
      <c r="G2591">
        <f>232223801/10^6</f>
        <v>232.22380100000001</v>
      </c>
      <c r="H2591">
        <f>0</f>
        <v>0</v>
      </c>
      <c r="I2591">
        <f>-39072697/10^6</f>
        <v>-39.072696999999998</v>
      </c>
      <c r="J2591">
        <f>0</f>
        <v>0</v>
      </c>
    </row>
    <row r="2592" spans="1:10" x14ac:dyDescent="0.25">
      <c r="A2592" t="s">
        <v>2601</v>
      </c>
      <c r="B2592" t="s">
        <v>11</v>
      </c>
      <c r="C2592">
        <v>120.8833125</v>
      </c>
      <c r="D2592">
        <f>0</f>
        <v>0</v>
      </c>
      <c r="E2592">
        <f>652519592/10^6</f>
        <v>652.51959199999999</v>
      </c>
      <c r="F2592">
        <f>0</f>
        <v>0</v>
      </c>
      <c r="G2592">
        <f>232187866/10^6</f>
        <v>232.18786600000001</v>
      </c>
      <c r="H2592">
        <f>0</f>
        <v>0</v>
      </c>
      <c r="I2592">
        <f>-39250359/10^6</f>
        <v>-39.250359000000003</v>
      </c>
      <c r="J2592">
        <f>0</f>
        <v>0</v>
      </c>
    </row>
    <row r="2593" spans="1:10" x14ac:dyDescent="0.25">
      <c r="A2593" t="s">
        <v>2602</v>
      </c>
      <c r="B2593" t="s">
        <v>11</v>
      </c>
      <c r="C2593">
        <v>120.59814843800001</v>
      </c>
      <c r="D2593">
        <f>0</f>
        <v>0</v>
      </c>
      <c r="E2593">
        <f>654017517/10^6</f>
        <v>654.017517</v>
      </c>
      <c r="F2593">
        <f>0</f>
        <v>0</v>
      </c>
      <c r="G2593">
        <f>232137817/10^6</f>
        <v>232.13781700000001</v>
      </c>
      <c r="H2593">
        <f>0</f>
        <v>0</v>
      </c>
      <c r="I2593">
        <f>-39403927/10^6</f>
        <v>-39.403927000000003</v>
      </c>
      <c r="J2593">
        <f>0</f>
        <v>0</v>
      </c>
    </row>
    <row r="2594" spans="1:10" x14ac:dyDescent="0.25">
      <c r="A2594" t="s">
        <v>2603</v>
      </c>
      <c r="B2594" t="s">
        <v>11</v>
      </c>
      <c r="C2594">
        <v>120.29108593800001</v>
      </c>
      <c r="D2594">
        <f>0</f>
        <v>0</v>
      </c>
      <c r="E2594">
        <f>65561261/10^5</f>
        <v>655.61261000000002</v>
      </c>
      <c r="F2594">
        <f>0</f>
        <v>0</v>
      </c>
      <c r="G2594">
        <f>232082748/10^6</f>
        <v>232.08274800000001</v>
      </c>
      <c r="H2594">
        <f>0</f>
        <v>0</v>
      </c>
      <c r="I2594">
        <f>-39529926/10^6</f>
        <v>-39.529926000000003</v>
      </c>
      <c r="J2594">
        <f>0</f>
        <v>0</v>
      </c>
    </row>
    <row r="2595" spans="1:10" x14ac:dyDescent="0.25">
      <c r="A2595" t="s">
        <v>2604</v>
      </c>
      <c r="B2595" t="s">
        <v>11</v>
      </c>
      <c r="C2595">
        <v>119.96350781300001</v>
      </c>
      <c r="D2595">
        <f>0</f>
        <v>0</v>
      </c>
      <c r="E2595">
        <f>657457947/10^6</f>
        <v>657.45794699999999</v>
      </c>
      <c r="F2595">
        <f>0</f>
        <v>0</v>
      </c>
      <c r="G2595">
        <f>232024048/10^6</f>
        <v>232.02404799999999</v>
      </c>
      <c r="H2595">
        <f>0</f>
        <v>0</v>
      </c>
      <c r="I2595">
        <f>-39651264/10^6</f>
        <v>-39.651263999999998</v>
      </c>
      <c r="J2595">
        <f>0</f>
        <v>0</v>
      </c>
    </row>
    <row r="2596" spans="1:10" x14ac:dyDescent="0.25">
      <c r="A2596" t="s">
        <v>2605</v>
      </c>
      <c r="B2596" t="s">
        <v>11</v>
      </c>
      <c r="C2596">
        <v>119.55253125</v>
      </c>
      <c r="D2596">
        <f>0</f>
        <v>0</v>
      </c>
      <c r="E2596">
        <f>659571472/10^6</f>
        <v>659.57147199999997</v>
      </c>
      <c r="F2596">
        <f>0</f>
        <v>0</v>
      </c>
      <c r="G2596">
        <f>231953827/10^6</f>
        <v>231.95382699999999</v>
      </c>
      <c r="H2596">
        <f>0</f>
        <v>0</v>
      </c>
      <c r="I2596">
        <f>-39720303/10^6</f>
        <v>-39.720303000000001</v>
      </c>
      <c r="J2596">
        <f>0</f>
        <v>0</v>
      </c>
    </row>
    <row r="2597" spans="1:10" x14ac:dyDescent="0.25">
      <c r="A2597" t="s">
        <v>2606</v>
      </c>
      <c r="B2597" t="s">
        <v>11</v>
      </c>
      <c r="C2597">
        <v>119.143914063</v>
      </c>
      <c r="D2597">
        <f>0</f>
        <v>0</v>
      </c>
      <c r="E2597">
        <f>661748596/10^6</f>
        <v>661.74859600000002</v>
      </c>
      <c r="F2597">
        <f>0</f>
        <v>0</v>
      </c>
      <c r="G2597">
        <f>231889191/10^6</f>
        <v>231.88919100000001</v>
      </c>
      <c r="H2597">
        <f>0</f>
        <v>0</v>
      </c>
      <c r="I2597">
        <f>-39949379/10^6</f>
        <v>-39.949379</v>
      </c>
      <c r="J2597">
        <f>0</f>
        <v>0</v>
      </c>
    </row>
    <row r="2598" spans="1:10" x14ac:dyDescent="0.25">
      <c r="A2598" t="s">
        <v>2607</v>
      </c>
      <c r="B2598" t="s">
        <v>11</v>
      </c>
      <c r="C2598">
        <v>118.77215624999999</v>
      </c>
      <c r="D2598">
        <f>0</f>
        <v>0</v>
      </c>
      <c r="E2598">
        <f>663929077/10^6</f>
        <v>663.92907700000001</v>
      </c>
      <c r="F2598">
        <f>0</f>
        <v>0</v>
      </c>
      <c r="G2598">
        <f>231813324/10^6</f>
        <v>231.81332399999999</v>
      </c>
      <c r="H2598">
        <f>0</f>
        <v>0</v>
      </c>
      <c r="I2598">
        <f>-40305969/10^6</f>
        <v>-40.305968999999997</v>
      </c>
      <c r="J2598">
        <f>0</f>
        <v>0</v>
      </c>
    </row>
    <row r="2599" spans="1:10" x14ac:dyDescent="0.25">
      <c r="A2599" t="s">
        <v>2608</v>
      </c>
      <c r="B2599" t="s">
        <v>11</v>
      </c>
      <c r="C2599">
        <v>118.33137499999999</v>
      </c>
      <c r="D2599">
        <f>0</f>
        <v>0</v>
      </c>
      <c r="E2599">
        <f>666213135/10^6</f>
        <v>666.21313499999997</v>
      </c>
      <c r="F2599">
        <f>0</f>
        <v>0</v>
      </c>
      <c r="G2599">
        <f>231716812/10^6</f>
        <v>231.716812</v>
      </c>
      <c r="H2599">
        <f>0</f>
        <v>0</v>
      </c>
      <c r="I2599">
        <f>-40453175/10^6</f>
        <v>-40.453175000000002</v>
      </c>
      <c r="J2599">
        <f>0</f>
        <v>0</v>
      </c>
    </row>
    <row r="2600" spans="1:10" x14ac:dyDescent="0.25">
      <c r="A2600" t="s">
        <v>2609</v>
      </c>
      <c r="B2600" t="s">
        <v>11</v>
      </c>
      <c r="C2600">
        <v>117.84040625</v>
      </c>
      <c r="D2600">
        <f>0</f>
        <v>0</v>
      </c>
      <c r="E2600">
        <f>668755066/10^6</f>
        <v>668.75506600000006</v>
      </c>
      <c r="F2600">
        <f>0</f>
        <v>0</v>
      </c>
      <c r="G2600">
        <f>231610764/10^6</f>
        <v>231.61076399999999</v>
      </c>
      <c r="H2600">
        <f>0</f>
        <v>0</v>
      </c>
      <c r="I2600">
        <f>-40616993/10^6</f>
        <v>-40.616993000000001</v>
      </c>
      <c r="J2600">
        <f>0</f>
        <v>0</v>
      </c>
    </row>
    <row r="2601" spans="1:10" x14ac:dyDescent="0.25">
      <c r="A2601" t="s">
        <v>2610</v>
      </c>
      <c r="B2601" t="s">
        <v>11</v>
      </c>
      <c r="C2601">
        <v>117.328328125</v>
      </c>
      <c r="D2601">
        <f>0</f>
        <v>0</v>
      </c>
      <c r="E2601">
        <f>671797302/10^6</f>
        <v>671.79730199999995</v>
      </c>
      <c r="F2601">
        <f>0</f>
        <v>0</v>
      </c>
      <c r="G2601">
        <f>23151622/10^5</f>
        <v>231.51622</v>
      </c>
      <c r="H2601">
        <f>0</f>
        <v>0</v>
      </c>
      <c r="I2601">
        <f>-41182751/10^6</f>
        <v>-41.182751000000003</v>
      </c>
      <c r="J2601">
        <f>0</f>
        <v>0</v>
      </c>
    </row>
    <row r="2602" spans="1:10" x14ac:dyDescent="0.25">
      <c r="A2602" t="s">
        <v>2611</v>
      </c>
      <c r="B2602" t="s">
        <v>11</v>
      </c>
      <c r="C2602">
        <v>116.80496093800001</v>
      </c>
      <c r="D2602">
        <f>0</f>
        <v>0</v>
      </c>
      <c r="E2602">
        <f>674906921/10^6</f>
        <v>674.90692100000001</v>
      </c>
      <c r="F2602">
        <f>0</f>
        <v>0</v>
      </c>
      <c r="G2602">
        <f>231446854/10^6</f>
        <v>231.446854</v>
      </c>
      <c r="H2602">
        <f>0</f>
        <v>0</v>
      </c>
      <c r="I2602">
        <f>-41630447/10^6</f>
        <v>-41.630446999999997</v>
      </c>
      <c r="J2602">
        <f>0</f>
        <v>0</v>
      </c>
    </row>
    <row r="2603" spans="1:10" x14ac:dyDescent="0.25">
      <c r="A2603" t="s">
        <v>2612</v>
      </c>
      <c r="B2603" t="s">
        <v>11</v>
      </c>
      <c r="C2603">
        <v>116.28711718800001</v>
      </c>
      <c r="D2603">
        <f>0</f>
        <v>0</v>
      </c>
      <c r="E2603">
        <f>677681396/10^6</f>
        <v>677.68139599999995</v>
      </c>
      <c r="F2603">
        <f>0</f>
        <v>0</v>
      </c>
      <c r="G2603">
        <f>231337692/10^6</f>
        <v>231.337692</v>
      </c>
      <c r="H2603">
        <f>0</f>
        <v>0</v>
      </c>
      <c r="I2603">
        <f>-41676361/10^6</f>
        <v>-41.676361</v>
      </c>
      <c r="J2603">
        <f>0</f>
        <v>0</v>
      </c>
    </row>
    <row r="2604" spans="1:10" x14ac:dyDescent="0.25">
      <c r="A2604" t="s">
        <v>2613</v>
      </c>
      <c r="B2604" t="s">
        <v>11</v>
      </c>
      <c r="C2604">
        <v>0</v>
      </c>
      <c r="D2604">
        <f>2</f>
        <v>2</v>
      </c>
      <c r="F2604">
        <f>2</f>
        <v>2</v>
      </c>
      <c r="H2604">
        <f>2</f>
        <v>2</v>
      </c>
      <c r="J2604">
        <f>2</f>
        <v>2</v>
      </c>
    </row>
    <row r="2605" spans="1:10" x14ac:dyDescent="0.25">
      <c r="A2605" t="s">
        <v>2614</v>
      </c>
      <c r="B2605" t="s">
        <v>11</v>
      </c>
      <c r="C2605">
        <v>115.362953125</v>
      </c>
      <c r="D2605">
        <f>0</f>
        <v>0</v>
      </c>
      <c r="E2605">
        <f>682968872/10^6</f>
        <v>682.96887200000003</v>
      </c>
      <c r="F2605">
        <f>0</f>
        <v>0</v>
      </c>
      <c r="G2605">
        <f>231078232/10^6</f>
        <v>231.07823200000001</v>
      </c>
      <c r="H2605">
        <f>0</f>
        <v>0</v>
      </c>
      <c r="I2605">
        <f>-42719017/10^6</f>
        <v>-42.719017000000001</v>
      </c>
      <c r="J2605">
        <f>0</f>
        <v>0</v>
      </c>
    </row>
    <row r="2606" spans="1:10" x14ac:dyDescent="0.25">
      <c r="A2606" t="s">
        <v>2615</v>
      </c>
      <c r="B2606" t="s">
        <v>11</v>
      </c>
      <c r="C2606">
        <v>115.1731875</v>
      </c>
      <c r="D2606">
        <f>0</f>
        <v>0</v>
      </c>
      <c r="E2606">
        <f>68382666/10^5</f>
        <v>683.82665999999995</v>
      </c>
      <c r="F2606">
        <f>0</f>
        <v>0</v>
      </c>
      <c r="G2606">
        <f>230962967/10^6</f>
        <v>230.96296699999999</v>
      </c>
      <c r="H2606">
        <f>0</f>
        <v>0</v>
      </c>
      <c r="I2606">
        <f>-42821892/10^6</f>
        <v>-42.821891999999998</v>
      </c>
      <c r="J2606">
        <f>0</f>
        <v>0</v>
      </c>
    </row>
    <row r="2607" spans="1:10" x14ac:dyDescent="0.25">
      <c r="A2607" t="s">
        <v>2616</v>
      </c>
      <c r="B2607" t="s">
        <v>11</v>
      </c>
      <c r="C2607">
        <v>114.96538281300001</v>
      </c>
      <c r="D2607">
        <f>0</f>
        <v>0</v>
      </c>
      <c r="E2607">
        <f>684778992/10^6</f>
        <v>684.77899200000002</v>
      </c>
      <c r="F2607">
        <f>0</f>
        <v>0</v>
      </c>
      <c r="G2607">
        <f>230886292/10^6</f>
        <v>230.886292</v>
      </c>
      <c r="H2607">
        <f>0</f>
        <v>0</v>
      </c>
      <c r="I2607">
        <f>-4274847/10^5</f>
        <v>-42.748469999999998</v>
      </c>
      <c r="J2607">
        <f>0</f>
        <v>0</v>
      </c>
    </row>
    <row r="2608" spans="1:10" x14ac:dyDescent="0.25">
      <c r="A2608" t="s">
        <v>2617</v>
      </c>
      <c r="B2608" t="s">
        <v>11</v>
      </c>
      <c r="C2608">
        <v>0</v>
      </c>
      <c r="D2608">
        <f>2</f>
        <v>2</v>
      </c>
      <c r="F2608">
        <f>2</f>
        <v>2</v>
      </c>
      <c r="H2608">
        <f>2</f>
        <v>2</v>
      </c>
      <c r="J2608">
        <f>2</f>
        <v>2</v>
      </c>
    </row>
    <row r="2609" spans="1:10" x14ac:dyDescent="0.25">
      <c r="A2609" t="s">
        <v>2618</v>
      </c>
      <c r="B2609" t="s">
        <v>11</v>
      </c>
      <c r="C2609">
        <v>114.517460938</v>
      </c>
      <c r="D2609">
        <f>0</f>
        <v>0</v>
      </c>
      <c r="E2609">
        <f>687396179/10^6</f>
        <v>687.39617899999996</v>
      </c>
      <c r="F2609">
        <f>0</f>
        <v>0</v>
      </c>
      <c r="G2609">
        <f>230725677/10^6</f>
        <v>230.72567699999999</v>
      </c>
      <c r="H2609">
        <f>0</f>
        <v>0</v>
      </c>
      <c r="I2609">
        <f>-43548969/10^6</f>
        <v>-43.548969</v>
      </c>
      <c r="J2609">
        <f>0</f>
        <v>0</v>
      </c>
    </row>
    <row r="2610" spans="1:10" x14ac:dyDescent="0.25">
      <c r="A2610" t="s">
        <v>2619</v>
      </c>
      <c r="B2610" t="s">
        <v>11</v>
      </c>
      <c r="C2610">
        <v>114.33625000000001</v>
      </c>
      <c r="D2610">
        <f>0</f>
        <v>0</v>
      </c>
      <c r="E2610">
        <f>68837915/10^5</f>
        <v>688.37914999999998</v>
      </c>
      <c r="F2610">
        <f>0</f>
        <v>0</v>
      </c>
      <c r="G2610">
        <f>230705429/10^6</f>
        <v>230.70542900000001</v>
      </c>
      <c r="H2610">
        <f>0</f>
        <v>0</v>
      </c>
      <c r="I2610">
        <f>-43409264/10^6</f>
        <v>-43.409264</v>
      </c>
      <c r="J2610">
        <f>0</f>
        <v>0</v>
      </c>
    </row>
    <row r="2611" spans="1:10" x14ac:dyDescent="0.25">
      <c r="A2611" t="s">
        <v>2620</v>
      </c>
      <c r="B2611" t="s">
        <v>11</v>
      </c>
      <c r="C2611">
        <v>114.19585156300001</v>
      </c>
      <c r="D2611">
        <f>0</f>
        <v>0</v>
      </c>
      <c r="E2611">
        <f>689325745/10^6</f>
        <v>689.32574499999998</v>
      </c>
      <c r="F2611">
        <f>0</f>
        <v>0</v>
      </c>
      <c r="G2611">
        <f>230661148/10^6</f>
        <v>230.661148</v>
      </c>
      <c r="H2611">
        <f>0</f>
        <v>0</v>
      </c>
      <c r="I2611">
        <f>-43803944/10^6</f>
        <v>-43.803944000000001</v>
      </c>
      <c r="J2611">
        <f>0</f>
        <v>0</v>
      </c>
    </row>
    <row r="2612" spans="1:10" x14ac:dyDescent="0.25">
      <c r="A2612" t="s">
        <v>2621</v>
      </c>
      <c r="B2612" t="s">
        <v>11</v>
      </c>
      <c r="C2612">
        <v>114.367023438</v>
      </c>
      <c r="D2612">
        <f>0</f>
        <v>0</v>
      </c>
      <c r="E2612">
        <f>688396973/10^6</f>
        <v>688.396973</v>
      </c>
      <c r="F2612">
        <f>0</f>
        <v>0</v>
      </c>
      <c r="G2612">
        <f>230659683/10^6</f>
        <v>230.659683</v>
      </c>
      <c r="H2612">
        <f>0</f>
        <v>0</v>
      </c>
      <c r="I2612">
        <f>-44159092/10^6</f>
        <v>-44.159092000000001</v>
      </c>
      <c r="J2612">
        <f>0</f>
        <v>0</v>
      </c>
    </row>
    <row r="2613" spans="1:10" x14ac:dyDescent="0.25">
      <c r="A2613" t="s">
        <v>2622</v>
      </c>
      <c r="B2613" t="s">
        <v>11</v>
      </c>
      <c r="C2613">
        <v>114.797859375</v>
      </c>
      <c r="D2613">
        <f>0</f>
        <v>0</v>
      </c>
      <c r="E2613">
        <f>685896057/10^6</f>
        <v>685.89605700000004</v>
      </c>
      <c r="F2613">
        <f>0</f>
        <v>0</v>
      </c>
      <c r="G2613">
        <f>230853333/10^6</f>
        <v>230.85333299999999</v>
      </c>
      <c r="H2613">
        <f>0</f>
        <v>0</v>
      </c>
      <c r="I2613">
        <f>-43327805/10^6</f>
        <v>-43.327804999999998</v>
      </c>
      <c r="J2613">
        <f>0</f>
        <v>0</v>
      </c>
    </row>
    <row r="2614" spans="1:10" x14ac:dyDescent="0.25">
      <c r="A2614" t="s">
        <v>2623</v>
      </c>
      <c r="B2614" t="s">
        <v>11</v>
      </c>
      <c r="C2614">
        <v>0</v>
      </c>
      <c r="D2614">
        <f>2</f>
        <v>2</v>
      </c>
      <c r="F2614">
        <f>2</f>
        <v>2</v>
      </c>
      <c r="H2614">
        <f>2</f>
        <v>2</v>
      </c>
      <c r="J2614">
        <f>2</f>
        <v>2</v>
      </c>
    </row>
    <row r="2615" spans="1:10" x14ac:dyDescent="0.25">
      <c r="A2615" t="s">
        <v>2624</v>
      </c>
      <c r="B2615" t="s">
        <v>11</v>
      </c>
      <c r="C2615">
        <v>115.748789063</v>
      </c>
      <c r="D2615">
        <f>0</f>
        <v>0</v>
      </c>
      <c r="E2615">
        <f>681015137/10^6</f>
        <v>681.01513699999998</v>
      </c>
      <c r="F2615">
        <f>0</f>
        <v>0</v>
      </c>
      <c r="G2615">
        <f>231224289/10^6</f>
        <v>231.224289</v>
      </c>
      <c r="H2615">
        <f>0</f>
        <v>0</v>
      </c>
      <c r="I2615">
        <f>-42939415/10^6</f>
        <v>-42.939414999999997</v>
      </c>
      <c r="J2615">
        <f>0</f>
        <v>0</v>
      </c>
    </row>
    <row r="2616" spans="1:10" x14ac:dyDescent="0.25">
      <c r="A2616" t="s">
        <v>2625</v>
      </c>
      <c r="B2616" t="s">
        <v>11</v>
      </c>
      <c r="C2616">
        <v>116.299328125</v>
      </c>
      <c r="D2616">
        <f>0</f>
        <v>0</v>
      </c>
      <c r="E2616">
        <f>677944519/10^6</f>
        <v>677.94451900000001</v>
      </c>
      <c r="F2616">
        <f>0</f>
        <v>0</v>
      </c>
      <c r="G2616">
        <f>231395126/10^6</f>
        <v>231.395126</v>
      </c>
      <c r="H2616">
        <f>0</f>
        <v>0</v>
      </c>
      <c r="I2616">
        <f>-42457134/10^6</f>
        <v>-42.457134000000003</v>
      </c>
      <c r="J2616">
        <f>0</f>
        <v>0</v>
      </c>
    </row>
    <row r="2617" spans="1:10" x14ac:dyDescent="0.25">
      <c r="A2617" t="s">
        <v>2626</v>
      </c>
      <c r="B2617" t="s">
        <v>11</v>
      </c>
      <c r="C2617">
        <v>116.875484375</v>
      </c>
      <c r="D2617">
        <f>0</f>
        <v>0</v>
      </c>
      <c r="E2617">
        <f>674843445/10^6</f>
        <v>674.84344499999997</v>
      </c>
      <c r="F2617">
        <f>0</f>
        <v>0</v>
      </c>
      <c r="G2617">
        <f>231537476/10^6</f>
        <v>231.537476</v>
      </c>
      <c r="H2617">
        <f>0</f>
        <v>0</v>
      </c>
      <c r="I2617">
        <f>-42233089/10^6</f>
        <v>-42.233089</v>
      </c>
      <c r="J2617">
        <f>0</f>
        <v>0</v>
      </c>
    </row>
    <row r="2618" spans="1:10" x14ac:dyDescent="0.25">
      <c r="A2618" t="s">
        <v>2627</v>
      </c>
      <c r="B2618" t="s">
        <v>11</v>
      </c>
      <c r="C2618">
        <v>117.48075</v>
      </c>
      <c r="D2618">
        <f>0</f>
        <v>0</v>
      </c>
      <c r="E2618">
        <f>671471558/10^6</f>
        <v>671.47155799999996</v>
      </c>
      <c r="F2618">
        <f>0</f>
        <v>0</v>
      </c>
      <c r="G2618">
        <f>231645203/10^6</f>
        <v>231.64520300000001</v>
      </c>
      <c r="H2618">
        <f>0</f>
        <v>0</v>
      </c>
      <c r="I2618">
        <f>-41920322/10^6</f>
        <v>-41.920321999999999</v>
      </c>
      <c r="J2618">
        <f>0</f>
        <v>0</v>
      </c>
    </row>
    <row r="2619" spans="1:10" x14ac:dyDescent="0.25">
      <c r="A2619" t="s">
        <v>2628</v>
      </c>
      <c r="B2619" t="s">
        <v>11</v>
      </c>
      <c r="C2619">
        <v>118.14222656300001</v>
      </c>
      <c r="D2619">
        <f>0</f>
        <v>0</v>
      </c>
      <c r="E2619">
        <f>667721741/10^6</f>
        <v>667.72174099999995</v>
      </c>
      <c r="F2619">
        <f>0</f>
        <v>0</v>
      </c>
      <c r="G2619">
        <f>231755936/10^6</f>
        <v>231.75593599999999</v>
      </c>
      <c r="H2619">
        <f>0</f>
        <v>0</v>
      </c>
      <c r="I2619">
        <f>-41368137/10^6</f>
        <v>-41.368136999999997</v>
      </c>
      <c r="J2619">
        <f>0</f>
        <v>0</v>
      </c>
    </row>
    <row r="2620" spans="1:10" x14ac:dyDescent="0.25">
      <c r="A2620" t="s">
        <v>2629</v>
      </c>
      <c r="B2620" t="s">
        <v>11</v>
      </c>
      <c r="C2620">
        <v>118.849429688</v>
      </c>
      <c r="D2620">
        <f>0</f>
        <v>0</v>
      </c>
      <c r="E2620">
        <f>663706726/10^6</f>
        <v>663.706726</v>
      </c>
      <c r="F2620">
        <f>0</f>
        <v>0</v>
      </c>
      <c r="G2620">
        <f>231851471/10^6</f>
        <v>231.851471</v>
      </c>
      <c r="H2620">
        <f>0</f>
        <v>0</v>
      </c>
      <c r="I2620">
        <f>-40884373/10^6</f>
        <v>-40.884372999999997</v>
      </c>
      <c r="J2620">
        <f>0</f>
        <v>0</v>
      </c>
    </row>
    <row r="2621" spans="1:10" x14ac:dyDescent="0.25">
      <c r="A2621" t="s">
        <v>2630</v>
      </c>
      <c r="B2621" t="s">
        <v>11</v>
      </c>
      <c r="C2621">
        <v>119.55032812499999</v>
      </c>
      <c r="D2621">
        <f>0</f>
        <v>0</v>
      </c>
      <c r="E2621">
        <f>659705078/10^6</f>
        <v>659.70507799999996</v>
      </c>
      <c r="F2621">
        <f>0</f>
        <v>0</v>
      </c>
      <c r="G2621">
        <f>23193309/10^5</f>
        <v>231.93308999999999</v>
      </c>
      <c r="H2621">
        <f>0</f>
        <v>0</v>
      </c>
      <c r="I2621">
        <f>-4041082/10^5</f>
        <v>-40.410820000000001</v>
      </c>
      <c r="J2621">
        <f>0</f>
        <v>0</v>
      </c>
    </row>
    <row r="2622" spans="1:10" x14ac:dyDescent="0.25">
      <c r="A2622" t="s">
        <v>2631</v>
      </c>
      <c r="B2622" t="s">
        <v>11</v>
      </c>
      <c r="C2622">
        <v>120.226609375</v>
      </c>
      <c r="D2622">
        <f>0</f>
        <v>0</v>
      </c>
      <c r="E2622">
        <f>655902161/10^6</f>
        <v>655.90216099999998</v>
      </c>
      <c r="F2622">
        <f>0</f>
        <v>0</v>
      </c>
      <c r="G2622">
        <f>232006821/10^6</f>
        <v>232.006821</v>
      </c>
      <c r="H2622">
        <f>0</f>
        <v>0</v>
      </c>
      <c r="I2622">
        <f>-3994862/10^5</f>
        <v>-39.948619999999998</v>
      </c>
      <c r="J2622">
        <f>0</f>
        <v>0</v>
      </c>
    </row>
    <row r="2623" spans="1:10" x14ac:dyDescent="0.25">
      <c r="A2623" t="s">
        <v>2632</v>
      </c>
      <c r="B2623" t="s">
        <v>11</v>
      </c>
      <c r="C2623">
        <v>120.80258593800001</v>
      </c>
      <c r="D2623">
        <f>0</f>
        <v>0</v>
      </c>
      <c r="E2623">
        <f>652597107/10^6</f>
        <v>652.59710700000005</v>
      </c>
      <c r="F2623">
        <f>0</f>
        <v>0</v>
      </c>
      <c r="G2623">
        <f>232039032/10^6</f>
        <v>232.03903199999999</v>
      </c>
      <c r="H2623">
        <f>0</f>
        <v>0</v>
      </c>
      <c r="I2623">
        <f>-39654327/10^6</f>
        <v>-39.654327000000002</v>
      </c>
      <c r="J2623">
        <f>0</f>
        <v>0</v>
      </c>
    </row>
    <row r="2624" spans="1:10" x14ac:dyDescent="0.25">
      <c r="A2624" t="s">
        <v>2633</v>
      </c>
      <c r="B2624" t="s">
        <v>11</v>
      </c>
      <c r="C2624">
        <v>121.16383593800001</v>
      </c>
      <c r="D2624">
        <f>0</f>
        <v>0</v>
      </c>
      <c r="E2624">
        <f>650445923/10^6</f>
        <v>650.44592299999999</v>
      </c>
      <c r="F2624">
        <f>0</f>
        <v>0</v>
      </c>
      <c r="G2624">
        <f>232054016/10^6</f>
        <v>232.05401599999999</v>
      </c>
      <c r="H2624">
        <f>0</f>
        <v>0</v>
      </c>
      <c r="I2624">
        <f>-393993/10^4</f>
        <v>-39.399299999999997</v>
      </c>
      <c r="J2624">
        <f>0</f>
        <v>0</v>
      </c>
    </row>
    <row r="2625" spans="1:10" x14ac:dyDescent="0.25">
      <c r="A2625" t="s">
        <v>2634</v>
      </c>
      <c r="B2625" t="s">
        <v>11</v>
      </c>
      <c r="C2625">
        <v>121.32594531300001</v>
      </c>
      <c r="D2625">
        <f>0</f>
        <v>0</v>
      </c>
      <c r="E2625">
        <f>649617065/10^6</f>
        <v>649.61706500000003</v>
      </c>
      <c r="F2625">
        <f>0</f>
        <v>0</v>
      </c>
      <c r="G2625">
        <f>232082016/10^6</f>
        <v>232.08201600000001</v>
      </c>
      <c r="H2625">
        <f>0</f>
        <v>0</v>
      </c>
      <c r="I2625">
        <f>-39180004/10^6</f>
        <v>-39.180003999999997</v>
      </c>
      <c r="J2625">
        <f>0</f>
        <v>0</v>
      </c>
    </row>
    <row r="2626" spans="1:10" x14ac:dyDescent="0.25">
      <c r="A2626" t="s">
        <v>2635</v>
      </c>
      <c r="B2626" t="s">
        <v>11</v>
      </c>
      <c r="C2626">
        <v>121.38407031300001</v>
      </c>
      <c r="D2626">
        <f>0</f>
        <v>0</v>
      </c>
      <c r="E2626">
        <f>649302246/10^6</f>
        <v>649.30224599999997</v>
      </c>
      <c r="F2626">
        <f>0</f>
        <v>0</v>
      </c>
      <c r="G2626">
        <f>232111526/10^6</f>
        <v>232.111526</v>
      </c>
      <c r="H2626">
        <f>0</f>
        <v>0</v>
      </c>
      <c r="I2626">
        <f>-39041264/10^6</f>
        <v>-39.041263999999998</v>
      </c>
      <c r="J2626">
        <f>0</f>
        <v>0</v>
      </c>
    </row>
    <row r="2627" spans="1:10" x14ac:dyDescent="0.25">
      <c r="A2627" t="s">
        <v>2636</v>
      </c>
      <c r="B2627" t="s">
        <v>11</v>
      </c>
      <c r="C2627">
        <v>121.39774218800001</v>
      </c>
      <c r="D2627">
        <f>0</f>
        <v>0</v>
      </c>
      <c r="E2627">
        <f>649250977/10^6</f>
        <v>649.25097700000003</v>
      </c>
      <c r="F2627">
        <f>0</f>
        <v>0</v>
      </c>
      <c r="G2627">
        <f>232136993/10^6</f>
        <v>232.13699299999999</v>
      </c>
      <c r="H2627">
        <f>0</f>
        <v>0</v>
      </c>
      <c r="I2627">
        <f>-39000759/10^6</f>
        <v>-39.000759000000002</v>
      </c>
      <c r="J2627">
        <f>0</f>
        <v>0</v>
      </c>
    </row>
    <row r="2628" spans="1:10" x14ac:dyDescent="0.25">
      <c r="A2628" t="s">
        <v>2637</v>
      </c>
      <c r="B2628" t="s">
        <v>11</v>
      </c>
      <c r="C2628">
        <v>121.36419531300001</v>
      </c>
      <c r="D2628">
        <f>0</f>
        <v>0</v>
      </c>
      <c r="E2628">
        <f>649574158/10^6</f>
        <v>649.57415800000001</v>
      </c>
      <c r="F2628">
        <f>0</f>
        <v>0</v>
      </c>
      <c r="G2628">
        <f>23215387/10^5</f>
        <v>232.15387000000001</v>
      </c>
      <c r="H2628">
        <f>0</f>
        <v>0</v>
      </c>
      <c r="I2628">
        <f>-39004089/10^6</f>
        <v>-39.004089</v>
      </c>
      <c r="J2628">
        <f>0</f>
        <v>0</v>
      </c>
    </row>
    <row r="2629" spans="1:10" x14ac:dyDescent="0.25">
      <c r="A2629" t="s">
        <v>2638</v>
      </c>
      <c r="B2629" t="s">
        <v>11</v>
      </c>
      <c r="C2629">
        <v>121.256164063</v>
      </c>
      <c r="D2629">
        <f>0</f>
        <v>0</v>
      </c>
      <c r="E2629">
        <f>650220276/10^6</f>
        <v>650.22027600000001</v>
      </c>
      <c r="F2629">
        <f>0</f>
        <v>0</v>
      </c>
      <c r="G2629">
        <f>23217128/10^5</f>
        <v>232.17128</v>
      </c>
      <c r="H2629">
        <f>0</f>
        <v>0</v>
      </c>
      <c r="I2629">
        <f>-38969975/10^6</f>
        <v>-38.969974999999998</v>
      </c>
      <c r="J2629">
        <f>0</f>
        <v>0</v>
      </c>
    </row>
    <row r="2630" spans="1:10" x14ac:dyDescent="0.25">
      <c r="A2630" t="s">
        <v>2639</v>
      </c>
      <c r="B2630" t="s">
        <v>11</v>
      </c>
      <c r="C2630">
        <v>121.04246875</v>
      </c>
      <c r="D2630">
        <f>0</f>
        <v>0</v>
      </c>
      <c r="E2630">
        <f>651499023/10^6</f>
        <v>651.49902299999997</v>
      </c>
      <c r="F2630">
        <f>0</f>
        <v>0</v>
      </c>
      <c r="G2630">
        <f>232183167/10^6</f>
        <v>232.183167</v>
      </c>
      <c r="H2630">
        <f>0</f>
        <v>0</v>
      </c>
      <c r="I2630">
        <f>-39065517/10^6</f>
        <v>-39.065517</v>
      </c>
      <c r="J2630">
        <f>0</f>
        <v>0</v>
      </c>
    </row>
    <row r="2631" spans="1:10" x14ac:dyDescent="0.25">
      <c r="A2631" t="s">
        <v>2640</v>
      </c>
      <c r="B2631" t="s">
        <v>11</v>
      </c>
      <c r="C2631">
        <v>120.74515624999999</v>
      </c>
      <c r="D2631">
        <f>0</f>
        <v>0</v>
      </c>
      <c r="E2631">
        <f>653227173/10^6</f>
        <v>653.22717299999999</v>
      </c>
      <c r="F2631">
        <f>0</f>
        <v>0</v>
      </c>
      <c r="G2631">
        <f>23217926/10^5</f>
        <v>232.17926</v>
      </c>
      <c r="H2631">
        <f>0</f>
        <v>0</v>
      </c>
      <c r="I2631">
        <f>-39236122/10^6</f>
        <v>-39.236122000000002</v>
      </c>
      <c r="J2631">
        <f>0</f>
        <v>0</v>
      </c>
    </row>
    <row r="2632" spans="1:10" x14ac:dyDescent="0.25">
      <c r="A2632" t="s">
        <v>2641</v>
      </c>
      <c r="B2632" t="s">
        <v>11</v>
      </c>
      <c r="C2632">
        <v>0</v>
      </c>
      <c r="D2632">
        <f>2</f>
        <v>2</v>
      </c>
      <c r="F2632">
        <f>2</f>
        <v>2</v>
      </c>
      <c r="H2632">
        <f>2</f>
        <v>2</v>
      </c>
      <c r="J2632">
        <f>2</f>
        <v>2</v>
      </c>
    </row>
    <row r="2633" spans="1:10" x14ac:dyDescent="0.25">
      <c r="A2633" t="s">
        <v>2642</v>
      </c>
      <c r="B2633" t="s">
        <v>11</v>
      </c>
      <c r="C2633">
        <v>120.08859375</v>
      </c>
      <c r="D2633">
        <f>0</f>
        <v>0</v>
      </c>
      <c r="E2633">
        <f>656957092/10^6</f>
        <v>656.95709199999999</v>
      </c>
      <c r="F2633">
        <f>0</f>
        <v>0</v>
      </c>
      <c r="G2633">
        <f>232114532/10^6</f>
        <v>232.114532</v>
      </c>
      <c r="H2633">
        <f>0</f>
        <v>0</v>
      </c>
      <c r="I2633">
        <f>-39586216/10^6</f>
        <v>-39.586216</v>
      </c>
      <c r="J2633">
        <f>0</f>
        <v>0</v>
      </c>
    </row>
    <row r="2634" spans="1:10" x14ac:dyDescent="0.25">
      <c r="A2634" t="s">
        <v>2643</v>
      </c>
      <c r="B2634" t="s">
        <v>11</v>
      </c>
      <c r="C2634">
        <v>119.700171875</v>
      </c>
      <c r="D2634">
        <f>0</f>
        <v>0</v>
      </c>
      <c r="E2634">
        <f>6590755/10^4</f>
        <v>659.07550000000003</v>
      </c>
      <c r="F2634">
        <f>0</f>
        <v>0</v>
      </c>
      <c r="G2634">
        <f>232063828/10^6</f>
        <v>232.063828</v>
      </c>
      <c r="H2634">
        <f>0</f>
        <v>0</v>
      </c>
      <c r="I2634">
        <f>-39773407/10^6</f>
        <v>-39.773406999999999</v>
      </c>
      <c r="J2634">
        <f>0</f>
        <v>0</v>
      </c>
    </row>
    <row r="2635" spans="1:10" x14ac:dyDescent="0.25">
      <c r="A2635" t="s">
        <v>2644</v>
      </c>
      <c r="B2635" t="s">
        <v>11</v>
      </c>
      <c r="C2635">
        <v>119.280023438</v>
      </c>
      <c r="D2635">
        <f>0</f>
        <v>0</v>
      </c>
      <c r="E2635">
        <f>661303345/10^6</f>
        <v>661.30334500000004</v>
      </c>
      <c r="F2635">
        <f>0</f>
        <v>0</v>
      </c>
      <c r="G2635">
        <f>231998642/10^6</f>
        <v>231.99864199999999</v>
      </c>
      <c r="H2635">
        <f>0</f>
        <v>0</v>
      </c>
      <c r="I2635">
        <f>-39839031/10^6</f>
        <v>-39.839030999999999</v>
      </c>
      <c r="J2635">
        <f>0</f>
        <v>0</v>
      </c>
    </row>
    <row r="2636" spans="1:10" x14ac:dyDescent="0.25">
      <c r="A2636" t="s">
        <v>2645</v>
      </c>
      <c r="B2636" t="s">
        <v>11</v>
      </c>
      <c r="C2636">
        <v>118.81343750000001</v>
      </c>
      <c r="D2636">
        <f>0</f>
        <v>0</v>
      </c>
      <c r="E2636">
        <f>663871521/10^6</f>
        <v>663.87152100000003</v>
      </c>
      <c r="F2636">
        <f>0</f>
        <v>0</v>
      </c>
      <c r="G2636">
        <f>231911621/10^6</f>
        <v>231.911621</v>
      </c>
      <c r="H2636">
        <f>0</f>
        <v>0</v>
      </c>
      <c r="I2636">
        <f>-40074142/10^6</f>
        <v>-40.074142000000002</v>
      </c>
      <c r="J2636">
        <f>0</f>
        <v>0</v>
      </c>
    </row>
    <row r="2637" spans="1:10" x14ac:dyDescent="0.25">
      <c r="A2637" t="s">
        <v>2646</v>
      </c>
      <c r="B2637" t="s">
        <v>11</v>
      </c>
      <c r="C2637">
        <v>118.26646875</v>
      </c>
      <c r="D2637">
        <f>0</f>
        <v>0</v>
      </c>
      <c r="E2637">
        <f>666794006/10^6</f>
        <v>666.79400599999997</v>
      </c>
      <c r="F2637">
        <f>0</f>
        <v>0</v>
      </c>
      <c r="G2637">
        <f>231809433/10^6</f>
        <v>231.80943300000001</v>
      </c>
      <c r="H2637">
        <f>0</f>
        <v>0</v>
      </c>
      <c r="I2637">
        <f>-40276222/10^6</f>
        <v>-40.276221999999997</v>
      </c>
      <c r="J2637">
        <f>0</f>
        <v>0</v>
      </c>
    </row>
    <row r="2638" spans="1:10" x14ac:dyDescent="0.25">
      <c r="A2638" t="s">
        <v>2647</v>
      </c>
      <c r="B2638" t="s">
        <v>11</v>
      </c>
      <c r="C2638">
        <v>117.648882813</v>
      </c>
      <c r="D2638">
        <f>0</f>
        <v>0</v>
      </c>
      <c r="E2638">
        <f>670251404/10^6</f>
        <v>670.25140399999998</v>
      </c>
      <c r="F2638">
        <f>0</f>
        <v>0</v>
      </c>
      <c r="G2638">
        <f>231691956/10^6</f>
        <v>231.691956</v>
      </c>
      <c r="H2638">
        <f>0</f>
        <v>0</v>
      </c>
      <c r="I2638">
        <f>-4074313/10^5</f>
        <v>-40.743130000000001</v>
      </c>
      <c r="J2638">
        <f>0</f>
        <v>0</v>
      </c>
    </row>
    <row r="2639" spans="1:10" x14ac:dyDescent="0.25">
      <c r="A2639" t="s">
        <v>2648</v>
      </c>
      <c r="B2639" t="s">
        <v>11</v>
      </c>
      <c r="C2639">
        <v>117.00039062499999</v>
      </c>
      <c r="D2639">
        <f>0</f>
        <v>0</v>
      </c>
      <c r="E2639">
        <f>673977722/10^6</f>
        <v>673.97772199999997</v>
      </c>
      <c r="F2639">
        <f>0</f>
        <v>0</v>
      </c>
      <c r="G2639">
        <f>231551071/10^6</f>
        <v>231.55107100000001</v>
      </c>
      <c r="H2639">
        <f>0</f>
        <v>0</v>
      </c>
      <c r="I2639">
        <f>-41309719/10^6</f>
        <v>-41.309719000000001</v>
      </c>
      <c r="J2639">
        <f>0</f>
        <v>0</v>
      </c>
    </row>
    <row r="2640" spans="1:10" x14ac:dyDescent="0.25">
      <c r="A2640" t="s">
        <v>2649</v>
      </c>
      <c r="B2640" t="s">
        <v>11</v>
      </c>
      <c r="C2640">
        <v>0</v>
      </c>
      <c r="D2640">
        <f>2</f>
        <v>2</v>
      </c>
      <c r="F2640">
        <f>2</f>
        <v>2</v>
      </c>
      <c r="H2640">
        <f>2</f>
        <v>2</v>
      </c>
      <c r="J2640">
        <f>2</f>
        <v>2</v>
      </c>
    </row>
    <row r="2641" spans="1:10" x14ac:dyDescent="0.25">
      <c r="A2641" t="s">
        <v>2650</v>
      </c>
      <c r="B2641" t="s">
        <v>11</v>
      </c>
      <c r="C2641">
        <v>115.631546875</v>
      </c>
      <c r="D2641">
        <f>0</f>
        <v>0</v>
      </c>
      <c r="E2641">
        <f>681436462/10^6</f>
        <v>681.43646200000001</v>
      </c>
      <c r="F2641">
        <f>0</f>
        <v>0</v>
      </c>
      <c r="G2641">
        <f>23120874/10^5</f>
        <v>231.20874000000001</v>
      </c>
      <c r="H2641">
        <f>0</f>
        <v>0</v>
      </c>
      <c r="I2641">
        <f>-42253384/10^6</f>
        <v>-42.253383999999997</v>
      </c>
      <c r="J2641">
        <f>0</f>
        <v>0</v>
      </c>
    </row>
    <row r="2642" spans="1:10" x14ac:dyDescent="0.25">
      <c r="A2642" t="s">
        <v>2651</v>
      </c>
      <c r="B2642" t="s">
        <v>11</v>
      </c>
      <c r="C2642">
        <v>115.078492188</v>
      </c>
      <c r="D2642">
        <f>0</f>
        <v>0</v>
      </c>
      <c r="E2642">
        <f>684553894/10^6</f>
        <v>684.55389400000001</v>
      </c>
      <c r="F2642">
        <f>0</f>
        <v>0</v>
      </c>
      <c r="G2642">
        <f>231021957/10^6</f>
        <v>231.02195699999999</v>
      </c>
      <c r="H2642">
        <f>0</f>
        <v>0</v>
      </c>
      <c r="I2642">
        <f>-42847286/10^6</f>
        <v>-42.847285999999997</v>
      </c>
      <c r="J2642">
        <f>0</f>
        <v>0</v>
      </c>
    </row>
    <row r="2643" spans="1:10" x14ac:dyDescent="0.25">
      <c r="A2643" t="s">
        <v>2652</v>
      </c>
      <c r="B2643" t="s">
        <v>11</v>
      </c>
      <c r="C2643">
        <v>114.735125</v>
      </c>
      <c r="D2643">
        <f>0</f>
        <v>0</v>
      </c>
      <c r="E2643">
        <f>686411438/10^6</f>
        <v>686.41143799999998</v>
      </c>
      <c r="F2643">
        <f>0</f>
        <v>0</v>
      </c>
      <c r="G2643">
        <f>230892838/10^6</f>
        <v>230.89283800000001</v>
      </c>
      <c r="H2643">
        <f>0</f>
        <v>0</v>
      </c>
      <c r="I2643">
        <f>-43256912/10^6</f>
        <v>-43.256912</v>
      </c>
      <c r="J2643">
        <f>0</f>
        <v>0</v>
      </c>
    </row>
    <row r="2644" spans="1:10" x14ac:dyDescent="0.25">
      <c r="A2644" t="s">
        <v>2653</v>
      </c>
      <c r="B2644" t="s">
        <v>11</v>
      </c>
      <c r="C2644">
        <v>0</v>
      </c>
      <c r="D2644">
        <f>2</f>
        <v>2</v>
      </c>
      <c r="F2644">
        <f>2</f>
        <v>2</v>
      </c>
      <c r="H2644">
        <f>2</f>
        <v>2</v>
      </c>
      <c r="J2644">
        <f>2</f>
        <v>2</v>
      </c>
    </row>
    <row r="2645" spans="1:10" x14ac:dyDescent="0.25">
      <c r="A2645" t="s">
        <v>2654</v>
      </c>
      <c r="B2645" t="s">
        <v>11</v>
      </c>
      <c r="C2645">
        <v>114.541679688</v>
      </c>
      <c r="D2645">
        <f>0</f>
        <v>0</v>
      </c>
      <c r="E2645">
        <f>686890625/10^6</f>
        <v>686.890625</v>
      </c>
      <c r="F2645">
        <f>0</f>
        <v>0</v>
      </c>
      <c r="G2645">
        <f>230646072/10^6</f>
        <v>230.646072</v>
      </c>
      <c r="H2645">
        <f>0</f>
        <v>0</v>
      </c>
      <c r="I2645">
        <f>-4330846/10^5</f>
        <v>-43.308459999999997</v>
      </c>
      <c r="J2645">
        <f>0</f>
        <v>0</v>
      </c>
    </row>
    <row r="2646" spans="1:10" x14ac:dyDescent="0.25">
      <c r="A2646" t="s">
        <v>2655</v>
      </c>
      <c r="B2646" t="s">
        <v>11</v>
      </c>
      <c r="C2646">
        <v>114.426625</v>
      </c>
      <c r="D2646">
        <f>0</f>
        <v>0</v>
      </c>
      <c r="E2646">
        <f>68761969/10^5</f>
        <v>687.61968999999999</v>
      </c>
      <c r="F2646">
        <f>0</f>
        <v>0</v>
      </c>
      <c r="G2646">
        <f>230648865/10^6</f>
        <v>230.648865</v>
      </c>
      <c r="H2646">
        <f>0</f>
        <v>0</v>
      </c>
      <c r="I2646">
        <f>-43304287/10^6</f>
        <v>-43.304287000000002</v>
      </c>
      <c r="J2646">
        <f>0</f>
        <v>0</v>
      </c>
    </row>
    <row r="2647" spans="1:10" x14ac:dyDescent="0.25">
      <c r="A2647" t="s">
        <v>2656</v>
      </c>
      <c r="B2647" t="s">
        <v>11</v>
      </c>
      <c r="C2647">
        <v>114.256828125</v>
      </c>
      <c r="D2647">
        <f>0</f>
        <v>0</v>
      </c>
      <c r="E2647">
        <f>688748962/10^6</f>
        <v>688.74896200000001</v>
      </c>
      <c r="F2647">
        <f>0</f>
        <v>0</v>
      </c>
      <c r="G2647">
        <f>230628723/10^6</f>
        <v>230.62872300000001</v>
      </c>
      <c r="H2647">
        <f>0</f>
        <v>0</v>
      </c>
      <c r="I2647">
        <f>-4364439/10^5</f>
        <v>-43.644390000000001</v>
      </c>
      <c r="J2647">
        <f>0</f>
        <v>0</v>
      </c>
    </row>
    <row r="2648" spans="1:10" x14ac:dyDescent="0.25">
      <c r="A2648" t="s">
        <v>2657</v>
      </c>
      <c r="B2648" t="s">
        <v>11</v>
      </c>
      <c r="C2648">
        <v>114.23712500000001</v>
      </c>
      <c r="D2648">
        <f>0</f>
        <v>0</v>
      </c>
      <c r="E2648">
        <f>689065613/10^6</f>
        <v>689.06561299999998</v>
      </c>
      <c r="F2648">
        <f>0</f>
        <v>0</v>
      </c>
      <c r="G2648">
        <f>230644547/10^6</f>
        <v>230.64454699999999</v>
      </c>
      <c r="H2648">
        <f>0</f>
        <v>0</v>
      </c>
      <c r="I2648">
        <f>-4402898/10^5</f>
        <v>-44.028979999999997</v>
      </c>
      <c r="J2648">
        <f>0</f>
        <v>0</v>
      </c>
    </row>
    <row r="2649" spans="1:10" x14ac:dyDescent="0.25">
      <c r="A2649" t="s">
        <v>2658</v>
      </c>
      <c r="B2649" t="s">
        <v>11</v>
      </c>
      <c r="C2649">
        <v>114.47285156300001</v>
      </c>
      <c r="D2649">
        <f>0</f>
        <v>0</v>
      </c>
      <c r="E2649">
        <f>687870422/10^6</f>
        <v>687.87042199999996</v>
      </c>
      <c r="F2649">
        <f>0</f>
        <v>0</v>
      </c>
      <c r="G2649">
        <f>230793045/10^6</f>
        <v>230.79304500000001</v>
      </c>
      <c r="H2649">
        <f>0</f>
        <v>0</v>
      </c>
      <c r="I2649">
        <f>-43681458/10^6</f>
        <v>-43.681457999999999</v>
      </c>
      <c r="J2649">
        <f>0</f>
        <v>0</v>
      </c>
    </row>
    <row r="2650" spans="1:10" x14ac:dyDescent="0.25">
      <c r="A2650" t="s">
        <v>2659</v>
      </c>
      <c r="B2650" t="s">
        <v>11</v>
      </c>
      <c r="C2650">
        <v>114.75617187500001</v>
      </c>
      <c r="D2650">
        <f>0</f>
        <v>0</v>
      </c>
      <c r="E2650">
        <f>686402161/10^6</f>
        <v>686.40216099999998</v>
      </c>
      <c r="F2650">
        <f>0</f>
        <v>0</v>
      </c>
      <c r="G2650">
        <f>230921875/10^6</f>
        <v>230.921875</v>
      </c>
      <c r="H2650">
        <f>0</f>
        <v>0</v>
      </c>
      <c r="I2650">
        <f>-43317272/10^6</f>
        <v>-43.317272000000003</v>
      </c>
      <c r="J2650">
        <f>0</f>
        <v>0</v>
      </c>
    </row>
    <row r="2651" spans="1:10" x14ac:dyDescent="0.25">
      <c r="A2651" t="s">
        <v>2660</v>
      </c>
      <c r="B2651" t="s">
        <v>11</v>
      </c>
      <c r="C2651">
        <v>115.06034375</v>
      </c>
      <c r="D2651">
        <f>0</f>
        <v>0</v>
      </c>
      <c r="E2651">
        <f>68489978/10^5</f>
        <v>684.89977999999996</v>
      </c>
      <c r="F2651">
        <f>0</f>
        <v>0</v>
      </c>
      <c r="G2651">
        <f>231056992/10^6</f>
        <v>231.05699200000001</v>
      </c>
      <c r="H2651">
        <f>0</f>
        <v>0</v>
      </c>
      <c r="I2651">
        <f>-43254711/10^6</f>
        <v>-43.254711</v>
      </c>
      <c r="J2651">
        <f>0</f>
        <v>0</v>
      </c>
    </row>
    <row r="2652" spans="1:10" x14ac:dyDescent="0.25">
      <c r="A2652" t="s">
        <v>2661</v>
      </c>
      <c r="B2652" t="s">
        <v>11</v>
      </c>
      <c r="C2652">
        <v>115.44613281300001</v>
      </c>
      <c r="D2652">
        <f>0</f>
        <v>0</v>
      </c>
      <c r="E2652">
        <f>682767212/10^6</f>
        <v>682.76721199999997</v>
      </c>
      <c r="F2652">
        <f>0</f>
        <v>0</v>
      </c>
      <c r="G2652">
        <f>231208084/10^6</f>
        <v>231.20808400000001</v>
      </c>
      <c r="H2652">
        <f>0</f>
        <v>0</v>
      </c>
      <c r="I2652">
        <f>-42919281/10^6</f>
        <v>-42.919280999999998</v>
      </c>
      <c r="J2652">
        <f>0</f>
        <v>0</v>
      </c>
    </row>
    <row r="2653" spans="1:10" x14ac:dyDescent="0.25">
      <c r="A2653" t="s">
        <v>2662</v>
      </c>
      <c r="B2653" t="s">
        <v>11</v>
      </c>
      <c r="C2653">
        <v>115.85958593800001</v>
      </c>
      <c r="D2653">
        <f>0</f>
        <v>0</v>
      </c>
      <c r="E2653">
        <f>680559082/10^6</f>
        <v>680.55908199999999</v>
      </c>
      <c r="F2653">
        <f>0</f>
        <v>0</v>
      </c>
      <c r="G2653">
        <f>231328674/10^6</f>
        <v>231.32867400000001</v>
      </c>
      <c r="H2653">
        <f>0</f>
        <v>0</v>
      </c>
      <c r="I2653">
        <f>-42711529/10^6</f>
        <v>-42.711528999999999</v>
      </c>
      <c r="J2653">
        <f>0</f>
        <v>0</v>
      </c>
    </row>
    <row r="2654" spans="1:10" x14ac:dyDescent="0.25">
      <c r="A2654" t="s">
        <v>2663</v>
      </c>
      <c r="B2654" t="s">
        <v>11</v>
      </c>
      <c r="C2654">
        <v>116.287367188</v>
      </c>
      <c r="D2654">
        <f>0</f>
        <v>0</v>
      </c>
      <c r="E2654">
        <f>678183105/10^6</f>
        <v>678.18310499999995</v>
      </c>
      <c r="F2654">
        <f>0</f>
        <v>0</v>
      </c>
      <c r="G2654">
        <f>231409042/10^6</f>
        <v>231.409042</v>
      </c>
      <c r="H2654">
        <f>0</f>
        <v>0</v>
      </c>
      <c r="I2654">
        <f>-42525566/10^6</f>
        <v>-42.525565999999998</v>
      </c>
      <c r="J2654">
        <f>0</f>
        <v>0</v>
      </c>
    </row>
    <row r="2655" spans="1:10" x14ac:dyDescent="0.25">
      <c r="A2655" t="s">
        <v>2664</v>
      </c>
      <c r="B2655" t="s">
        <v>11</v>
      </c>
      <c r="C2655">
        <v>116.742390625</v>
      </c>
      <c r="D2655">
        <f>0</f>
        <v>0</v>
      </c>
      <c r="E2655">
        <f>675561401/10^6</f>
        <v>675.56140100000005</v>
      </c>
      <c r="F2655">
        <f>0</f>
        <v>0</v>
      </c>
      <c r="G2655">
        <f>231487427/10^6</f>
        <v>231.487427</v>
      </c>
      <c r="H2655">
        <f>0</f>
        <v>0</v>
      </c>
      <c r="I2655">
        <f>-42198368/10^6</f>
        <v>-42.198368000000002</v>
      </c>
      <c r="J2655">
        <f>0</f>
        <v>0</v>
      </c>
    </row>
    <row r="2656" spans="1:10" x14ac:dyDescent="0.25">
      <c r="A2656" t="s">
        <v>2665</v>
      </c>
      <c r="B2656" t="s">
        <v>11</v>
      </c>
      <c r="C2656">
        <v>117.249960938</v>
      </c>
      <c r="D2656">
        <f>0</f>
        <v>0</v>
      </c>
      <c r="E2656">
        <f>672798645/10^6</f>
        <v>672.79864499999996</v>
      </c>
      <c r="F2656">
        <f>0</f>
        <v>0</v>
      </c>
      <c r="G2656">
        <f>231585831/10^6</f>
        <v>231.58583100000001</v>
      </c>
      <c r="H2656">
        <f>0</f>
        <v>0</v>
      </c>
      <c r="I2656">
        <f>-4200248/10^5</f>
        <v>-42.002479999999998</v>
      </c>
      <c r="J2656">
        <f>0</f>
        <v>0</v>
      </c>
    </row>
    <row r="2657" spans="1:10" x14ac:dyDescent="0.25">
      <c r="A2657" t="s">
        <v>2666</v>
      </c>
      <c r="B2657" t="s">
        <v>11</v>
      </c>
      <c r="C2657">
        <v>117.834101563</v>
      </c>
      <c r="D2657">
        <f>0</f>
        <v>0</v>
      </c>
      <c r="E2657">
        <f>669497925/10^6</f>
        <v>669.49792500000001</v>
      </c>
      <c r="F2657">
        <f>0</f>
        <v>0</v>
      </c>
      <c r="G2657">
        <f>231679611/10^6</f>
        <v>231.67961099999999</v>
      </c>
      <c r="H2657">
        <f>0</f>
        <v>0</v>
      </c>
      <c r="I2657">
        <f>-41699463/10^6</f>
        <v>-41.699463000000002</v>
      </c>
      <c r="J2657">
        <f>0</f>
        <v>0</v>
      </c>
    </row>
    <row r="2658" spans="1:10" x14ac:dyDescent="0.25">
      <c r="A2658" t="s">
        <v>2667</v>
      </c>
      <c r="B2658" t="s">
        <v>11</v>
      </c>
      <c r="C2658">
        <v>118.48146875</v>
      </c>
      <c r="D2658">
        <f>0</f>
        <v>0</v>
      </c>
      <c r="E2658">
        <f>66568335/10^5</f>
        <v>665.68335000000002</v>
      </c>
      <c r="F2658">
        <f>0</f>
        <v>0</v>
      </c>
      <c r="G2658">
        <f>231767929/10^6</f>
        <v>231.76792900000001</v>
      </c>
      <c r="H2658">
        <f>0</f>
        <v>0</v>
      </c>
      <c r="I2658">
        <f>-41149063/10^6</f>
        <v>-41.149062999999998</v>
      </c>
      <c r="J2658">
        <f>0</f>
        <v>0</v>
      </c>
    </row>
    <row r="2659" spans="1:10" x14ac:dyDescent="0.25">
      <c r="A2659" t="s">
        <v>2668</v>
      </c>
      <c r="B2659" t="s">
        <v>11</v>
      </c>
      <c r="C2659">
        <v>119.119789063</v>
      </c>
      <c r="D2659">
        <f>0</f>
        <v>0</v>
      </c>
      <c r="E2659">
        <f>662064697/10^6</f>
        <v>662.06469700000002</v>
      </c>
      <c r="F2659">
        <f>0</f>
        <v>0</v>
      </c>
      <c r="G2659">
        <f>231849533/10^6</f>
        <v>231.84953300000001</v>
      </c>
      <c r="H2659">
        <f>0</f>
        <v>0</v>
      </c>
      <c r="I2659">
        <f>-40684406/10^6</f>
        <v>-40.684406000000003</v>
      </c>
      <c r="J2659">
        <f>0</f>
        <v>0</v>
      </c>
    </row>
    <row r="2660" spans="1:10" x14ac:dyDescent="0.25">
      <c r="A2660" t="s">
        <v>2669</v>
      </c>
      <c r="B2660" t="s">
        <v>11</v>
      </c>
      <c r="C2660">
        <v>119.6958125</v>
      </c>
      <c r="D2660">
        <f>0</f>
        <v>0</v>
      </c>
      <c r="E2660">
        <f>658878662/10^6</f>
        <v>658.87866199999996</v>
      </c>
      <c r="F2660">
        <f>0</f>
        <v>0</v>
      </c>
      <c r="G2660">
        <f>231925018/10^6</f>
        <v>231.92501799999999</v>
      </c>
      <c r="H2660">
        <f>0</f>
        <v>0</v>
      </c>
      <c r="I2660">
        <f>-40255184/10^6</f>
        <v>-40.255184</v>
      </c>
      <c r="J2660">
        <f>0</f>
        <v>0</v>
      </c>
    </row>
    <row r="2661" spans="1:10" x14ac:dyDescent="0.25">
      <c r="A2661" t="s">
        <v>2670</v>
      </c>
      <c r="B2661" t="s">
        <v>11</v>
      </c>
      <c r="C2661">
        <v>0</v>
      </c>
      <c r="D2661">
        <f>2</f>
        <v>2</v>
      </c>
      <c r="F2661">
        <f>2</f>
        <v>2</v>
      </c>
      <c r="H2661">
        <f>2</f>
        <v>2</v>
      </c>
      <c r="J2661">
        <f>2</f>
        <v>2</v>
      </c>
    </row>
    <row r="2662" spans="1:10" x14ac:dyDescent="0.25">
      <c r="A2662" t="s">
        <v>2671</v>
      </c>
      <c r="B2662" t="s">
        <v>11</v>
      </c>
      <c r="C2662">
        <v>120.630320313</v>
      </c>
      <c r="D2662">
        <f>0</f>
        <v>0</v>
      </c>
      <c r="E2662">
        <f>653552429/10^6</f>
        <v>653.55242899999996</v>
      </c>
      <c r="F2662">
        <f>0</f>
        <v>0</v>
      </c>
      <c r="G2662">
        <f>232019577/10^6</f>
        <v>232.019577</v>
      </c>
      <c r="H2662">
        <f>0</f>
        <v>0</v>
      </c>
      <c r="I2662">
        <f>-39657623/10^6</f>
        <v>-39.657623000000001</v>
      </c>
      <c r="J2662">
        <f>0</f>
        <v>0</v>
      </c>
    </row>
    <row r="2663" spans="1:10" x14ac:dyDescent="0.25">
      <c r="A2663" t="s">
        <v>2672</v>
      </c>
      <c r="B2663" t="s">
        <v>11</v>
      </c>
      <c r="C2663">
        <v>120.867304688</v>
      </c>
      <c r="D2663">
        <f>0</f>
        <v>0</v>
      </c>
      <c r="E2663">
        <f>652139404/10^6</f>
        <v>652.13940400000001</v>
      </c>
      <c r="F2663">
        <f>0</f>
        <v>0</v>
      </c>
      <c r="G2663">
        <f>232028946/10^6</f>
        <v>232.02894599999999</v>
      </c>
      <c r="H2663">
        <f>0</f>
        <v>0</v>
      </c>
      <c r="I2663">
        <f>-39311161/10^6</f>
        <v>-39.311160999999998</v>
      </c>
      <c r="J2663">
        <f>0</f>
        <v>0</v>
      </c>
    </row>
    <row r="2664" spans="1:10" x14ac:dyDescent="0.25">
      <c r="A2664" t="s">
        <v>2673</v>
      </c>
      <c r="B2664" t="s">
        <v>11</v>
      </c>
      <c r="C2664">
        <v>120.9163125</v>
      </c>
      <c r="D2664">
        <f>0</f>
        <v>0</v>
      </c>
      <c r="E2664">
        <f>651835938/10^6</f>
        <v>651.83593800000006</v>
      </c>
      <c r="F2664">
        <f>0</f>
        <v>0</v>
      </c>
      <c r="G2664">
        <f>232048828/10^6</f>
        <v>232.04882799999999</v>
      </c>
      <c r="H2664">
        <f>0</f>
        <v>0</v>
      </c>
      <c r="I2664">
        <f>-39243477/10^6</f>
        <v>-39.243476999999999</v>
      </c>
      <c r="J2664">
        <f>0</f>
        <v>0</v>
      </c>
    </row>
    <row r="2665" spans="1:10" x14ac:dyDescent="0.25">
      <c r="A2665" t="s">
        <v>2674</v>
      </c>
      <c r="B2665" t="s">
        <v>11</v>
      </c>
      <c r="C2665">
        <v>120.894289063</v>
      </c>
      <c r="D2665">
        <f>0</f>
        <v>0</v>
      </c>
      <c r="E2665">
        <f>652134949/10^6</f>
        <v>652.13494900000001</v>
      </c>
      <c r="F2665">
        <f>0</f>
        <v>0</v>
      </c>
      <c r="G2665">
        <f>232087753/10^6</f>
        <v>232.08775299999999</v>
      </c>
      <c r="H2665">
        <f>0</f>
        <v>0</v>
      </c>
      <c r="I2665">
        <f>-39408447/10^6</f>
        <v>-39.408447000000002</v>
      </c>
      <c r="J2665">
        <f>0</f>
        <v>0</v>
      </c>
    </row>
    <row r="2666" spans="1:10" x14ac:dyDescent="0.25">
      <c r="A2666" t="s">
        <v>2675</v>
      </c>
      <c r="B2666" t="s">
        <v>11</v>
      </c>
      <c r="C2666">
        <v>120.865109375</v>
      </c>
      <c r="D2666">
        <f>0</f>
        <v>0</v>
      </c>
      <c r="E2666">
        <f>652327393/10^6</f>
        <v>652.32739300000003</v>
      </c>
      <c r="F2666">
        <f>0</f>
        <v>0</v>
      </c>
      <c r="G2666">
        <f>232108658/10^6</f>
        <v>232.10865799999999</v>
      </c>
      <c r="H2666">
        <f>0</f>
        <v>0</v>
      </c>
      <c r="I2666">
        <f>-39395233/10^6</f>
        <v>-39.395232999999998</v>
      </c>
      <c r="J2666">
        <f>0</f>
        <v>0</v>
      </c>
    </row>
    <row r="2667" spans="1:10" x14ac:dyDescent="0.25">
      <c r="A2667" t="s">
        <v>2676</v>
      </c>
      <c r="B2667" t="s">
        <v>11</v>
      </c>
      <c r="C2667">
        <v>120.7715</v>
      </c>
      <c r="D2667">
        <f>0</f>
        <v>0</v>
      </c>
      <c r="E2667">
        <f>652773071/10^6</f>
        <v>652.77307099999996</v>
      </c>
      <c r="F2667">
        <f>0</f>
        <v>0</v>
      </c>
      <c r="G2667">
        <f>232121033/10^6</f>
        <v>232.12103300000001</v>
      </c>
      <c r="H2667">
        <f>0</f>
        <v>0</v>
      </c>
      <c r="I2667">
        <f>-39132591/10^6</f>
        <v>-39.132590999999998</v>
      </c>
      <c r="J2667">
        <f>0</f>
        <v>0</v>
      </c>
    </row>
    <row r="2668" spans="1:10" x14ac:dyDescent="0.25">
      <c r="A2668" t="s">
        <v>2677</v>
      </c>
      <c r="B2668" t="s">
        <v>11</v>
      </c>
      <c r="C2668">
        <v>120.579953125</v>
      </c>
      <c r="D2668">
        <f>0</f>
        <v>0</v>
      </c>
      <c r="E2668">
        <f>654028076/10^6</f>
        <v>654.02807600000006</v>
      </c>
      <c r="F2668">
        <f>0</f>
        <v>0</v>
      </c>
      <c r="G2668">
        <f>232137314/10^6</f>
        <v>232.137314</v>
      </c>
      <c r="H2668">
        <f>0</f>
        <v>0</v>
      </c>
      <c r="I2668">
        <f>-39191021/10^6</f>
        <v>-39.191020999999999</v>
      </c>
      <c r="J2668">
        <f>0</f>
        <v>0</v>
      </c>
    </row>
    <row r="2669" spans="1:10" x14ac:dyDescent="0.25">
      <c r="A2669" t="s">
        <v>2678</v>
      </c>
      <c r="B2669" t="s">
        <v>11</v>
      </c>
      <c r="C2669">
        <v>120.33939062499999</v>
      </c>
      <c r="D2669">
        <f>0</f>
        <v>0</v>
      </c>
      <c r="E2669">
        <f>655519348/10^6</f>
        <v>655.51934800000004</v>
      </c>
      <c r="F2669">
        <f>0</f>
        <v>0</v>
      </c>
      <c r="G2669">
        <f>232133896/10^6</f>
        <v>232.13389599999999</v>
      </c>
      <c r="H2669">
        <f>0</f>
        <v>0</v>
      </c>
      <c r="I2669">
        <f>-39471588/10^6</f>
        <v>-39.471587999999997</v>
      </c>
      <c r="J2669">
        <f>0</f>
        <v>0</v>
      </c>
    </row>
    <row r="2670" spans="1:10" x14ac:dyDescent="0.25">
      <c r="A2670" t="s">
        <v>2679</v>
      </c>
      <c r="B2670" t="s">
        <v>11</v>
      </c>
      <c r="C2670">
        <v>120.082359375</v>
      </c>
      <c r="D2670">
        <f>0</f>
        <v>0</v>
      </c>
      <c r="E2670">
        <f>656921021/10^6</f>
        <v>656.921021</v>
      </c>
      <c r="F2670">
        <f>0</f>
        <v>0</v>
      </c>
      <c r="G2670">
        <f>232108749/10^6</f>
        <v>232.10874899999999</v>
      </c>
      <c r="H2670">
        <f>0</f>
        <v>0</v>
      </c>
      <c r="I2670">
        <f>-39549278/10^6</f>
        <v>-39.549278000000001</v>
      </c>
      <c r="J2670">
        <f>0</f>
        <v>0</v>
      </c>
    </row>
    <row r="2671" spans="1:10" x14ac:dyDescent="0.25">
      <c r="A2671" t="s">
        <v>2680</v>
      </c>
      <c r="B2671" t="s">
        <v>11</v>
      </c>
      <c r="C2671">
        <v>119.79221875</v>
      </c>
      <c r="D2671">
        <f>0</f>
        <v>0</v>
      </c>
      <c r="E2671">
        <f>658531738/10^6</f>
        <v>658.53173800000002</v>
      </c>
      <c r="F2671">
        <f>0</f>
        <v>0</v>
      </c>
      <c r="G2671">
        <f>23207431/10^5</f>
        <v>232.07431</v>
      </c>
      <c r="H2671">
        <f>0</f>
        <v>0</v>
      </c>
      <c r="I2671">
        <f>-39675816/10^6</f>
        <v>-39.675815999999998</v>
      </c>
      <c r="J2671">
        <f>0</f>
        <v>0</v>
      </c>
    </row>
    <row r="2672" spans="1:10" x14ac:dyDescent="0.25">
      <c r="A2672" t="s">
        <v>2681</v>
      </c>
      <c r="B2672" t="s">
        <v>11</v>
      </c>
      <c r="C2672">
        <v>119.45421875</v>
      </c>
      <c r="D2672">
        <f>0</f>
        <v>0</v>
      </c>
      <c r="E2672">
        <f>660399292/10^6</f>
        <v>660.39929199999995</v>
      </c>
      <c r="F2672">
        <f>0</f>
        <v>0</v>
      </c>
      <c r="G2672">
        <f>23202951/10^5</f>
        <v>232.02950999999999</v>
      </c>
      <c r="H2672">
        <f>0</f>
        <v>0</v>
      </c>
      <c r="I2672">
        <f>-39942059/10^6</f>
        <v>-39.942059</v>
      </c>
      <c r="J2672">
        <f>0</f>
        <v>0</v>
      </c>
    </row>
    <row r="2673" spans="1:10" x14ac:dyDescent="0.25">
      <c r="A2673" t="s">
        <v>2682</v>
      </c>
      <c r="B2673" t="s">
        <v>11</v>
      </c>
      <c r="C2673">
        <v>119.07246875</v>
      </c>
      <c r="D2673">
        <f>0</f>
        <v>0</v>
      </c>
      <c r="E2673">
        <f>662522522/10^6</f>
        <v>662.52252199999998</v>
      </c>
      <c r="F2673">
        <f>0</f>
        <v>0</v>
      </c>
      <c r="G2673">
        <f>231957657/10^6</f>
        <v>231.95765700000001</v>
      </c>
      <c r="H2673">
        <f>0</f>
        <v>0</v>
      </c>
      <c r="I2673">
        <f>-4022905/10^5</f>
        <v>-40.229050000000001</v>
      </c>
      <c r="J2673">
        <f>0</f>
        <v>0</v>
      </c>
    </row>
    <row r="2674" spans="1:10" x14ac:dyDescent="0.25">
      <c r="A2674" t="s">
        <v>2683</v>
      </c>
      <c r="B2674" t="s">
        <v>11</v>
      </c>
      <c r="C2674">
        <v>118.66681250000001</v>
      </c>
      <c r="D2674">
        <f>0</f>
        <v>0</v>
      </c>
      <c r="E2674">
        <f>664770264/10^6</f>
        <v>664.770264</v>
      </c>
      <c r="F2674">
        <f>0</f>
        <v>0</v>
      </c>
      <c r="G2674">
        <f>23187294/10^5</f>
        <v>231.87294</v>
      </c>
      <c r="H2674">
        <f>0</f>
        <v>0</v>
      </c>
      <c r="I2674">
        <f>-4050074/10^5</f>
        <v>-40.50074</v>
      </c>
      <c r="J2674">
        <f>0</f>
        <v>0</v>
      </c>
    </row>
    <row r="2675" spans="1:10" x14ac:dyDescent="0.25">
      <c r="A2675" t="s">
        <v>2684</v>
      </c>
      <c r="B2675" t="s">
        <v>11</v>
      </c>
      <c r="C2675">
        <v>0</v>
      </c>
      <c r="D2675">
        <f>2</f>
        <v>2</v>
      </c>
      <c r="F2675">
        <f>2</f>
        <v>2</v>
      </c>
      <c r="H2675">
        <f>2</f>
        <v>2</v>
      </c>
      <c r="J2675">
        <f>2</f>
        <v>2</v>
      </c>
    </row>
    <row r="2676" spans="1:10" x14ac:dyDescent="0.25">
      <c r="A2676" t="s">
        <v>2685</v>
      </c>
      <c r="B2676" t="s">
        <v>11</v>
      </c>
      <c r="C2676">
        <v>117.725039063</v>
      </c>
      <c r="D2676">
        <f>0</f>
        <v>0</v>
      </c>
      <c r="E2676">
        <f>669840576/10^6</f>
        <v>669.84057600000006</v>
      </c>
      <c r="F2676">
        <f>0</f>
        <v>0</v>
      </c>
      <c r="G2676">
        <f>231676773/10^6</f>
        <v>231.676773</v>
      </c>
      <c r="H2676">
        <f>0</f>
        <v>0</v>
      </c>
      <c r="I2676">
        <f>-40852238/10^6</f>
        <v>-40.852238</v>
      </c>
      <c r="J2676">
        <f>0</f>
        <v>0</v>
      </c>
    </row>
    <row r="2677" spans="1:10" x14ac:dyDescent="0.25">
      <c r="A2677" t="s">
        <v>2686</v>
      </c>
      <c r="B2677" t="s">
        <v>11</v>
      </c>
      <c r="C2677">
        <v>117.156226563</v>
      </c>
      <c r="D2677">
        <f>0</f>
        <v>0</v>
      </c>
      <c r="E2677">
        <f>672957031/10^6</f>
        <v>672.95703100000003</v>
      </c>
      <c r="F2677">
        <f>0</f>
        <v>0</v>
      </c>
      <c r="G2677">
        <f>231551453/10^6</f>
        <v>231.55145300000001</v>
      </c>
      <c r="H2677">
        <f>0</f>
        <v>0</v>
      </c>
      <c r="I2677">
        <f>-41133835/10^6</f>
        <v>-41.133834999999998</v>
      </c>
      <c r="J2677">
        <f>0</f>
        <v>0</v>
      </c>
    </row>
    <row r="2678" spans="1:10" x14ac:dyDescent="0.25">
      <c r="A2678" t="s">
        <v>2687</v>
      </c>
      <c r="B2678" t="s">
        <v>11</v>
      </c>
      <c r="C2678">
        <v>116.537046875</v>
      </c>
      <c r="D2678">
        <f>0</f>
        <v>0</v>
      </c>
      <c r="E2678">
        <f>676312988/10^6</f>
        <v>676.31298800000002</v>
      </c>
      <c r="F2678">
        <f>0</f>
        <v>0</v>
      </c>
      <c r="G2678">
        <f>231426926/10^6</f>
        <v>231.42692600000001</v>
      </c>
      <c r="H2678">
        <f>0</f>
        <v>0</v>
      </c>
      <c r="I2678">
        <f>-4141967/10^5</f>
        <v>-41.419670000000004</v>
      </c>
      <c r="J2678">
        <f>0</f>
        <v>0</v>
      </c>
    </row>
    <row r="2679" spans="1:10" x14ac:dyDescent="0.25">
      <c r="A2679" t="s">
        <v>2688</v>
      </c>
      <c r="B2679" t="s">
        <v>11</v>
      </c>
      <c r="C2679">
        <v>115.837210938</v>
      </c>
      <c r="D2679">
        <f>0</f>
        <v>0</v>
      </c>
      <c r="E2679">
        <f>680191833/10^6</f>
        <v>680.19183299999997</v>
      </c>
      <c r="F2679">
        <f>0</f>
        <v>0</v>
      </c>
      <c r="G2679">
        <f>231235779/10^6</f>
        <v>231.23577900000001</v>
      </c>
      <c r="H2679">
        <f>0</f>
        <v>0</v>
      </c>
      <c r="I2679">
        <f>-42012085/10^6</f>
        <v>-42.012084999999999</v>
      </c>
      <c r="J2679">
        <f>0</f>
        <v>0</v>
      </c>
    </row>
    <row r="2680" spans="1:10" x14ac:dyDescent="0.25">
      <c r="A2680" t="s">
        <v>2689</v>
      </c>
      <c r="B2680" t="s">
        <v>11</v>
      </c>
      <c r="C2680">
        <v>115.17560937499999</v>
      </c>
      <c r="D2680">
        <f>0</f>
        <v>0</v>
      </c>
      <c r="E2680">
        <f>683911194/10^6</f>
        <v>683.91119400000002</v>
      </c>
      <c r="F2680">
        <f>0</f>
        <v>0</v>
      </c>
      <c r="G2680">
        <f>231002136/10^6</f>
        <v>231.00213600000001</v>
      </c>
      <c r="H2680">
        <f>0</f>
        <v>0</v>
      </c>
      <c r="I2680">
        <f>-42789505/10^6</f>
        <v>-42.789504999999998</v>
      </c>
      <c r="J2680">
        <f>0</f>
        <v>0</v>
      </c>
    </row>
    <row r="2681" spans="1:10" x14ac:dyDescent="0.25">
      <c r="A2681" t="s">
        <v>2690</v>
      </c>
      <c r="B2681" t="s">
        <v>11</v>
      </c>
      <c r="C2681">
        <v>114.76676562500001</v>
      </c>
      <c r="D2681">
        <f>0</f>
        <v>0</v>
      </c>
      <c r="E2681">
        <f>686070068/10^6</f>
        <v>686.07006799999999</v>
      </c>
      <c r="F2681">
        <f>0</f>
        <v>0</v>
      </c>
      <c r="G2681">
        <f>230836212/10^6</f>
        <v>230.83621199999999</v>
      </c>
      <c r="H2681">
        <f>0</f>
        <v>0</v>
      </c>
      <c r="I2681">
        <f>-43217979/10^6</f>
        <v>-43.217979</v>
      </c>
      <c r="J2681">
        <f>0</f>
        <v>0</v>
      </c>
    </row>
    <row r="2682" spans="1:10" x14ac:dyDescent="0.25">
      <c r="A2682" t="s">
        <v>2691</v>
      </c>
      <c r="B2682" t="s">
        <v>11</v>
      </c>
      <c r="C2682">
        <v>114.430757813</v>
      </c>
      <c r="D2682">
        <f>0</f>
        <v>0</v>
      </c>
      <c r="E2682">
        <f>687422241/10^6</f>
        <v>687.42224099999999</v>
      </c>
      <c r="F2682">
        <f>0</f>
        <v>0</v>
      </c>
      <c r="G2682">
        <f>230639938/10^6</f>
        <v>230.639938</v>
      </c>
      <c r="H2682">
        <f>0</f>
        <v>0</v>
      </c>
      <c r="I2682">
        <f>-43167522/10^6</f>
        <v>-43.167521999999998</v>
      </c>
      <c r="J2682">
        <f>0</f>
        <v>0</v>
      </c>
    </row>
    <row r="2683" spans="1:10" x14ac:dyDescent="0.25">
      <c r="A2683" t="s">
        <v>2692</v>
      </c>
      <c r="B2683" t="s">
        <v>11</v>
      </c>
      <c r="C2683">
        <v>114.150296875</v>
      </c>
      <c r="D2683">
        <f>0</f>
        <v>0</v>
      </c>
      <c r="E2683">
        <f>689358643/10^6</f>
        <v>689.35864300000003</v>
      </c>
      <c r="F2683">
        <f>0</f>
        <v>0</v>
      </c>
      <c r="G2683">
        <f>230568787/10^6</f>
        <v>230.56878699999999</v>
      </c>
      <c r="H2683">
        <f>0</f>
        <v>0</v>
      </c>
      <c r="I2683">
        <f>-43935242/10^6</f>
        <v>-43.935242000000002</v>
      </c>
      <c r="J2683">
        <f>0</f>
        <v>0</v>
      </c>
    </row>
    <row r="2684" spans="1:10" x14ac:dyDescent="0.25">
      <c r="A2684" t="s">
        <v>2693</v>
      </c>
      <c r="B2684" t="s">
        <v>11</v>
      </c>
      <c r="C2684">
        <v>114.39610937499999</v>
      </c>
      <c r="D2684">
        <f>0</f>
        <v>0</v>
      </c>
      <c r="E2684">
        <f>688393738/10^6</f>
        <v>688.39373799999998</v>
      </c>
      <c r="F2684">
        <f>0</f>
        <v>0</v>
      </c>
      <c r="G2684">
        <f>230703598/10^6</f>
        <v>230.703598</v>
      </c>
      <c r="H2684">
        <f>0</f>
        <v>0</v>
      </c>
      <c r="I2684">
        <f>-44273022/10^6</f>
        <v>-44.273021999999997</v>
      </c>
      <c r="J2684">
        <f>0</f>
        <v>0</v>
      </c>
    </row>
    <row r="2685" spans="1:10" x14ac:dyDescent="0.25">
      <c r="A2685" t="s">
        <v>2694</v>
      </c>
      <c r="B2685" t="s">
        <v>11</v>
      </c>
      <c r="C2685">
        <v>114.949203125</v>
      </c>
      <c r="D2685">
        <f>0</f>
        <v>0</v>
      </c>
      <c r="E2685">
        <f>684696228/10^6</f>
        <v>684.69622800000002</v>
      </c>
      <c r="F2685">
        <f>0</f>
        <v>0</v>
      </c>
      <c r="G2685">
        <f>230818939/10^6</f>
        <v>230.818939</v>
      </c>
      <c r="H2685">
        <f>0</f>
        <v>0</v>
      </c>
      <c r="I2685">
        <f>-4311092/10^5</f>
        <v>-43.11092</v>
      </c>
      <c r="J2685">
        <f>0</f>
        <v>0</v>
      </c>
    </row>
    <row r="2686" spans="1:10" x14ac:dyDescent="0.25">
      <c r="A2686" t="s">
        <v>2695</v>
      </c>
      <c r="B2686" t="s">
        <v>11</v>
      </c>
      <c r="C2686">
        <v>115.349351563</v>
      </c>
      <c r="D2686">
        <f>0</f>
        <v>0</v>
      </c>
      <c r="E2686">
        <f>682506775/10^6</f>
        <v>682.50677499999995</v>
      </c>
      <c r="F2686">
        <f>0</f>
        <v>0</v>
      </c>
      <c r="G2686">
        <f>23097229/10^5</f>
        <v>230.97228999999999</v>
      </c>
      <c r="H2686">
        <f>0</f>
        <v>0</v>
      </c>
      <c r="I2686">
        <f>-42528137/10^6</f>
        <v>-42.528137000000001</v>
      </c>
      <c r="J2686">
        <f>0</f>
        <v>0</v>
      </c>
    </row>
    <row r="2687" spans="1:10" x14ac:dyDescent="0.25">
      <c r="A2687" t="s">
        <v>2696</v>
      </c>
      <c r="B2687" t="s">
        <v>11</v>
      </c>
      <c r="C2687">
        <v>115.643265625</v>
      </c>
      <c r="D2687">
        <f>0</f>
        <v>0</v>
      </c>
      <c r="E2687">
        <f>681441345/10^6</f>
        <v>681.44134499999996</v>
      </c>
      <c r="F2687">
        <f>0</f>
        <v>0</v>
      </c>
      <c r="G2687">
        <f>231175018/10^6</f>
        <v>231.17501799999999</v>
      </c>
      <c r="H2687">
        <f>0</f>
        <v>0</v>
      </c>
      <c r="I2687">
        <f>-42714096/10^6</f>
        <v>-42.714095999999998</v>
      </c>
      <c r="J2687">
        <f>0</f>
        <v>0</v>
      </c>
    </row>
    <row r="2688" spans="1:10" x14ac:dyDescent="0.25">
      <c r="A2688" t="s">
        <v>2697</v>
      </c>
      <c r="B2688" t="s">
        <v>11</v>
      </c>
      <c r="C2688">
        <v>115.91246093800001</v>
      </c>
      <c r="D2688">
        <f>0</f>
        <v>0</v>
      </c>
      <c r="E2688">
        <f>680170959/10^6</f>
        <v>680.17095900000004</v>
      </c>
      <c r="F2688">
        <f>0</f>
        <v>0</v>
      </c>
      <c r="G2688">
        <f>231300812/10^6</f>
        <v>231.30081200000001</v>
      </c>
      <c r="H2688">
        <f>0</f>
        <v>0</v>
      </c>
      <c r="I2688">
        <f>-42769241/10^6</f>
        <v>-42.769241000000001</v>
      </c>
      <c r="J2688">
        <f>0</f>
        <v>0</v>
      </c>
    </row>
    <row r="2689" spans="1:10" x14ac:dyDescent="0.25">
      <c r="A2689" t="s">
        <v>2698</v>
      </c>
      <c r="B2689" t="s">
        <v>11</v>
      </c>
      <c r="C2689">
        <v>116.188265625</v>
      </c>
      <c r="D2689">
        <f>0</f>
        <v>0</v>
      </c>
      <c r="E2689">
        <f>678574951/10^6</f>
        <v>678.57495100000006</v>
      </c>
      <c r="F2689">
        <f>0</f>
        <v>0</v>
      </c>
      <c r="G2689">
        <f>231354813/10^6</f>
        <v>231.35481300000001</v>
      </c>
      <c r="H2689">
        <f>0</f>
        <v>0</v>
      </c>
      <c r="I2689">
        <f>-42541656/10^6</f>
        <v>-42.541656000000003</v>
      </c>
      <c r="J2689">
        <f>0</f>
        <v>0</v>
      </c>
    </row>
    <row r="2690" spans="1:10" x14ac:dyDescent="0.25">
      <c r="A2690" t="s">
        <v>2699</v>
      </c>
      <c r="B2690" t="s">
        <v>11</v>
      </c>
      <c r="C2690">
        <v>116.42871875</v>
      </c>
      <c r="D2690">
        <f>0</f>
        <v>0</v>
      </c>
      <c r="E2690">
        <f>677280762/10^6</f>
        <v>677.28076199999998</v>
      </c>
      <c r="F2690">
        <f>0</f>
        <v>0</v>
      </c>
      <c r="G2690">
        <f>23141452/10^5</f>
        <v>231.41452000000001</v>
      </c>
      <c r="H2690">
        <f>0</f>
        <v>0</v>
      </c>
      <c r="I2690">
        <f>-42441246/10^6</f>
        <v>-42.441246</v>
      </c>
      <c r="J2690">
        <f>0</f>
        <v>0</v>
      </c>
    </row>
    <row r="2691" spans="1:10" x14ac:dyDescent="0.25">
      <c r="A2691" t="s">
        <v>2700</v>
      </c>
      <c r="B2691" t="s">
        <v>11</v>
      </c>
      <c r="C2691">
        <v>116.655664063</v>
      </c>
      <c r="D2691">
        <f>0</f>
        <v>0</v>
      </c>
      <c r="E2691">
        <f>676101379/10^6</f>
        <v>676.10137899999995</v>
      </c>
      <c r="F2691">
        <f>0</f>
        <v>0</v>
      </c>
      <c r="G2691">
        <f>231498962/10^6</f>
        <v>231.49896200000001</v>
      </c>
      <c r="H2691">
        <f>0</f>
        <v>0</v>
      </c>
      <c r="I2691">
        <f>-42236752/10^6</f>
        <v>-42.236752000000003</v>
      </c>
      <c r="J2691">
        <f>0</f>
        <v>0</v>
      </c>
    </row>
    <row r="2692" spans="1:10" x14ac:dyDescent="0.25">
      <c r="A2692" t="s">
        <v>2701</v>
      </c>
      <c r="B2692" t="s">
        <v>11</v>
      </c>
      <c r="C2692">
        <v>116.92235156300001</v>
      </c>
      <c r="D2692">
        <f>0</f>
        <v>0</v>
      </c>
      <c r="E2692">
        <f>674619629/10^6</f>
        <v>674.61962900000003</v>
      </c>
      <c r="F2692">
        <f>0</f>
        <v>0</v>
      </c>
      <c r="G2692">
        <f>231572922/10^6</f>
        <v>231.57292200000001</v>
      </c>
      <c r="H2692">
        <f>0</f>
        <v>0</v>
      </c>
      <c r="I2692">
        <f>-41828911/10^6</f>
        <v>-41.828910999999998</v>
      </c>
      <c r="J2692">
        <f>0</f>
        <v>0</v>
      </c>
    </row>
    <row r="2693" spans="1:10" x14ac:dyDescent="0.25">
      <c r="A2693" t="s">
        <v>2702</v>
      </c>
      <c r="B2693" t="s">
        <v>11</v>
      </c>
      <c r="C2693">
        <v>117.21489843800001</v>
      </c>
      <c r="D2693">
        <f>0</f>
        <v>0</v>
      </c>
      <c r="E2693">
        <f>673065857/10^6</f>
        <v>673.06585700000005</v>
      </c>
      <c r="F2693">
        <f>0</f>
        <v>0</v>
      </c>
      <c r="G2693">
        <f>2316353/10^4</f>
        <v>231.6353</v>
      </c>
      <c r="H2693">
        <f>0</f>
        <v>0</v>
      </c>
      <c r="I2693">
        <f>-41773823/10^6</f>
        <v>-41.773823</v>
      </c>
      <c r="J2693">
        <f>0</f>
        <v>0</v>
      </c>
    </row>
    <row r="2694" spans="1:10" x14ac:dyDescent="0.25">
      <c r="A2694" t="s">
        <v>2703</v>
      </c>
      <c r="B2694" t="s">
        <v>11</v>
      </c>
      <c r="C2694">
        <v>117.56117968800001</v>
      </c>
      <c r="D2694">
        <f>0</f>
        <v>0</v>
      </c>
      <c r="E2694">
        <f>67105188/10^5</f>
        <v>671.05187999999998</v>
      </c>
      <c r="F2694">
        <f>0</f>
        <v>0</v>
      </c>
      <c r="G2694">
        <f>231692459/10^6</f>
        <v>231.69245900000001</v>
      </c>
      <c r="H2694">
        <f>0</f>
        <v>0</v>
      </c>
      <c r="I2694">
        <f>-41591152/10^6</f>
        <v>-41.591152000000001</v>
      </c>
      <c r="J2694">
        <f>0</f>
        <v>0</v>
      </c>
    </row>
    <row r="2695" spans="1:10" x14ac:dyDescent="0.25">
      <c r="A2695" t="s">
        <v>2704</v>
      </c>
      <c r="B2695" t="s">
        <v>11</v>
      </c>
      <c r="C2695">
        <v>117.95746875</v>
      </c>
      <c r="D2695">
        <f>0</f>
        <v>0</v>
      </c>
      <c r="E2695">
        <f>668765808/10^6</f>
        <v>668.76580799999999</v>
      </c>
      <c r="F2695">
        <f>0</f>
        <v>0</v>
      </c>
      <c r="G2695">
        <f>231750275/10^6</f>
        <v>231.75027499999999</v>
      </c>
      <c r="H2695">
        <f>0</f>
        <v>0</v>
      </c>
      <c r="I2695">
        <f>-41293655/10^6</f>
        <v>-41.293655000000001</v>
      </c>
      <c r="J2695">
        <f>0</f>
        <v>0</v>
      </c>
    </row>
    <row r="2696" spans="1:10" x14ac:dyDescent="0.25">
      <c r="A2696" t="s">
        <v>2705</v>
      </c>
      <c r="B2696" t="s">
        <v>11</v>
      </c>
      <c r="C2696">
        <v>118.347335938</v>
      </c>
      <c r="D2696">
        <f>0</f>
        <v>0</v>
      </c>
      <c r="E2696">
        <f>666502075/10^6</f>
        <v>666.50207499999999</v>
      </c>
      <c r="F2696">
        <f>0</f>
        <v>0</v>
      </c>
      <c r="G2696">
        <f>231805893/10^6</f>
        <v>231.805893</v>
      </c>
      <c r="H2696">
        <f>0</f>
        <v>0</v>
      </c>
      <c r="I2696">
        <f>-41042969/10^6</f>
        <v>-41.042968999999999</v>
      </c>
      <c r="J2696">
        <f>0</f>
        <v>0</v>
      </c>
    </row>
    <row r="2697" spans="1:10" x14ac:dyDescent="0.25">
      <c r="A2697" t="s">
        <v>2706</v>
      </c>
      <c r="B2697" t="s">
        <v>11</v>
      </c>
      <c r="C2697">
        <v>118.691007813</v>
      </c>
      <c r="D2697">
        <f>0</f>
        <v>0</v>
      </c>
      <c r="E2697">
        <f>664523254/10^6</f>
        <v>664.52325399999995</v>
      </c>
      <c r="F2697">
        <f>0</f>
        <v>0</v>
      </c>
      <c r="G2697">
        <f>231852859/10^6</f>
        <v>231.852859</v>
      </c>
      <c r="H2697">
        <f>0</f>
        <v>0</v>
      </c>
      <c r="I2697">
        <f>-40703785/10^6</f>
        <v>-40.703785000000003</v>
      </c>
      <c r="J2697">
        <f>0</f>
        <v>0</v>
      </c>
    </row>
    <row r="2698" spans="1:10" x14ac:dyDescent="0.25">
      <c r="A2698" t="s">
        <v>2707</v>
      </c>
      <c r="B2698" t="s">
        <v>11</v>
      </c>
      <c r="C2698">
        <v>118.94246875</v>
      </c>
      <c r="D2698">
        <f>0</f>
        <v>0</v>
      </c>
      <c r="E2698">
        <f>66327594/10^5</f>
        <v>663.27593999999999</v>
      </c>
      <c r="F2698">
        <f>0</f>
        <v>0</v>
      </c>
      <c r="G2698">
        <f>231894333/10^6</f>
        <v>231.89433299999999</v>
      </c>
      <c r="H2698">
        <f>0</f>
        <v>0</v>
      </c>
      <c r="I2698">
        <f>-40730064/10^6</f>
        <v>-40.730063999999999</v>
      </c>
      <c r="J2698">
        <f>0</f>
        <v>0</v>
      </c>
    </row>
    <row r="2699" spans="1:10" x14ac:dyDescent="0.25">
      <c r="A2699" t="s">
        <v>2708</v>
      </c>
      <c r="B2699" t="s">
        <v>11</v>
      </c>
      <c r="C2699">
        <v>119.12287499999999</v>
      </c>
      <c r="D2699">
        <f>0</f>
        <v>0</v>
      </c>
      <c r="E2699">
        <f>662166626/10^6</f>
        <v>662.16662599999995</v>
      </c>
      <c r="F2699">
        <f>0</f>
        <v>0</v>
      </c>
      <c r="G2699">
        <f>231930573/10^6</f>
        <v>231.93057300000001</v>
      </c>
      <c r="H2699">
        <f>0</f>
        <v>0</v>
      </c>
      <c r="I2699">
        <f>-40514027/10^6</f>
        <v>-40.514026999999999</v>
      </c>
      <c r="J2699">
        <f>0</f>
        <v>0</v>
      </c>
    </row>
    <row r="2700" spans="1:10" x14ac:dyDescent="0.25">
      <c r="A2700" t="s">
        <v>2709</v>
      </c>
      <c r="B2700" t="s">
        <v>11</v>
      </c>
      <c r="C2700">
        <v>119.244765625</v>
      </c>
      <c r="D2700">
        <f>0</f>
        <v>0</v>
      </c>
      <c r="E2700">
        <f>661316711/10^6</f>
        <v>661.31671100000005</v>
      </c>
      <c r="F2700">
        <f>0</f>
        <v>0</v>
      </c>
      <c r="G2700">
        <f>231952881/10^6</f>
        <v>231.95288099999999</v>
      </c>
      <c r="H2700">
        <f>0</f>
        <v>0</v>
      </c>
      <c r="I2700">
        <f>-4004459/10^5</f>
        <v>-40.044589999999999</v>
      </c>
      <c r="J2700">
        <f>0</f>
        <v>0</v>
      </c>
    </row>
    <row r="2701" spans="1:10" x14ac:dyDescent="0.25">
      <c r="A2701" t="s">
        <v>2710</v>
      </c>
      <c r="B2701" t="s">
        <v>11</v>
      </c>
      <c r="C2701">
        <v>119.27546875</v>
      </c>
      <c r="D2701">
        <f>0</f>
        <v>0</v>
      </c>
      <c r="E2701">
        <f>661285278/10^6</f>
        <v>661.28527799999995</v>
      </c>
      <c r="F2701">
        <f>0</f>
        <v>0</v>
      </c>
      <c r="G2701">
        <f>231966843/10^6</f>
        <v>231.96684300000001</v>
      </c>
      <c r="H2701">
        <f>0</f>
        <v>0</v>
      </c>
      <c r="I2701">
        <f>-40093456/10^6</f>
        <v>-40.093456000000003</v>
      </c>
      <c r="J2701">
        <f>0</f>
        <v>0</v>
      </c>
    </row>
    <row r="2702" spans="1:10" x14ac:dyDescent="0.25">
      <c r="A2702" t="s">
        <v>2711</v>
      </c>
      <c r="B2702" t="s">
        <v>11</v>
      </c>
      <c r="C2702">
        <v>119.241851563</v>
      </c>
      <c r="D2702">
        <f>0</f>
        <v>0</v>
      </c>
      <c r="E2702">
        <f>661535767/10^6</f>
        <v>661.53576699999996</v>
      </c>
      <c r="F2702">
        <f>0</f>
        <v>0</v>
      </c>
      <c r="G2702">
        <f>231980286/10^6</f>
        <v>231.98028600000001</v>
      </c>
      <c r="H2702">
        <f>0</f>
        <v>0</v>
      </c>
      <c r="I2702">
        <f>-40201527/10^6</f>
        <v>-40.201526999999999</v>
      </c>
      <c r="J2702">
        <f>0</f>
        <v>0</v>
      </c>
    </row>
    <row r="2703" spans="1:10" x14ac:dyDescent="0.25">
      <c r="A2703" t="s">
        <v>2712</v>
      </c>
      <c r="B2703" t="s">
        <v>11</v>
      </c>
      <c r="C2703">
        <v>119.17472656300001</v>
      </c>
      <c r="D2703">
        <f>0</f>
        <v>0</v>
      </c>
      <c r="E2703">
        <f>661879395/10^6</f>
        <v>661.87939500000005</v>
      </c>
      <c r="F2703">
        <f>0</f>
        <v>0</v>
      </c>
      <c r="G2703">
        <f>231978973/10^6</f>
        <v>231.978973</v>
      </c>
      <c r="H2703">
        <f>0</f>
        <v>0</v>
      </c>
      <c r="I2703">
        <f>-40131687/10^6</f>
        <v>-40.131686999999999</v>
      </c>
      <c r="J2703">
        <f>0</f>
        <v>0</v>
      </c>
    </row>
    <row r="2704" spans="1:10" x14ac:dyDescent="0.25">
      <c r="A2704" t="s">
        <v>2713</v>
      </c>
      <c r="B2704" t="s">
        <v>11</v>
      </c>
      <c r="C2704">
        <v>119.06929687500001</v>
      </c>
      <c r="D2704">
        <f>0</f>
        <v>0</v>
      </c>
      <c r="E2704">
        <f>662493164/10^6</f>
        <v>662.49316399999998</v>
      </c>
      <c r="F2704">
        <f>0</f>
        <v>0</v>
      </c>
      <c r="G2704">
        <f>231962021/10^6</f>
        <v>231.96202099999999</v>
      </c>
      <c r="H2704">
        <f>0</f>
        <v>0</v>
      </c>
      <c r="I2704">
        <f>-40190609/10^6</f>
        <v>-40.190609000000002</v>
      </c>
      <c r="J2704">
        <f>0</f>
        <v>0</v>
      </c>
    </row>
    <row r="2705" spans="1:10" x14ac:dyDescent="0.25">
      <c r="A2705" t="s">
        <v>2714</v>
      </c>
      <c r="B2705" t="s">
        <v>11</v>
      </c>
      <c r="C2705">
        <v>118.923007813</v>
      </c>
      <c r="D2705">
        <f>0</f>
        <v>0</v>
      </c>
      <c r="E2705">
        <f>663365784/10^6</f>
        <v>663.36578399999996</v>
      </c>
      <c r="F2705">
        <f>0</f>
        <v>0</v>
      </c>
      <c r="G2705">
        <f>231949081/10^6</f>
        <v>231.94908100000001</v>
      </c>
      <c r="H2705">
        <f>0</f>
        <v>0</v>
      </c>
      <c r="I2705">
        <f>-40401455/10^6</f>
        <v>-40.401454999999999</v>
      </c>
      <c r="J2705">
        <f>0</f>
        <v>0</v>
      </c>
    </row>
    <row r="2706" spans="1:10" x14ac:dyDescent="0.25">
      <c r="A2706" t="s">
        <v>2715</v>
      </c>
      <c r="B2706" t="s">
        <v>11</v>
      </c>
      <c r="C2706">
        <v>118.757554688</v>
      </c>
      <c r="D2706">
        <f>0</f>
        <v>0</v>
      </c>
      <c r="E2706">
        <f>664342041/10^6</f>
        <v>664.34204099999999</v>
      </c>
      <c r="F2706">
        <f>0</f>
        <v>0</v>
      </c>
      <c r="G2706">
        <f>231930725/10^6</f>
        <v>231.930725</v>
      </c>
      <c r="H2706">
        <f>0</f>
        <v>0</v>
      </c>
      <c r="I2706">
        <f>-40567936/10^6</f>
        <v>-40.567936000000003</v>
      </c>
      <c r="J2706">
        <f>0</f>
        <v>0</v>
      </c>
    </row>
    <row r="2707" spans="1:10" x14ac:dyDescent="0.25">
      <c r="A2707" t="s">
        <v>2716</v>
      </c>
      <c r="B2707" t="s">
        <v>11</v>
      </c>
      <c r="C2707">
        <v>118.59090625</v>
      </c>
      <c r="D2707">
        <f>0</f>
        <v>0</v>
      </c>
      <c r="E2707">
        <f>66526123/10^5</f>
        <v>665.26122999999995</v>
      </c>
      <c r="F2707">
        <f>0</f>
        <v>0</v>
      </c>
      <c r="G2707">
        <f>231903885/10^6</f>
        <v>231.903885</v>
      </c>
      <c r="H2707">
        <f>0</f>
        <v>0</v>
      </c>
      <c r="I2707">
        <f>-40552078/10^6</f>
        <v>-40.552078000000002</v>
      </c>
      <c r="J2707">
        <f>0</f>
        <v>0</v>
      </c>
    </row>
    <row r="2708" spans="1:10" x14ac:dyDescent="0.25">
      <c r="A2708" t="s">
        <v>2717</v>
      </c>
      <c r="B2708" t="s">
        <v>11</v>
      </c>
      <c r="C2708">
        <v>118.407320313</v>
      </c>
      <c r="D2708">
        <f>0</f>
        <v>0</v>
      </c>
      <c r="E2708">
        <f>666323181/10^6</f>
        <v>666.32318099999998</v>
      </c>
      <c r="F2708">
        <f>0</f>
        <v>0</v>
      </c>
      <c r="G2708">
        <f>231876953/10^6</f>
        <v>231.87695299999999</v>
      </c>
      <c r="H2708">
        <f>0</f>
        <v>0</v>
      </c>
      <c r="I2708">
        <f>-40627056/10^6</f>
        <v>-40.627056000000003</v>
      </c>
      <c r="J2708">
        <f>0</f>
        <v>0</v>
      </c>
    </row>
    <row r="2709" spans="1:10" x14ac:dyDescent="0.25">
      <c r="A2709" t="s">
        <v>2718</v>
      </c>
      <c r="B2709" t="s">
        <v>11</v>
      </c>
      <c r="C2709">
        <v>118.185382813</v>
      </c>
      <c r="D2709">
        <f>0</f>
        <v>0</v>
      </c>
      <c r="E2709">
        <f>667511902/10^6</f>
        <v>667.51190199999996</v>
      </c>
      <c r="F2709">
        <f>0</f>
        <v>0</v>
      </c>
      <c r="G2709">
        <f>231834457/10^6</f>
        <v>231.83445699999999</v>
      </c>
      <c r="H2709">
        <f>0</f>
        <v>0</v>
      </c>
      <c r="I2709">
        <f>-40776497/10^6</f>
        <v>-40.776496999999999</v>
      </c>
      <c r="J2709">
        <f>0</f>
        <v>0</v>
      </c>
    </row>
    <row r="2710" spans="1:10" x14ac:dyDescent="0.25">
      <c r="A2710" t="s">
        <v>2719</v>
      </c>
      <c r="B2710" t="s">
        <v>11</v>
      </c>
      <c r="C2710">
        <v>117.930453125</v>
      </c>
      <c r="D2710">
        <f>0</f>
        <v>0</v>
      </c>
      <c r="E2710">
        <f>668845093/10^6</f>
        <v>668.84509300000002</v>
      </c>
      <c r="F2710">
        <f>0</f>
        <v>0</v>
      </c>
      <c r="G2710">
        <f>231781418/10^6</f>
        <v>231.781418</v>
      </c>
      <c r="H2710">
        <f>0</f>
        <v>0</v>
      </c>
      <c r="I2710">
        <f>-40843246/10^6</f>
        <v>-40.843246000000001</v>
      </c>
      <c r="J2710">
        <f>0</f>
        <v>0</v>
      </c>
    </row>
    <row r="2711" spans="1:10" x14ac:dyDescent="0.25">
      <c r="A2711" t="s">
        <v>2720</v>
      </c>
      <c r="B2711" t="s">
        <v>11</v>
      </c>
      <c r="C2711">
        <v>117.65609375</v>
      </c>
      <c r="D2711">
        <f>0</f>
        <v>0</v>
      </c>
      <c r="E2711">
        <f>67042334/10^5</f>
        <v>670.42334000000005</v>
      </c>
      <c r="F2711">
        <f>0</f>
        <v>0</v>
      </c>
      <c r="G2711">
        <f>231729584/10^6</f>
        <v>231.72958399999999</v>
      </c>
      <c r="H2711">
        <f>0</f>
        <v>0</v>
      </c>
      <c r="I2711">
        <f>-41078545/10^6</f>
        <v>-41.078544999999998</v>
      </c>
      <c r="J2711">
        <f>0</f>
        <v>0</v>
      </c>
    </row>
    <row r="2712" spans="1:10" x14ac:dyDescent="0.25">
      <c r="A2712" t="s">
        <v>2721</v>
      </c>
      <c r="B2712" t="s">
        <v>11</v>
      </c>
      <c r="C2712">
        <v>117.358453125</v>
      </c>
      <c r="D2712">
        <f>0</f>
        <v>0</v>
      </c>
      <c r="E2712">
        <f>672090027/10^6</f>
        <v>672.09002699999996</v>
      </c>
      <c r="F2712">
        <f>0</f>
        <v>0</v>
      </c>
      <c r="G2712">
        <f>231670288/10^6</f>
        <v>231.670288</v>
      </c>
      <c r="H2712">
        <f>0</f>
        <v>0</v>
      </c>
      <c r="I2712">
        <f>-41329201/10^6</f>
        <v>-41.329200999999998</v>
      </c>
      <c r="J2712">
        <f>0</f>
        <v>0</v>
      </c>
    </row>
    <row r="2713" spans="1:10" x14ac:dyDescent="0.25">
      <c r="A2713" t="s">
        <v>2722</v>
      </c>
      <c r="B2713" t="s">
        <v>11</v>
      </c>
      <c r="C2713">
        <v>117.038554688</v>
      </c>
      <c r="D2713">
        <f>0</f>
        <v>0</v>
      </c>
      <c r="E2713">
        <f>673803284/10^6</f>
        <v>673.80328399999996</v>
      </c>
      <c r="F2713">
        <f>0</f>
        <v>0</v>
      </c>
      <c r="G2713">
        <f>231599518/10^6</f>
        <v>231.59951799999999</v>
      </c>
      <c r="H2713">
        <f>0</f>
        <v>0</v>
      </c>
      <c r="I2713">
        <f>-41440048/10^6</f>
        <v>-41.440047999999997</v>
      </c>
      <c r="J2713">
        <f>0</f>
        <v>0</v>
      </c>
    </row>
    <row r="2714" spans="1:10" x14ac:dyDescent="0.25">
      <c r="A2714" t="s">
        <v>2723</v>
      </c>
      <c r="B2714" t="s">
        <v>11</v>
      </c>
      <c r="C2714">
        <v>116.70396875</v>
      </c>
      <c r="D2714">
        <f>0</f>
        <v>0</v>
      </c>
      <c r="E2714">
        <f>675653076/10^6</f>
        <v>675.65307600000006</v>
      </c>
      <c r="F2714">
        <f>0</f>
        <v>0</v>
      </c>
      <c r="G2714">
        <f>23151886/10^5</f>
        <v>231.51885999999999</v>
      </c>
      <c r="H2714">
        <f>0</f>
        <v>0</v>
      </c>
      <c r="I2714">
        <f>-41646935/10^6</f>
        <v>-41.646934999999999</v>
      </c>
      <c r="J2714">
        <f>0</f>
        <v>0</v>
      </c>
    </row>
    <row r="2715" spans="1:10" x14ac:dyDescent="0.25">
      <c r="A2715" t="s">
        <v>2724</v>
      </c>
      <c r="B2715" t="s">
        <v>11</v>
      </c>
      <c r="C2715">
        <v>116.345992188</v>
      </c>
      <c r="D2715">
        <f>0</f>
        <v>0</v>
      </c>
      <c r="E2715">
        <f>677656982/10^6</f>
        <v>677.65698199999997</v>
      </c>
      <c r="F2715">
        <f>0</f>
        <v>0</v>
      </c>
      <c r="G2715">
        <f>231436569/10^6</f>
        <v>231.43656899999999</v>
      </c>
      <c r="H2715">
        <f>0</f>
        <v>0</v>
      </c>
      <c r="I2715">
        <f>-41943657/10^6</f>
        <v>-41.943657000000002</v>
      </c>
      <c r="J2715">
        <f>0</f>
        <v>0</v>
      </c>
    </row>
    <row r="2716" spans="1:10" x14ac:dyDescent="0.25">
      <c r="A2716" t="s">
        <v>2725</v>
      </c>
      <c r="B2716" t="s">
        <v>11</v>
      </c>
      <c r="C2716">
        <v>115.958796875</v>
      </c>
      <c r="D2716">
        <f>0</f>
        <v>0</v>
      </c>
      <c r="E2716">
        <f>679678955/10^6</f>
        <v>679.67895499999997</v>
      </c>
      <c r="F2716">
        <f>0</f>
        <v>0</v>
      </c>
      <c r="G2716">
        <f>231329956/10^6</f>
        <v>231.32995600000001</v>
      </c>
      <c r="H2716">
        <f>0</f>
        <v>0</v>
      </c>
      <c r="I2716">
        <f>-42091766/10^6</f>
        <v>-42.091766</v>
      </c>
      <c r="J2716">
        <f>0</f>
        <v>0</v>
      </c>
    </row>
    <row r="2717" spans="1:10" x14ac:dyDescent="0.25">
      <c r="A2717" t="s">
        <v>2726</v>
      </c>
      <c r="B2717" t="s">
        <v>11</v>
      </c>
      <c r="C2717">
        <v>115.56813281300001</v>
      </c>
      <c r="D2717">
        <f>0</f>
        <v>0</v>
      </c>
      <c r="E2717">
        <f>681872742/10^6</f>
        <v>681.87274200000002</v>
      </c>
      <c r="F2717">
        <f>0</f>
        <v>0</v>
      </c>
      <c r="G2717">
        <f>231219559/10^6</f>
        <v>231.219559</v>
      </c>
      <c r="H2717">
        <f>0</f>
        <v>0</v>
      </c>
      <c r="I2717">
        <f>-42309326/10^6</f>
        <v>-42.309325999999999</v>
      </c>
      <c r="J2717">
        <f>0</f>
        <v>0</v>
      </c>
    </row>
    <row r="2718" spans="1:10" x14ac:dyDescent="0.25">
      <c r="A2718" t="s">
        <v>2727</v>
      </c>
      <c r="B2718" t="s">
        <v>11</v>
      </c>
      <c r="C2718">
        <v>115.21057031300001</v>
      </c>
      <c r="D2718">
        <f>0</f>
        <v>0</v>
      </c>
      <c r="E2718">
        <f>683939819/10^6</f>
        <v>683.93981900000006</v>
      </c>
      <c r="F2718">
        <f>0</f>
        <v>0</v>
      </c>
      <c r="G2718">
        <f>23109613/10^5</f>
        <v>231.09612999999999</v>
      </c>
      <c r="H2718">
        <f>0</f>
        <v>0</v>
      </c>
      <c r="I2718">
        <f>-42721462/10^6</f>
        <v>-42.721462000000002</v>
      </c>
      <c r="J2718">
        <f>0</f>
        <v>0</v>
      </c>
    </row>
    <row r="2719" spans="1:10" x14ac:dyDescent="0.25">
      <c r="A2719" t="s">
        <v>2728</v>
      </c>
      <c r="B2719" t="s">
        <v>11</v>
      </c>
      <c r="C2719">
        <v>114.90309375</v>
      </c>
      <c r="D2719">
        <f>0</f>
        <v>0</v>
      </c>
      <c r="E2719">
        <f>685397644/10^6</f>
        <v>685.39764400000001</v>
      </c>
      <c r="F2719">
        <f>0</f>
        <v>0</v>
      </c>
      <c r="G2719">
        <f>230897781/10^6</f>
        <v>230.89778100000001</v>
      </c>
      <c r="H2719">
        <f>0</f>
        <v>0</v>
      </c>
      <c r="I2719">
        <f>-43058636/10^6</f>
        <v>-43.058636</v>
      </c>
      <c r="J2719">
        <f>0</f>
        <v>0</v>
      </c>
    </row>
    <row r="2720" spans="1:10" x14ac:dyDescent="0.25">
      <c r="A2720" t="s">
        <v>2729</v>
      </c>
      <c r="B2720" t="s">
        <v>11</v>
      </c>
      <c r="C2720">
        <v>114.700070313</v>
      </c>
      <c r="D2720">
        <f>0</f>
        <v>0</v>
      </c>
      <c r="E2720">
        <f>686348999/10^6</f>
        <v>686.34899900000005</v>
      </c>
      <c r="F2720">
        <f>0</f>
        <v>0</v>
      </c>
      <c r="G2720">
        <f>230761765/10^6</f>
        <v>230.761765</v>
      </c>
      <c r="H2720">
        <f>0</f>
        <v>0</v>
      </c>
      <c r="I2720">
        <f>-43301647/10^6</f>
        <v>-43.301647000000003</v>
      </c>
      <c r="J2720">
        <f>0</f>
        <v>0</v>
      </c>
    </row>
    <row r="2721" spans="1:10" x14ac:dyDescent="0.25">
      <c r="A2721" t="s">
        <v>2730</v>
      </c>
      <c r="B2721" t="s">
        <v>11</v>
      </c>
      <c r="C2721">
        <v>114.56985937499999</v>
      </c>
      <c r="D2721">
        <f>0</f>
        <v>0</v>
      </c>
      <c r="E2721">
        <f>687032471/10^6</f>
        <v>687.03247099999999</v>
      </c>
      <c r="F2721">
        <f>0</f>
        <v>0</v>
      </c>
      <c r="G2721">
        <f>230760529/10^6</f>
        <v>230.76052899999999</v>
      </c>
      <c r="H2721">
        <f>0</f>
        <v>0</v>
      </c>
      <c r="I2721">
        <f>-43260952/10^6</f>
        <v>-43.260952000000003</v>
      </c>
      <c r="J2721">
        <f>0</f>
        <v>0</v>
      </c>
    </row>
    <row r="2722" spans="1:10" x14ac:dyDescent="0.25">
      <c r="A2722" t="s">
        <v>2731</v>
      </c>
      <c r="B2722" t="s">
        <v>11</v>
      </c>
      <c r="C2722">
        <v>114.372507813</v>
      </c>
      <c r="D2722">
        <f>0</f>
        <v>0</v>
      </c>
      <c r="E2722">
        <f>68820636/10^5</f>
        <v>688.20636000000002</v>
      </c>
      <c r="F2722">
        <f>0</f>
        <v>0</v>
      </c>
      <c r="G2722">
        <f>230727707/10^6</f>
        <v>230.72770700000001</v>
      </c>
      <c r="H2722">
        <f>0</f>
        <v>0</v>
      </c>
      <c r="I2722">
        <f>-43439095/10^6</f>
        <v>-43.439095000000002</v>
      </c>
      <c r="J2722">
        <f>0</f>
        <v>0</v>
      </c>
    </row>
    <row r="2723" spans="1:10" x14ac:dyDescent="0.25">
      <c r="A2723" t="s">
        <v>2732</v>
      </c>
      <c r="B2723" t="s">
        <v>11</v>
      </c>
      <c r="C2723">
        <v>114.274765625</v>
      </c>
      <c r="D2723">
        <f>0</f>
        <v>0</v>
      </c>
      <c r="E2723">
        <f>688904968/10^6</f>
        <v>688.90496800000005</v>
      </c>
      <c r="F2723">
        <f>0</f>
        <v>0</v>
      </c>
      <c r="G2723">
        <f>230669205/10^6</f>
        <v>230.66920500000001</v>
      </c>
      <c r="H2723">
        <f>0</f>
        <v>0</v>
      </c>
      <c r="I2723">
        <f>-43920456/10^6</f>
        <v>-43.920456000000001</v>
      </c>
      <c r="J2723">
        <f>0</f>
        <v>0</v>
      </c>
    </row>
    <row r="2724" spans="1:10" x14ac:dyDescent="0.25">
      <c r="A2724" t="s">
        <v>2733</v>
      </c>
      <c r="B2724" t="s">
        <v>11</v>
      </c>
      <c r="C2724">
        <v>114.44035156300001</v>
      </c>
      <c r="D2724">
        <f>0</f>
        <v>0</v>
      </c>
      <c r="E2724">
        <f>687936951/10^6</f>
        <v>687.93695100000002</v>
      </c>
      <c r="F2724">
        <f>0</f>
        <v>0</v>
      </c>
      <c r="G2724">
        <f>230739288/10^6</f>
        <v>230.73928799999999</v>
      </c>
      <c r="H2724">
        <f>0</f>
        <v>0</v>
      </c>
      <c r="I2724">
        <f>-43719448/10^6</f>
        <v>-43.719448</v>
      </c>
      <c r="J2724">
        <f>0</f>
        <v>0</v>
      </c>
    </row>
    <row r="2725" spans="1:10" x14ac:dyDescent="0.25">
      <c r="A2725" t="s">
        <v>2734</v>
      </c>
      <c r="B2725" t="s">
        <v>11</v>
      </c>
      <c r="C2725">
        <v>114.68739062500001</v>
      </c>
      <c r="D2725">
        <f>0</f>
        <v>0</v>
      </c>
      <c r="E2725">
        <f>686546509/10^6</f>
        <v>686.54650900000001</v>
      </c>
      <c r="F2725">
        <f>0</f>
        <v>0</v>
      </c>
      <c r="G2725">
        <f>230864822/10^6</f>
        <v>230.864822</v>
      </c>
      <c r="H2725">
        <f>0</f>
        <v>0</v>
      </c>
      <c r="I2725">
        <f>-43262367/10^6</f>
        <v>-43.262366999999998</v>
      </c>
      <c r="J2725">
        <f>0</f>
        <v>0</v>
      </c>
    </row>
    <row r="2726" spans="1:10" x14ac:dyDescent="0.25">
      <c r="A2726" t="s">
        <v>2735</v>
      </c>
      <c r="B2726" t="s">
        <v>11</v>
      </c>
      <c r="C2726">
        <v>114.90551562500001</v>
      </c>
      <c r="D2726">
        <f>0</f>
        <v>0</v>
      </c>
      <c r="E2726">
        <f>685517029/10^6</f>
        <v>685.51702899999998</v>
      </c>
      <c r="F2726">
        <f>0</f>
        <v>0</v>
      </c>
      <c r="G2726">
        <f>230950485/10^6</f>
        <v>230.95048499999999</v>
      </c>
      <c r="H2726">
        <f>0</f>
        <v>0</v>
      </c>
      <c r="I2726">
        <f>-43215717/10^6</f>
        <v>-43.215716999999998</v>
      </c>
      <c r="J2726">
        <f>0</f>
        <v>0</v>
      </c>
    </row>
    <row r="2727" spans="1:10" x14ac:dyDescent="0.25">
      <c r="A2727" t="s">
        <v>2736</v>
      </c>
      <c r="B2727" t="s">
        <v>11</v>
      </c>
      <c r="C2727">
        <v>115.11321093800001</v>
      </c>
      <c r="D2727">
        <f>0</f>
        <v>0</v>
      </c>
      <c r="E2727">
        <f>684539734/10^6</f>
        <v>684.53973399999995</v>
      </c>
      <c r="F2727">
        <f>0</f>
        <v>0</v>
      </c>
      <c r="G2727">
        <f>231047989/10^6</f>
        <v>231.047989</v>
      </c>
      <c r="H2727">
        <f>0</f>
        <v>0</v>
      </c>
      <c r="I2727">
        <f>-43245945/10^6</f>
        <v>-43.245944999999999</v>
      </c>
      <c r="J2727">
        <f>0</f>
        <v>0</v>
      </c>
    </row>
    <row r="2728" spans="1:10" x14ac:dyDescent="0.25">
      <c r="A2728" t="s">
        <v>2737</v>
      </c>
      <c r="B2728" t="s">
        <v>11</v>
      </c>
      <c r="C2728">
        <v>115.30446093800001</v>
      </c>
      <c r="D2728">
        <f>0</f>
        <v>0</v>
      </c>
      <c r="E2728">
        <f>683504456/10^6</f>
        <v>683.504456</v>
      </c>
      <c r="F2728">
        <f>0</f>
        <v>0</v>
      </c>
      <c r="G2728">
        <f>231119049/10^6</f>
        <v>231.11904899999999</v>
      </c>
      <c r="H2728">
        <f>0</f>
        <v>0</v>
      </c>
      <c r="I2728">
        <f>-43138889/10^6</f>
        <v>-43.138888999999999</v>
      </c>
      <c r="J2728">
        <f>0</f>
        <v>0</v>
      </c>
    </row>
    <row r="2729" spans="1:10" x14ac:dyDescent="0.25">
      <c r="A2729" t="s">
        <v>2738</v>
      </c>
      <c r="B2729" t="s">
        <v>11</v>
      </c>
      <c r="C2729">
        <v>115.50218750000001</v>
      </c>
      <c r="D2729">
        <f>0</f>
        <v>0</v>
      </c>
      <c r="E2729">
        <f>682411316/10^6</f>
        <v>682.41131600000006</v>
      </c>
      <c r="F2729">
        <f>0</f>
        <v>0</v>
      </c>
      <c r="G2729">
        <f>231179321/10^6</f>
        <v>231.17932099999999</v>
      </c>
      <c r="H2729">
        <f>0</f>
        <v>0</v>
      </c>
      <c r="I2729">
        <f>-4291584/10^5</f>
        <v>-42.915840000000003</v>
      </c>
      <c r="J2729">
        <f>0</f>
        <v>0</v>
      </c>
    </row>
    <row r="2730" spans="1:10" x14ac:dyDescent="0.25">
      <c r="A2730" t="s">
        <v>2739</v>
      </c>
      <c r="B2730" t="s">
        <v>11</v>
      </c>
      <c r="C2730">
        <v>115.738140625</v>
      </c>
      <c r="D2730">
        <f>0</f>
        <v>0</v>
      </c>
      <c r="E2730">
        <f>68111438/10^5</f>
        <v>681.11437999999998</v>
      </c>
      <c r="F2730">
        <f>0</f>
        <v>0</v>
      </c>
      <c r="G2730">
        <f>231260773/10^6</f>
        <v>231.260773</v>
      </c>
      <c r="H2730">
        <f>0</f>
        <v>0</v>
      </c>
      <c r="I2730">
        <f>-4281282/10^5</f>
        <v>-42.812820000000002</v>
      </c>
      <c r="J2730">
        <f>0</f>
        <v>0</v>
      </c>
    </row>
    <row r="2731" spans="1:10" x14ac:dyDescent="0.25">
      <c r="A2731" t="s">
        <v>2740</v>
      </c>
      <c r="B2731" t="s">
        <v>11</v>
      </c>
      <c r="C2731">
        <v>116.00979687500001</v>
      </c>
      <c r="D2731">
        <f>0</f>
        <v>0</v>
      </c>
      <c r="E2731">
        <f>679503479/10^6</f>
        <v>679.50347899999997</v>
      </c>
      <c r="F2731">
        <f>0</f>
        <v>0</v>
      </c>
      <c r="G2731">
        <f>231322296/10^6</f>
        <v>231.32229599999999</v>
      </c>
      <c r="H2731">
        <f>0</f>
        <v>0</v>
      </c>
      <c r="I2731">
        <f>-42612343/10^6</f>
        <v>-42.612343000000003</v>
      </c>
      <c r="J2731">
        <f>0</f>
        <v>0</v>
      </c>
    </row>
    <row r="2732" spans="1:10" x14ac:dyDescent="0.25">
      <c r="A2732" t="s">
        <v>2741</v>
      </c>
      <c r="B2732" t="s">
        <v>11</v>
      </c>
      <c r="C2732">
        <v>116.30912499999999</v>
      </c>
      <c r="D2732">
        <f>0</f>
        <v>0</v>
      </c>
      <c r="E2732">
        <f>677840088/10^6</f>
        <v>677.84008800000004</v>
      </c>
      <c r="F2732">
        <f>0</f>
        <v>0</v>
      </c>
      <c r="G2732">
        <f>231389816/10^6</f>
        <v>231.389816</v>
      </c>
      <c r="H2732">
        <f>0</f>
        <v>0</v>
      </c>
      <c r="I2732">
        <f>-42246521/10^6</f>
        <v>-42.246521000000001</v>
      </c>
      <c r="J2732">
        <f>0</f>
        <v>0</v>
      </c>
    </row>
    <row r="2733" spans="1:10" x14ac:dyDescent="0.25">
      <c r="A2733" t="s">
        <v>2742</v>
      </c>
      <c r="B2733" t="s">
        <v>11</v>
      </c>
      <c r="C2733">
        <v>116.633109375</v>
      </c>
      <c r="D2733">
        <f>0</f>
        <v>0</v>
      </c>
      <c r="E2733">
        <f>676126343/10^6</f>
        <v>676.12634300000002</v>
      </c>
      <c r="F2733">
        <f>0</f>
        <v>0</v>
      </c>
      <c r="G2733">
        <f>231462692/10^6</f>
        <v>231.462692</v>
      </c>
      <c r="H2733">
        <f>0</f>
        <v>0</v>
      </c>
      <c r="I2733">
        <f>-42118874/10^6</f>
        <v>-42.118873999999998</v>
      </c>
      <c r="J2733">
        <f>0</f>
        <v>0</v>
      </c>
    </row>
    <row r="2734" spans="1:10" x14ac:dyDescent="0.25">
      <c r="A2734" t="s">
        <v>2743</v>
      </c>
      <c r="B2734" t="s">
        <v>11</v>
      </c>
      <c r="C2734">
        <v>116.98742968800001</v>
      </c>
      <c r="D2734">
        <f>0</f>
        <v>0</v>
      </c>
      <c r="E2734">
        <f>674065674/10^6</f>
        <v>674.06567399999994</v>
      </c>
      <c r="F2734">
        <f>0</f>
        <v>0</v>
      </c>
      <c r="G2734">
        <f>2315271/10^4</f>
        <v>231.52709999999999</v>
      </c>
      <c r="H2734">
        <f>0</f>
        <v>0</v>
      </c>
      <c r="I2734">
        <f>-41918182/10^6</f>
        <v>-41.918182000000002</v>
      </c>
      <c r="J2734">
        <f>0</f>
        <v>0</v>
      </c>
    </row>
    <row r="2735" spans="1:10" x14ac:dyDescent="0.25">
      <c r="A2735" t="s">
        <v>2744</v>
      </c>
      <c r="B2735" t="s">
        <v>11</v>
      </c>
      <c r="C2735">
        <v>117.34994531300001</v>
      </c>
      <c r="D2735">
        <f>0</f>
        <v>0</v>
      </c>
      <c r="E2735">
        <f>672031067/10^6</f>
        <v>672.03106700000001</v>
      </c>
      <c r="F2735">
        <f>0</f>
        <v>0</v>
      </c>
      <c r="G2735">
        <f>231592377/10^6</f>
        <v>231.592377</v>
      </c>
      <c r="H2735">
        <f>0</f>
        <v>0</v>
      </c>
      <c r="I2735">
        <f>-41624523/10^6</f>
        <v>-41.624523000000003</v>
      </c>
      <c r="J2735">
        <f>0</f>
        <v>0</v>
      </c>
    </row>
    <row r="2736" spans="1:10" x14ac:dyDescent="0.25">
      <c r="A2736" t="s">
        <v>2745</v>
      </c>
      <c r="B2736" t="s">
        <v>11</v>
      </c>
      <c r="C2736">
        <v>117.72153906300001</v>
      </c>
      <c r="D2736">
        <f>0</f>
        <v>0</v>
      </c>
      <c r="E2736">
        <f>670004639/10^6</f>
        <v>670.004639</v>
      </c>
      <c r="F2736">
        <f>0</f>
        <v>0</v>
      </c>
      <c r="G2736">
        <f>231660934/10^6</f>
        <v>231.660934</v>
      </c>
      <c r="H2736">
        <f>0</f>
        <v>0</v>
      </c>
      <c r="I2736">
        <f>-41460724/10^6</f>
        <v>-41.460723999999999</v>
      </c>
      <c r="J2736">
        <f>0</f>
        <v>0</v>
      </c>
    </row>
    <row r="2737" spans="1:10" x14ac:dyDescent="0.25">
      <c r="A2737" t="s">
        <v>2746</v>
      </c>
      <c r="B2737" t="s">
        <v>11</v>
      </c>
      <c r="C2737">
        <v>118.11017187500001</v>
      </c>
      <c r="D2737">
        <f>0</f>
        <v>0</v>
      </c>
      <c r="E2737">
        <f>667729431/10^6</f>
        <v>667.72943099999998</v>
      </c>
      <c r="F2737">
        <f>0</f>
        <v>0</v>
      </c>
      <c r="G2737">
        <f>23171846/10^5</f>
        <v>231.71845999999999</v>
      </c>
      <c r="H2737">
        <f>0</f>
        <v>0</v>
      </c>
      <c r="I2737">
        <f>-41216625/10^6</f>
        <v>-41.216625000000001</v>
      </c>
      <c r="J2737">
        <f>0</f>
        <v>0</v>
      </c>
    </row>
    <row r="2738" spans="1:10" x14ac:dyDescent="0.25">
      <c r="A2738" t="s">
        <v>2747</v>
      </c>
      <c r="B2738" t="s">
        <v>11</v>
      </c>
      <c r="C2738">
        <v>118.468875</v>
      </c>
      <c r="D2738">
        <f>0</f>
        <v>0</v>
      </c>
      <c r="E2738">
        <f>665749268/10^6</f>
        <v>665.74926800000003</v>
      </c>
      <c r="F2738">
        <f>0</f>
        <v>0</v>
      </c>
      <c r="G2738">
        <f>231772324/10^6</f>
        <v>231.772324</v>
      </c>
      <c r="H2738">
        <f>0</f>
        <v>0</v>
      </c>
      <c r="I2738">
        <f>-41004433/10^6</f>
        <v>-41.004432999999999</v>
      </c>
      <c r="J2738">
        <f>0</f>
        <v>0</v>
      </c>
    </row>
    <row r="2739" spans="1:10" x14ac:dyDescent="0.25">
      <c r="A2739" t="s">
        <v>2748</v>
      </c>
      <c r="B2739" t="s">
        <v>11</v>
      </c>
      <c r="C2739">
        <v>118.790859375</v>
      </c>
      <c r="D2739">
        <f>0</f>
        <v>0</v>
      </c>
      <c r="E2739">
        <f>663836121/10^6</f>
        <v>663.83612100000005</v>
      </c>
      <c r="F2739">
        <f>0</f>
        <v>0</v>
      </c>
      <c r="G2739">
        <f>231826797/10^6</f>
        <v>231.826797</v>
      </c>
      <c r="H2739">
        <f>0</f>
        <v>0</v>
      </c>
      <c r="I2739">
        <f>-40673561/10^6</f>
        <v>-40.673560999999999</v>
      </c>
      <c r="J2739">
        <f>0</f>
        <v>0</v>
      </c>
    </row>
    <row r="2740" spans="1:10" x14ac:dyDescent="0.25">
      <c r="A2740" t="s">
        <v>2749</v>
      </c>
      <c r="B2740" t="s">
        <v>11</v>
      </c>
      <c r="C2740">
        <v>119.08766406300001</v>
      </c>
      <c r="D2740">
        <f>0</f>
        <v>0</v>
      </c>
      <c r="E2740">
        <f>662031555/10^6</f>
        <v>662.03155500000003</v>
      </c>
      <c r="F2740">
        <f>0</f>
        <v>0</v>
      </c>
      <c r="G2740">
        <f>231872421/10^6</f>
        <v>231.872421</v>
      </c>
      <c r="H2740">
        <f>0</f>
        <v>0</v>
      </c>
      <c r="I2740">
        <f>-40339905/10^6</f>
        <v>-40.339905000000002</v>
      </c>
      <c r="J2740">
        <f>0</f>
        <v>0</v>
      </c>
    </row>
    <row r="2741" spans="1:10" x14ac:dyDescent="0.25">
      <c r="A2741" t="s">
        <v>2750</v>
      </c>
      <c r="B2741" t="s">
        <v>11</v>
      </c>
      <c r="C2741">
        <v>119.34339843800001</v>
      </c>
      <c r="D2741">
        <f>0</f>
        <v>0</v>
      </c>
      <c r="E2741">
        <f>660768616/10^6</f>
        <v>660.76861599999995</v>
      </c>
      <c r="F2741">
        <f>0</f>
        <v>0</v>
      </c>
      <c r="G2741">
        <f>231914169/10^6</f>
        <v>231.91416899999999</v>
      </c>
      <c r="H2741">
        <f>0</f>
        <v>0</v>
      </c>
      <c r="I2741">
        <f>-40338287/10^6</f>
        <v>-40.338287000000001</v>
      </c>
      <c r="J2741">
        <f>0</f>
        <v>0</v>
      </c>
    </row>
    <row r="2742" spans="1:10" x14ac:dyDescent="0.25">
      <c r="A2742" t="s">
        <v>2751</v>
      </c>
      <c r="B2742" t="s">
        <v>11</v>
      </c>
      <c r="C2742">
        <v>119.55528124999999</v>
      </c>
      <c r="D2742">
        <f>0</f>
        <v>0</v>
      </c>
      <c r="E2742">
        <f>65961853/10^5</f>
        <v>659.61852999999996</v>
      </c>
      <c r="F2742">
        <f>0</f>
        <v>0</v>
      </c>
      <c r="G2742">
        <f>231955139/10^6</f>
        <v>231.955139</v>
      </c>
      <c r="H2742">
        <f>0</f>
        <v>0</v>
      </c>
      <c r="I2742">
        <f>-40208626/10^6</f>
        <v>-40.208626000000002</v>
      </c>
      <c r="J2742">
        <f>0</f>
        <v>0</v>
      </c>
    </row>
    <row r="2743" spans="1:10" x14ac:dyDescent="0.25">
      <c r="A2743" t="s">
        <v>2752</v>
      </c>
      <c r="B2743" t="s">
        <v>11</v>
      </c>
      <c r="C2743">
        <v>119.723375</v>
      </c>
      <c r="D2743">
        <f>0</f>
        <v>0</v>
      </c>
      <c r="E2743">
        <f>658693359/10^6</f>
        <v>658.69335899999999</v>
      </c>
      <c r="F2743">
        <f>0</f>
        <v>0</v>
      </c>
      <c r="G2743">
        <f>231990189/10^6</f>
        <v>231.99018899999999</v>
      </c>
      <c r="H2743">
        <f>0</f>
        <v>0</v>
      </c>
      <c r="I2743">
        <f>-4004092/10^5</f>
        <v>-40.04092</v>
      </c>
      <c r="J2743">
        <f>0</f>
        <v>0</v>
      </c>
    </row>
    <row r="2744" spans="1:10" x14ac:dyDescent="0.25">
      <c r="A2744" t="s">
        <v>2753</v>
      </c>
      <c r="B2744" t="s">
        <v>11</v>
      </c>
      <c r="C2744">
        <v>119.85201562500001</v>
      </c>
      <c r="D2744">
        <f>0</f>
        <v>0</v>
      </c>
      <c r="E2744">
        <f>658063599/10^6</f>
        <v>658.06359899999995</v>
      </c>
      <c r="F2744">
        <f>0</f>
        <v>0</v>
      </c>
      <c r="G2744">
        <f>232017822/10^6</f>
        <v>232.017822</v>
      </c>
      <c r="H2744">
        <f>0</f>
        <v>0</v>
      </c>
      <c r="I2744">
        <f>-40057339/10^6</f>
        <v>-40.057338999999999</v>
      </c>
      <c r="J2744">
        <f>0</f>
        <v>0</v>
      </c>
    </row>
    <row r="2745" spans="1:10" x14ac:dyDescent="0.25">
      <c r="A2745" t="s">
        <v>2754</v>
      </c>
      <c r="B2745" t="s">
        <v>11</v>
      </c>
      <c r="C2745">
        <v>0</v>
      </c>
      <c r="D2745">
        <f>2</f>
        <v>2</v>
      </c>
      <c r="F2745">
        <f>2</f>
        <v>2</v>
      </c>
      <c r="H2745">
        <f>2</f>
        <v>2</v>
      </c>
      <c r="J2745">
        <f>2</f>
        <v>2</v>
      </c>
    </row>
    <row r="2746" spans="1:10" x14ac:dyDescent="0.25">
      <c r="A2746" t="s">
        <v>2755</v>
      </c>
      <c r="B2746" t="s">
        <v>11</v>
      </c>
      <c r="C2746">
        <v>120.026359375</v>
      </c>
      <c r="D2746">
        <f>0</f>
        <v>0</v>
      </c>
      <c r="E2746">
        <f>657091797/10^6</f>
        <v>657.09179700000004</v>
      </c>
      <c r="F2746">
        <f>0</f>
        <v>0</v>
      </c>
      <c r="G2746">
        <f>232060135/10^6</f>
        <v>232.060135</v>
      </c>
      <c r="H2746">
        <f>0</f>
        <v>0</v>
      </c>
      <c r="I2746">
        <f>-39930206/10^6</f>
        <v>-39.930205999999998</v>
      </c>
      <c r="J2746">
        <f>0</f>
        <v>0</v>
      </c>
    </row>
    <row r="2747" spans="1:10" x14ac:dyDescent="0.25">
      <c r="A2747" t="s">
        <v>2756</v>
      </c>
      <c r="B2747" t="s">
        <v>11</v>
      </c>
      <c r="C2747">
        <v>120.069695313</v>
      </c>
      <c r="D2747">
        <f>0</f>
        <v>0</v>
      </c>
      <c r="E2747">
        <f>656939514/10^6</f>
        <v>656.93951400000003</v>
      </c>
      <c r="F2747">
        <f>0</f>
        <v>0</v>
      </c>
      <c r="G2747">
        <f>232075211/10^6</f>
        <v>232.075211</v>
      </c>
      <c r="H2747">
        <f>0</f>
        <v>0</v>
      </c>
      <c r="I2747">
        <f>-39940441/10^6</f>
        <v>-39.940441</v>
      </c>
      <c r="J2747">
        <f>0</f>
        <v>0</v>
      </c>
    </row>
    <row r="2748" spans="1:10" x14ac:dyDescent="0.25">
      <c r="A2748" t="s">
        <v>2757</v>
      </c>
      <c r="B2748" t="s">
        <v>11</v>
      </c>
      <c r="C2748">
        <v>120.08099218800001</v>
      </c>
      <c r="D2748">
        <f>0</f>
        <v>0</v>
      </c>
      <c r="E2748">
        <f>656929504/10^6</f>
        <v>656.92950399999995</v>
      </c>
      <c r="F2748">
        <f>0</f>
        <v>0</v>
      </c>
      <c r="G2748">
        <f>232080002/10^6</f>
        <v>232.08000200000001</v>
      </c>
      <c r="H2748">
        <f>0</f>
        <v>0</v>
      </c>
      <c r="I2748">
        <f>-3984127/10^5</f>
        <v>-39.841270000000002</v>
      </c>
      <c r="J2748">
        <f>0</f>
        <v>0</v>
      </c>
    </row>
    <row r="2749" spans="1:10" x14ac:dyDescent="0.25">
      <c r="A2749" t="s">
        <v>2758</v>
      </c>
      <c r="B2749" t="s">
        <v>11</v>
      </c>
      <c r="C2749">
        <v>120.041234375</v>
      </c>
      <c r="D2749">
        <f>0</f>
        <v>0</v>
      </c>
      <c r="E2749">
        <f>657092529/10^6</f>
        <v>657.09252900000001</v>
      </c>
      <c r="F2749">
        <f>0</f>
        <v>0</v>
      </c>
      <c r="G2749">
        <f>232070831/10^6</f>
        <v>232.070831</v>
      </c>
      <c r="H2749">
        <f>0</f>
        <v>0</v>
      </c>
      <c r="I2749">
        <f>-39768921/10^6</f>
        <v>-39.768920999999999</v>
      </c>
      <c r="J2749">
        <f>0</f>
        <v>0</v>
      </c>
    </row>
    <row r="2750" spans="1:10" x14ac:dyDescent="0.25">
      <c r="A2750" t="s">
        <v>2759</v>
      </c>
      <c r="B2750" t="s">
        <v>11</v>
      </c>
      <c r="C2750">
        <v>119.96733593800001</v>
      </c>
      <c r="D2750">
        <f>0</f>
        <v>0</v>
      </c>
      <c r="E2750">
        <f>657481506/10^6</f>
        <v>657.48150599999997</v>
      </c>
      <c r="F2750">
        <f>0</f>
        <v>0</v>
      </c>
      <c r="G2750">
        <f>23206781/10^5</f>
        <v>232.06781000000001</v>
      </c>
      <c r="H2750">
        <f>0</f>
        <v>0</v>
      </c>
      <c r="I2750">
        <f>-39757999/10^6</f>
        <v>-39.757998999999998</v>
      </c>
      <c r="J2750">
        <f>0</f>
        <v>0</v>
      </c>
    </row>
    <row r="2751" spans="1:10" x14ac:dyDescent="0.25">
      <c r="A2751" t="s">
        <v>2760</v>
      </c>
      <c r="B2751" t="s">
        <v>11</v>
      </c>
      <c r="C2751">
        <v>119.878726563</v>
      </c>
      <c r="D2751">
        <f>0</f>
        <v>0</v>
      </c>
      <c r="E2751">
        <f>65809021/10^5</f>
        <v>658.09020999999996</v>
      </c>
      <c r="F2751">
        <f>0</f>
        <v>0</v>
      </c>
      <c r="G2751">
        <f>232066498/10^6</f>
        <v>232.066498</v>
      </c>
      <c r="H2751">
        <f>0</f>
        <v>0</v>
      </c>
      <c r="I2751">
        <f>-3981356/10^5</f>
        <v>-39.813560000000003</v>
      </c>
      <c r="J2751">
        <f>0</f>
        <v>0</v>
      </c>
    </row>
    <row r="2752" spans="1:10" x14ac:dyDescent="0.25">
      <c r="A2752" t="s">
        <v>2761</v>
      </c>
      <c r="B2752" t="s">
        <v>11</v>
      </c>
      <c r="C2752">
        <v>119.77258593800001</v>
      </c>
      <c r="D2752">
        <f>0</f>
        <v>0</v>
      </c>
      <c r="E2752">
        <f>658683228/10^6</f>
        <v>658.68322799999999</v>
      </c>
      <c r="F2752">
        <f>0</f>
        <v>0</v>
      </c>
      <c r="G2752">
        <f>232051514/10^6</f>
        <v>232.051514</v>
      </c>
      <c r="H2752">
        <f>0</f>
        <v>0</v>
      </c>
      <c r="I2752">
        <f>-39947464/10^6</f>
        <v>-39.947463999999997</v>
      </c>
      <c r="J2752">
        <f>0</f>
        <v>0</v>
      </c>
    </row>
    <row r="2753" spans="1:10" x14ac:dyDescent="0.25">
      <c r="A2753" t="s">
        <v>2762</v>
      </c>
      <c r="B2753" t="s">
        <v>11</v>
      </c>
      <c r="C2753">
        <v>119.6501875</v>
      </c>
      <c r="D2753">
        <f>0</f>
        <v>0</v>
      </c>
      <c r="E2753">
        <f>659224915/10^6</f>
        <v>659.22491500000001</v>
      </c>
      <c r="F2753">
        <f>0</f>
        <v>0</v>
      </c>
      <c r="G2753">
        <f>232026825/10^6</f>
        <v>232.026825</v>
      </c>
      <c r="H2753">
        <f>0</f>
        <v>0</v>
      </c>
      <c r="I2753">
        <f>-39969055/10^6</f>
        <v>-39.969054999999997</v>
      </c>
      <c r="J2753">
        <f>0</f>
        <v>0</v>
      </c>
    </row>
    <row r="2754" spans="1:10" x14ac:dyDescent="0.25">
      <c r="A2754" t="s">
        <v>2763</v>
      </c>
      <c r="B2754" t="s">
        <v>11</v>
      </c>
      <c r="C2754">
        <v>119.512078125</v>
      </c>
      <c r="D2754">
        <f>0</f>
        <v>0</v>
      </c>
      <c r="E2754">
        <f>660100037/10^6</f>
        <v>660.10003700000004</v>
      </c>
      <c r="F2754">
        <f>0</f>
        <v>0</v>
      </c>
      <c r="G2754">
        <f>232003021/10^6</f>
        <v>232.00302099999999</v>
      </c>
      <c r="H2754">
        <f>0</f>
        <v>0</v>
      </c>
      <c r="I2754">
        <f>-40124058/10^6</f>
        <v>-40.124057999999998</v>
      </c>
      <c r="J2754">
        <f>0</f>
        <v>0</v>
      </c>
    </row>
    <row r="2755" spans="1:10" x14ac:dyDescent="0.25">
      <c r="A2755" t="s">
        <v>2764</v>
      </c>
      <c r="B2755" t="s">
        <v>11</v>
      </c>
      <c r="C2755">
        <v>119.37517187500001</v>
      </c>
      <c r="D2755">
        <f>0</f>
        <v>0</v>
      </c>
      <c r="E2755">
        <f>660869934/10^6</f>
        <v>660.86993399999994</v>
      </c>
      <c r="F2755">
        <f>0</f>
        <v>0</v>
      </c>
      <c r="G2755">
        <f>23197966/10^5</f>
        <v>231.97966</v>
      </c>
      <c r="H2755">
        <f>0</f>
        <v>0</v>
      </c>
      <c r="I2755">
        <f>-40207909/10^6</f>
        <v>-40.207909000000001</v>
      </c>
      <c r="J2755">
        <f>0</f>
        <v>0</v>
      </c>
    </row>
    <row r="2756" spans="1:10" x14ac:dyDescent="0.25">
      <c r="A2756" t="s">
        <v>2765</v>
      </c>
      <c r="B2756" t="s">
        <v>11</v>
      </c>
      <c r="C2756">
        <v>119.24117187500001</v>
      </c>
      <c r="D2756">
        <f>0</f>
        <v>0</v>
      </c>
      <c r="E2756">
        <f>661481689/10^6</f>
        <v>661.48168899999996</v>
      </c>
      <c r="F2756">
        <f>0</f>
        <v>0</v>
      </c>
      <c r="G2756">
        <f>231950378/10^6</f>
        <v>231.950378</v>
      </c>
      <c r="H2756">
        <f>0</f>
        <v>0</v>
      </c>
      <c r="I2756">
        <f>-40185425/10^6</f>
        <v>-40.185425000000002</v>
      </c>
      <c r="J2756">
        <f>0</f>
        <v>0</v>
      </c>
    </row>
    <row r="2757" spans="1:10" x14ac:dyDescent="0.25">
      <c r="A2757" t="s">
        <v>2766</v>
      </c>
      <c r="B2757" t="s">
        <v>11</v>
      </c>
      <c r="C2757">
        <v>119.09896875</v>
      </c>
      <c r="D2757">
        <f>0</f>
        <v>0</v>
      </c>
      <c r="E2757">
        <f>662338806/10^6</f>
        <v>662.33880599999998</v>
      </c>
      <c r="F2757">
        <f>0</f>
        <v>0</v>
      </c>
      <c r="G2757">
        <f>231922104/10^6</f>
        <v>231.92210399999999</v>
      </c>
      <c r="H2757">
        <f>0</f>
        <v>0</v>
      </c>
      <c r="I2757">
        <f>-40366814/10^6</f>
        <v>-40.366813999999998</v>
      </c>
      <c r="J2757">
        <f>0</f>
        <v>0</v>
      </c>
    </row>
    <row r="2758" spans="1:10" x14ac:dyDescent="0.25">
      <c r="A2758" t="s">
        <v>2767</v>
      </c>
      <c r="B2758" t="s">
        <v>11</v>
      </c>
      <c r="C2758">
        <v>118.975984375</v>
      </c>
      <c r="D2758">
        <f>0</f>
        <v>0</v>
      </c>
      <c r="E2758">
        <f>662954895/10^6</f>
        <v>662.95489499999996</v>
      </c>
      <c r="F2758">
        <f>0</f>
        <v>0</v>
      </c>
      <c r="G2758">
        <f>231896194/10^6</f>
        <v>231.89619400000001</v>
      </c>
      <c r="H2758">
        <f>0</f>
        <v>0</v>
      </c>
      <c r="I2758">
        <f>-40399517/10^6</f>
        <v>-40.399517000000003</v>
      </c>
      <c r="J2758">
        <f>0</f>
        <v>0</v>
      </c>
    </row>
    <row r="2759" spans="1:10" x14ac:dyDescent="0.25">
      <c r="A2759" t="s">
        <v>2768</v>
      </c>
      <c r="B2759" t="s">
        <v>11</v>
      </c>
      <c r="C2759">
        <v>118.87234375</v>
      </c>
      <c r="D2759">
        <f>0</f>
        <v>0</v>
      </c>
      <c r="E2759">
        <f>663478821/10^6</f>
        <v>663.47882100000004</v>
      </c>
      <c r="F2759">
        <f>0</f>
        <v>0</v>
      </c>
      <c r="G2759">
        <f>231865204/10^6</f>
        <v>231.86520400000001</v>
      </c>
      <c r="H2759">
        <f>0</f>
        <v>0</v>
      </c>
      <c r="I2759">
        <f>-40428783/10^6</f>
        <v>-40.428783000000003</v>
      </c>
      <c r="J2759">
        <f>0</f>
        <v>0</v>
      </c>
    </row>
    <row r="2760" spans="1:10" x14ac:dyDescent="0.25">
      <c r="A2760" t="s">
        <v>2769</v>
      </c>
      <c r="B2760" t="s">
        <v>11</v>
      </c>
      <c r="C2760">
        <v>118.7711875</v>
      </c>
      <c r="D2760">
        <f>0</f>
        <v>0</v>
      </c>
      <c r="E2760">
        <f>664042175/10^6</f>
        <v>664.04217500000004</v>
      </c>
      <c r="F2760">
        <f>0</f>
        <v>0</v>
      </c>
      <c r="G2760">
        <f>23182991/10^5</f>
        <v>231.82991000000001</v>
      </c>
      <c r="H2760">
        <f>0</f>
        <v>0</v>
      </c>
      <c r="I2760">
        <f>-40600883/10^6</f>
        <v>-40.600883000000003</v>
      </c>
      <c r="J2760">
        <f>0</f>
        <v>0</v>
      </c>
    </row>
    <row r="2761" spans="1:10" x14ac:dyDescent="0.25">
      <c r="A2761" t="s">
        <v>2770</v>
      </c>
      <c r="B2761" t="s">
        <v>11</v>
      </c>
      <c r="C2761">
        <v>118.676046875</v>
      </c>
      <c r="D2761">
        <f>0</f>
        <v>0</v>
      </c>
      <c r="E2761">
        <f>664423401/10^6</f>
        <v>664.42340100000001</v>
      </c>
      <c r="F2761">
        <f>0</f>
        <v>0</v>
      </c>
      <c r="G2761">
        <f>231805222/10^6</f>
        <v>231.80522199999999</v>
      </c>
      <c r="H2761">
        <f>0</f>
        <v>0</v>
      </c>
      <c r="I2761">
        <f>-40540455/10^6</f>
        <v>-40.540455000000001</v>
      </c>
      <c r="J2761">
        <f>0</f>
        <v>0</v>
      </c>
    </row>
    <row r="2762" spans="1:10" x14ac:dyDescent="0.25">
      <c r="A2762" t="s">
        <v>2771</v>
      </c>
      <c r="B2762" t="s">
        <v>11</v>
      </c>
      <c r="C2762">
        <v>118.569351563</v>
      </c>
      <c r="D2762">
        <f>0</f>
        <v>0</v>
      </c>
      <c r="E2762">
        <f>665065125/10^6</f>
        <v>665.06512499999997</v>
      </c>
      <c r="F2762">
        <f>0</f>
        <v>0</v>
      </c>
      <c r="G2762">
        <f>231798431/10^6</f>
        <v>231.79843099999999</v>
      </c>
      <c r="H2762">
        <f>0</f>
        <v>0</v>
      </c>
      <c r="I2762">
        <f>-40607376/10^6</f>
        <v>-40.607376000000002</v>
      </c>
      <c r="J2762">
        <f>0</f>
        <v>0</v>
      </c>
    </row>
    <row r="2763" spans="1:10" x14ac:dyDescent="0.25">
      <c r="A2763" t="s">
        <v>2772</v>
      </c>
      <c r="B2763" t="s">
        <v>11</v>
      </c>
      <c r="C2763">
        <v>118.461265625</v>
      </c>
      <c r="D2763">
        <f>0</f>
        <v>0</v>
      </c>
      <c r="E2763">
        <f>665744995/10^6</f>
        <v>665.74499500000002</v>
      </c>
      <c r="F2763">
        <f>0</f>
        <v>0</v>
      </c>
      <c r="G2763">
        <f>231776642/10^6</f>
        <v>231.77664200000001</v>
      </c>
      <c r="H2763">
        <f>0</f>
        <v>0</v>
      </c>
      <c r="I2763">
        <f>-4077388/10^5</f>
        <v>-40.773879999999998</v>
      </c>
      <c r="J2763">
        <f>0</f>
        <v>0</v>
      </c>
    </row>
    <row r="2764" spans="1:10" x14ac:dyDescent="0.25">
      <c r="A2764" t="s">
        <v>2773</v>
      </c>
      <c r="B2764" t="s">
        <v>11</v>
      </c>
      <c r="C2764">
        <v>118.359953125</v>
      </c>
      <c r="D2764">
        <f>0</f>
        <v>0</v>
      </c>
      <c r="E2764">
        <f>666216309/10^6</f>
        <v>666.21630900000002</v>
      </c>
      <c r="F2764">
        <f>0</f>
        <v>0</v>
      </c>
      <c r="G2764">
        <f>231748901/10^6</f>
        <v>231.74890099999999</v>
      </c>
      <c r="H2764">
        <f>0</f>
        <v>0</v>
      </c>
      <c r="I2764">
        <f>-4065107/10^5</f>
        <v>-40.651069999999997</v>
      </c>
      <c r="J2764">
        <f>0</f>
        <v>0</v>
      </c>
    </row>
    <row r="2765" spans="1:10" x14ac:dyDescent="0.25">
      <c r="A2765" t="s">
        <v>2774</v>
      </c>
      <c r="B2765" t="s">
        <v>11</v>
      </c>
      <c r="C2765">
        <v>118.24978125</v>
      </c>
      <c r="D2765">
        <f>0</f>
        <v>0</v>
      </c>
      <c r="E2765">
        <f>666892639/10^6</f>
        <v>666.89263900000003</v>
      </c>
      <c r="F2765">
        <f>0</f>
        <v>0</v>
      </c>
      <c r="G2765">
        <f>231748428/10^6</f>
        <v>231.74842799999999</v>
      </c>
      <c r="H2765">
        <f>0</f>
        <v>0</v>
      </c>
      <c r="I2765">
        <f>-40682892/10^6</f>
        <v>-40.682892000000002</v>
      </c>
      <c r="J2765">
        <f>0</f>
        <v>0</v>
      </c>
    </row>
    <row r="2766" spans="1:10" x14ac:dyDescent="0.25">
      <c r="A2766" t="s">
        <v>2775</v>
      </c>
      <c r="B2766" t="s">
        <v>11</v>
      </c>
      <c r="C2766">
        <v>118.128726563</v>
      </c>
      <c r="D2766">
        <f>0</f>
        <v>0</v>
      </c>
      <c r="E2766">
        <f>667685425/10^6</f>
        <v>667.68542500000001</v>
      </c>
      <c r="F2766">
        <f>0</f>
        <v>0</v>
      </c>
      <c r="G2766">
        <f>23172908/10^5</f>
        <v>231.72908000000001</v>
      </c>
      <c r="H2766">
        <f>0</f>
        <v>0</v>
      </c>
      <c r="I2766">
        <f>-40981697/10^6</f>
        <v>-40.981696999999997</v>
      </c>
      <c r="J2766">
        <f>0</f>
        <v>0</v>
      </c>
    </row>
    <row r="2767" spans="1:10" x14ac:dyDescent="0.25">
      <c r="A2767" t="s">
        <v>2776</v>
      </c>
      <c r="B2767" t="s">
        <v>11</v>
      </c>
      <c r="C2767">
        <v>118.016914063</v>
      </c>
      <c r="D2767">
        <f>0</f>
        <v>0</v>
      </c>
      <c r="E2767">
        <f>668139954/10^6</f>
        <v>668.13995399999999</v>
      </c>
      <c r="F2767">
        <f>0</f>
        <v>0</v>
      </c>
      <c r="G2767">
        <f>231691101/10^6</f>
        <v>231.691101</v>
      </c>
      <c r="H2767">
        <f>0</f>
        <v>0</v>
      </c>
      <c r="I2767">
        <f>-40964729/10^6</f>
        <v>-40.964728999999998</v>
      </c>
      <c r="J2767">
        <f>0</f>
        <v>0</v>
      </c>
    </row>
    <row r="2768" spans="1:10" x14ac:dyDescent="0.25">
      <c r="A2768" t="s">
        <v>2777</v>
      </c>
      <c r="B2768" t="s">
        <v>11</v>
      </c>
      <c r="C2768">
        <v>117.906734375</v>
      </c>
      <c r="D2768">
        <f>0</f>
        <v>0</v>
      </c>
      <c r="E2768">
        <f>668610901/10^6</f>
        <v>668.61090100000001</v>
      </c>
      <c r="F2768">
        <f>0</f>
        <v>0</v>
      </c>
      <c r="G2768">
        <f>231669052/10^6</f>
        <v>231.66905199999999</v>
      </c>
      <c r="H2768">
        <f>0</f>
        <v>0</v>
      </c>
      <c r="I2768">
        <f>-40789803/10^6</f>
        <v>-40.789802999999999</v>
      </c>
      <c r="J2768">
        <f>0</f>
        <v>0</v>
      </c>
    </row>
    <row r="2769" spans="1:10" x14ac:dyDescent="0.25">
      <c r="A2769" t="s">
        <v>2778</v>
      </c>
      <c r="B2769" t="s">
        <v>11</v>
      </c>
      <c r="C2769">
        <v>117.776523438</v>
      </c>
      <c r="D2769">
        <f>0</f>
        <v>0</v>
      </c>
      <c r="E2769">
        <f>669493286/10^6</f>
        <v>669.49328600000001</v>
      </c>
      <c r="F2769">
        <f>0</f>
        <v>0</v>
      </c>
      <c r="G2769">
        <f>231648941/10^6</f>
        <v>231.64894100000001</v>
      </c>
      <c r="H2769">
        <f>0</f>
        <v>0</v>
      </c>
      <c r="I2769">
        <f>-41018112/10^6</f>
        <v>-41.018112000000002</v>
      </c>
      <c r="J2769">
        <f>0</f>
        <v>0</v>
      </c>
    </row>
    <row r="2770" spans="1:10" x14ac:dyDescent="0.25">
      <c r="A2770" t="s">
        <v>2779</v>
      </c>
      <c r="B2770" t="s">
        <v>11</v>
      </c>
      <c r="C2770">
        <v>117.64346875</v>
      </c>
      <c r="D2770">
        <f>0</f>
        <v>0</v>
      </c>
      <c r="E2770">
        <f>670360535/10^6</f>
        <v>670.36053500000003</v>
      </c>
      <c r="F2770">
        <f>0</f>
        <v>0</v>
      </c>
      <c r="G2770">
        <f>231637222/10^6</f>
        <v>231.63722200000001</v>
      </c>
      <c r="H2770">
        <f>0</f>
        <v>0</v>
      </c>
      <c r="I2770">
        <f>-41324558/10^6</f>
        <v>-41.324558000000003</v>
      </c>
      <c r="J2770">
        <f>0</f>
        <v>0</v>
      </c>
    </row>
    <row r="2771" spans="1:10" x14ac:dyDescent="0.25">
      <c r="A2771" t="s">
        <v>2780</v>
      </c>
      <c r="B2771" t="s">
        <v>11</v>
      </c>
      <c r="C2771">
        <v>117.517101563</v>
      </c>
      <c r="D2771">
        <f>0</f>
        <v>0</v>
      </c>
      <c r="E2771">
        <f>671019409/10^6</f>
        <v>671.019409</v>
      </c>
      <c r="F2771">
        <f>0</f>
        <v>0</v>
      </c>
      <c r="G2771">
        <f>23161795/10^5</f>
        <v>231.61795000000001</v>
      </c>
      <c r="H2771">
        <f>0</f>
        <v>0</v>
      </c>
      <c r="I2771">
        <f>-41343105/10^6</f>
        <v>-41.343105000000001</v>
      </c>
      <c r="J2771">
        <f>0</f>
        <v>0</v>
      </c>
    </row>
    <row r="2772" spans="1:10" x14ac:dyDescent="0.25">
      <c r="A2772" t="s">
        <v>2781</v>
      </c>
      <c r="B2772" t="s">
        <v>11</v>
      </c>
      <c r="C2772">
        <v>117.394828125</v>
      </c>
      <c r="D2772">
        <f>0</f>
        <v>0</v>
      </c>
      <c r="E2772">
        <f>671682495/10^6</f>
        <v>671.68249500000002</v>
      </c>
      <c r="F2772">
        <f>0</f>
        <v>0</v>
      </c>
      <c r="G2772">
        <f>231596756/10^6</f>
        <v>231.596756</v>
      </c>
      <c r="H2772">
        <f>0</f>
        <v>0</v>
      </c>
      <c r="I2772">
        <f>-41274052/10^6</f>
        <v>-41.274051999999998</v>
      </c>
      <c r="J2772">
        <f>0</f>
        <v>0</v>
      </c>
    </row>
    <row r="2773" spans="1:10" x14ac:dyDescent="0.25">
      <c r="A2773" t="s">
        <v>2782</v>
      </c>
      <c r="B2773" t="s">
        <v>11</v>
      </c>
      <c r="C2773">
        <v>117.25307031300001</v>
      </c>
      <c r="D2773">
        <f>0</f>
        <v>0</v>
      </c>
      <c r="E2773">
        <f>672549622/10^6</f>
        <v>672.549622</v>
      </c>
      <c r="F2773">
        <f>0</f>
        <v>0</v>
      </c>
      <c r="G2773">
        <f>231586136/10^6</f>
        <v>231.58613600000001</v>
      </c>
      <c r="H2773">
        <f>0</f>
        <v>0</v>
      </c>
      <c r="I2773">
        <f>-41379864/10^6</f>
        <v>-41.379863999999998</v>
      </c>
      <c r="J2773">
        <f>0</f>
        <v>0</v>
      </c>
    </row>
    <row r="2774" spans="1:10" x14ac:dyDescent="0.25">
      <c r="A2774" t="s">
        <v>2783</v>
      </c>
      <c r="B2774" t="s">
        <v>11</v>
      </c>
      <c r="C2774">
        <v>117.067742188</v>
      </c>
      <c r="D2774">
        <f>0</f>
        <v>0</v>
      </c>
      <c r="E2774">
        <f>673532654/10^6</f>
        <v>673.53265399999998</v>
      </c>
      <c r="F2774">
        <f>0</f>
        <v>0</v>
      </c>
      <c r="G2774">
        <f>231562012/10^6</f>
        <v>231.56201200000001</v>
      </c>
      <c r="H2774">
        <f>0</f>
        <v>0</v>
      </c>
      <c r="I2774">
        <f>-41448586/10^6</f>
        <v>-41.448585999999999</v>
      </c>
      <c r="J2774">
        <f>0</f>
        <v>0</v>
      </c>
    </row>
    <row r="2775" spans="1:10" x14ac:dyDescent="0.25">
      <c r="A2775" t="s">
        <v>2784</v>
      </c>
      <c r="B2775" t="s">
        <v>11</v>
      </c>
      <c r="C2775">
        <v>116.82167187500001</v>
      </c>
      <c r="D2775">
        <f>0</f>
        <v>0</v>
      </c>
      <c r="E2775">
        <f>674938049/10^6</f>
        <v>674.93804899999998</v>
      </c>
      <c r="F2775">
        <f>0</f>
        <v>0</v>
      </c>
      <c r="G2775">
        <f>231518723/10^6</f>
        <v>231.51872299999999</v>
      </c>
      <c r="H2775">
        <f>0</f>
        <v>0</v>
      </c>
      <c r="I2775">
        <f>-41555454/10^6</f>
        <v>-41.555453999999997</v>
      </c>
      <c r="J2775">
        <f>0</f>
        <v>0</v>
      </c>
    </row>
    <row r="2776" spans="1:10" x14ac:dyDescent="0.25">
      <c r="A2776" t="s">
        <v>2785</v>
      </c>
      <c r="B2776" t="s">
        <v>11</v>
      </c>
      <c r="C2776">
        <v>116.48956250000001</v>
      </c>
      <c r="D2776">
        <f>0</f>
        <v>0</v>
      </c>
      <c r="E2776">
        <f>676868225/10^6</f>
        <v>676.86822500000005</v>
      </c>
      <c r="F2776">
        <f>0</f>
        <v>0</v>
      </c>
      <c r="G2776">
        <f>231445267/10^6</f>
        <v>231.445267</v>
      </c>
      <c r="H2776">
        <f>0</f>
        <v>0</v>
      </c>
      <c r="I2776">
        <f>-4185236/10^5</f>
        <v>-41.852359999999997</v>
      </c>
      <c r="J2776">
        <f>0</f>
        <v>0</v>
      </c>
    </row>
    <row r="2777" spans="1:10" x14ac:dyDescent="0.25">
      <c r="A2777" t="s">
        <v>2786</v>
      </c>
      <c r="B2777" t="s">
        <v>11</v>
      </c>
      <c r="C2777">
        <v>116.04749218800001</v>
      </c>
      <c r="D2777">
        <f>0</f>
        <v>0</v>
      </c>
      <c r="E2777">
        <f>679184937/10^6</f>
        <v>679.18493699999999</v>
      </c>
      <c r="F2777">
        <f>0</f>
        <v>0</v>
      </c>
      <c r="G2777">
        <f>231327499/10^6</f>
        <v>231.32749899999999</v>
      </c>
      <c r="H2777">
        <f>0</f>
        <v>0</v>
      </c>
      <c r="I2777">
        <f>-42084255/10^6</f>
        <v>-42.084254999999999</v>
      </c>
      <c r="J2777">
        <f>0</f>
        <v>0</v>
      </c>
    </row>
    <row r="2778" spans="1:10" x14ac:dyDescent="0.25">
      <c r="A2778" t="s">
        <v>2787</v>
      </c>
      <c r="B2778" t="s">
        <v>11</v>
      </c>
      <c r="C2778">
        <v>115.57481249999999</v>
      </c>
      <c r="D2778">
        <f>0</f>
        <v>0</v>
      </c>
      <c r="E2778">
        <f>681810608/10^6</f>
        <v>681.810608</v>
      </c>
      <c r="F2778">
        <f>0</f>
        <v>0</v>
      </c>
      <c r="G2778">
        <f>231190536/10^6</f>
        <v>231.19053600000001</v>
      </c>
      <c r="H2778">
        <f>0</f>
        <v>0</v>
      </c>
      <c r="I2778">
        <f>-42389534/10^6</f>
        <v>-42.389533999999998</v>
      </c>
      <c r="J2778">
        <f>0</f>
        <v>0</v>
      </c>
    </row>
    <row r="2779" spans="1:10" x14ac:dyDescent="0.25">
      <c r="A2779" t="s">
        <v>2788</v>
      </c>
      <c r="B2779" t="s">
        <v>11</v>
      </c>
      <c r="C2779">
        <v>115.19207812499999</v>
      </c>
      <c r="D2779">
        <f>0</f>
        <v>0</v>
      </c>
      <c r="E2779">
        <f>683949402/10^6</f>
        <v>683.94940199999996</v>
      </c>
      <c r="F2779">
        <f>0</f>
        <v>0</v>
      </c>
      <c r="G2779">
        <f>231031036/10^6</f>
        <v>231.031036</v>
      </c>
      <c r="H2779">
        <f>0</f>
        <v>0</v>
      </c>
      <c r="I2779">
        <f>-4290987/10^5</f>
        <v>-42.909869999999998</v>
      </c>
      <c r="J2779">
        <f>0</f>
        <v>0</v>
      </c>
    </row>
    <row r="2780" spans="1:10" x14ac:dyDescent="0.25">
      <c r="A2780" t="s">
        <v>2789</v>
      </c>
      <c r="B2780" t="s">
        <v>11</v>
      </c>
      <c r="C2780">
        <v>114.947023438</v>
      </c>
      <c r="D2780">
        <f>0</f>
        <v>0</v>
      </c>
      <c r="E2780">
        <f>685138428/10^6</f>
        <v>685.13842799999998</v>
      </c>
      <c r="F2780">
        <f>0</f>
        <v>0</v>
      </c>
      <c r="G2780">
        <f>230915604/10^6</f>
        <v>230.915604</v>
      </c>
      <c r="H2780">
        <f>0</f>
        <v>0</v>
      </c>
      <c r="I2780">
        <f>-43096439/10^6</f>
        <v>-43.096438999999997</v>
      </c>
      <c r="J2780">
        <f>0</f>
        <v>0</v>
      </c>
    </row>
    <row r="2781" spans="1:10" x14ac:dyDescent="0.25">
      <c r="A2781" t="s">
        <v>2790</v>
      </c>
      <c r="B2781" t="s">
        <v>11</v>
      </c>
      <c r="C2781">
        <v>114.78334375</v>
      </c>
      <c r="D2781">
        <f>0</f>
        <v>0</v>
      </c>
      <c r="E2781">
        <f>685982056/10^6</f>
        <v>685.98205599999994</v>
      </c>
      <c r="F2781">
        <f>0</f>
        <v>0</v>
      </c>
      <c r="G2781">
        <f>230900742/10^6</f>
        <v>230.90074200000001</v>
      </c>
      <c r="H2781">
        <f>0</f>
        <v>0</v>
      </c>
      <c r="I2781">
        <f>-42903721/10^6</f>
        <v>-42.903720999999997</v>
      </c>
      <c r="J2781">
        <f>0</f>
        <v>0</v>
      </c>
    </row>
    <row r="2782" spans="1:10" x14ac:dyDescent="0.25">
      <c r="A2782" t="s">
        <v>2791</v>
      </c>
      <c r="B2782" t="s">
        <v>11</v>
      </c>
      <c r="C2782">
        <v>114.582320313</v>
      </c>
      <c r="D2782">
        <f>0</f>
        <v>0</v>
      </c>
      <c r="E2782">
        <f>687010925/10^6</f>
        <v>687.01092500000004</v>
      </c>
      <c r="F2782">
        <f>0</f>
        <v>0</v>
      </c>
      <c r="G2782">
        <f>230795151/10^6</f>
        <v>230.795151</v>
      </c>
      <c r="H2782">
        <f>0</f>
        <v>0</v>
      </c>
      <c r="I2782">
        <f>-43038223/10^6</f>
        <v>-43.038223000000002</v>
      </c>
      <c r="J2782">
        <f>0</f>
        <v>0</v>
      </c>
    </row>
    <row r="2783" spans="1:10" x14ac:dyDescent="0.25">
      <c r="A2783" t="s">
        <v>2792</v>
      </c>
      <c r="B2783" t="s">
        <v>11</v>
      </c>
      <c r="C2783">
        <v>114.373273438</v>
      </c>
      <c r="D2783">
        <f>0</f>
        <v>0</v>
      </c>
      <c r="E2783">
        <f>688129578/10^6</f>
        <v>688.12957800000004</v>
      </c>
      <c r="F2783">
        <f>0</f>
        <v>0</v>
      </c>
      <c r="G2783">
        <f>230654419/10^6</f>
        <v>230.65441899999999</v>
      </c>
      <c r="H2783">
        <f>0</f>
        <v>0</v>
      </c>
      <c r="I2783">
        <f>-43424873/10^6</f>
        <v>-43.424872999999998</v>
      </c>
      <c r="J2783">
        <f>0</f>
        <v>0</v>
      </c>
    </row>
    <row r="2784" spans="1:10" x14ac:dyDescent="0.25">
      <c r="A2784" t="s">
        <v>2793</v>
      </c>
      <c r="B2784" t="s">
        <v>11</v>
      </c>
      <c r="C2784">
        <v>114.28206249999999</v>
      </c>
      <c r="D2784">
        <f>0</f>
        <v>0</v>
      </c>
      <c r="E2784">
        <f>688856628/10^6</f>
        <v>688.856628</v>
      </c>
      <c r="F2784">
        <f>0</f>
        <v>0</v>
      </c>
      <c r="G2784">
        <f>230662796/10^6</f>
        <v>230.66279599999999</v>
      </c>
      <c r="H2784">
        <f>0</f>
        <v>0</v>
      </c>
      <c r="I2784">
        <f>-43727222/10^6</f>
        <v>-43.727221999999998</v>
      </c>
      <c r="J2784">
        <f>0</f>
        <v>0</v>
      </c>
    </row>
    <row r="2785" spans="1:10" x14ac:dyDescent="0.25">
      <c r="A2785" t="s">
        <v>2794</v>
      </c>
      <c r="B2785" t="s">
        <v>11</v>
      </c>
      <c r="C2785">
        <v>114.38128125</v>
      </c>
      <c r="D2785">
        <f>0</f>
        <v>0</v>
      </c>
      <c r="E2785">
        <f>688492676/10^6</f>
        <v>688.49267599999996</v>
      </c>
      <c r="F2785">
        <f>0</f>
        <v>0</v>
      </c>
      <c r="G2785">
        <f>230767792/10^6</f>
        <v>230.76779199999999</v>
      </c>
      <c r="H2785">
        <f>0</f>
        <v>0</v>
      </c>
      <c r="I2785">
        <f>-43764683/10^6</f>
        <v>-43.764682999999998</v>
      </c>
      <c r="J2785">
        <f>0</f>
        <v>0</v>
      </c>
    </row>
    <row r="2786" spans="1:10" x14ac:dyDescent="0.25">
      <c r="A2786" t="s">
        <v>2795</v>
      </c>
      <c r="B2786" t="s">
        <v>11</v>
      </c>
      <c r="C2786">
        <v>114.58199999999999</v>
      </c>
      <c r="D2786">
        <f>0</f>
        <v>0</v>
      </c>
      <c r="E2786">
        <f>68740979/10^5</f>
        <v>687.40979000000004</v>
      </c>
      <c r="F2786">
        <f>0</f>
        <v>0</v>
      </c>
      <c r="G2786">
        <f>230880264/10^6</f>
        <v>230.88026400000001</v>
      </c>
      <c r="H2786">
        <f>0</f>
        <v>0</v>
      </c>
      <c r="I2786">
        <f>-43529469/10^6</f>
        <v>-43.529468999999999</v>
      </c>
      <c r="J2786">
        <f>0</f>
        <v>0</v>
      </c>
    </row>
    <row r="2787" spans="1:10" x14ac:dyDescent="0.25">
      <c r="A2787" t="s">
        <v>2796</v>
      </c>
      <c r="B2787" t="s">
        <v>11</v>
      </c>
      <c r="C2787">
        <v>114.769226563</v>
      </c>
      <c r="D2787">
        <f>0</f>
        <v>0</v>
      </c>
      <c r="E2787">
        <f>686379272/10^6</f>
        <v>686.37927200000001</v>
      </c>
      <c r="F2787">
        <f>0</f>
        <v>0</v>
      </c>
      <c r="G2787">
        <f>230929871/10^6</f>
        <v>230.92987099999999</v>
      </c>
      <c r="H2787">
        <f>0</f>
        <v>0</v>
      </c>
      <c r="I2787">
        <f>-43423786/10^6</f>
        <v>-43.423786</v>
      </c>
      <c r="J2787">
        <f>0</f>
        <v>0</v>
      </c>
    </row>
    <row r="2788" spans="1:10" x14ac:dyDescent="0.25">
      <c r="A2788" t="s">
        <v>2797</v>
      </c>
      <c r="B2788" t="s">
        <v>11</v>
      </c>
      <c r="C2788">
        <v>114.97536718800001</v>
      </c>
      <c r="D2788">
        <f>0</f>
        <v>0</v>
      </c>
      <c r="E2788">
        <f>685172791/10^6</f>
        <v>685.17279099999996</v>
      </c>
      <c r="F2788">
        <f>0</f>
        <v>0</v>
      </c>
      <c r="G2788">
        <f>230971558/10^6</f>
        <v>230.97155799999999</v>
      </c>
      <c r="H2788">
        <f>0</f>
        <v>0</v>
      </c>
      <c r="I2788">
        <f>-43299984/10^6</f>
        <v>-43.299984000000002</v>
      </c>
      <c r="J2788">
        <f>0</f>
        <v>0</v>
      </c>
    </row>
    <row r="2789" spans="1:10" x14ac:dyDescent="0.25">
      <c r="A2789" t="s">
        <v>2798</v>
      </c>
      <c r="B2789" t="s">
        <v>11</v>
      </c>
      <c r="C2789">
        <v>115.21348437499999</v>
      </c>
      <c r="D2789">
        <f>0</f>
        <v>0</v>
      </c>
      <c r="E2789">
        <f>683899719/10^6</f>
        <v>683.899719</v>
      </c>
      <c r="F2789">
        <f>0</f>
        <v>0</v>
      </c>
      <c r="G2789">
        <f>231067673/10^6</f>
        <v>231.06767300000001</v>
      </c>
      <c r="H2789">
        <f>0</f>
        <v>0</v>
      </c>
      <c r="I2789">
        <f>-43024433/10^6</f>
        <v>-43.024433000000002</v>
      </c>
      <c r="J2789">
        <f>0</f>
        <v>0</v>
      </c>
    </row>
    <row r="2790" spans="1:10" x14ac:dyDescent="0.25">
      <c r="A2790" t="s">
        <v>2799</v>
      </c>
      <c r="B2790" t="s">
        <v>11</v>
      </c>
      <c r="C2790">
        <v>115.463609375</v>
      </c>
      <c r="D2790">
        <f>0</f>
        <v>0</v>
      </c>
      <c r="E2790">
        <f>682512939/10^6</f>
        <v>682.51293899999996</v>
      </c>
      <c r="F2790">
        <f>0</f>
        <v>0</v>
      </c>
      <c r="G2790">
        <f>231126343/10^6</f>
        <v>231.12634299999999</v>
      </c>
      <c r="H2790">
        <f>0</f>
        <v>0</v>
      </c>
      <c r="I2790">
        <f>-42901241/10^6</f>
        <v>-42.901240999999999</v>
      </c>
      <c r="J2790">
        <f>0</f>
        <v>0</v>
      </c>
    </row>
    <row r="2791" spans="1:10" x14ac:dyDescent="0.25">
      <c r="A2791" t="s">
        <v>2800</v>
      </c>
      <c r="B2791" t="s">
        <v>11</v>
      </c>
      <c r="C2791">
        <v>115.753203125</v>
      </c>
      <c r="D2791">
        <f>0</f>
        <v>0</v>
      </c>
      <c r="E2791">
        <f>680758972/10^6</f>
        <v>680.75897199999997</v>
      </c>
      <c r="F2791">
        <f>0</f>
        <v>0</v>
      </c>
      <c r="G2791">
        <f>231170746/10^6</f>
        <v>231.17074600000001</v>
      </c>
      <c r="H2791">
        <f>0</f>
        <v>0</v>
      </c>
      <c r="I2791">
        <f>-42686367/10^6</f>
        <v>-42.686366999999997</v>
      </c>
      <c r="J2791">
        <f>0</f>
        <v>0</v>
      </c>
    </row>
    <row r="2792" spans="1:10" x14ac:dyDescent="0.25">
      <c r="A2792" t="s">
        <v>2801</v>
      </c>
      <c r="B2792" t="s">
        <v>11</v>
      </c>
      <c r="C2792">
        <v>116.079015625</v>
      </c>
      <c r="D2792">
        <f>0</f>
        <v>0</v>
      </c>
      <c r="E2792">
        <f>679009644/10^6</f>
        <v>679.00964399999998</v>
      </c>
      <c r="F2792">
        <f>0</f>
        <v>0</v>
      </c>
      <c r="G2792">
        <f>231275085/10^6</f>
        <v>231.27508499999999</v>
      </c>
      <c r="H2792">
        <f>0</f>
        <v>0</v>
      </c>
      <c r="I2792">
        <f>-42463074/10^6</f>
        <v>-42.463073999999999</v>
      </c>
      <c r="J2792">
        <f>0</f>
        <v>0</v>
      </c>
    </row>
    <row r="2793" spans="1:10" x14ac:dyDescent="0.25">
      <c r="A2793" t="s">
        <v>2802</v>
      </c>
      <c r="B2793" t="s">
        <v>11</v>
      </c>
      <c r="C2793">
        <v>116.413382813</v>
      </c>
      <c r="D2793">
        <f>0</f>
        <v>0</v>
      </c>
      <c r="E2793">
        <f>677198669/10^6</f>
        <v>677.198669</v>
      </c>
      <c r="F2793">
        <f>0</f>
        <v>0</v>
      </c>
      <c r="G2793">
        <f>231370941/10^6</f>
        <v>231.37094099999999</v>
      </c>
      <c r="H2793">
        <f>0</f>
        <v>0</v>
      </c>
      <c r="I2793">
        <f>-42373798/10^6</f>
        <v>-42.373798000000001</v>
      </c>
      <c r="J2793">
        <f>0</f>
        <v>0</v>
      </c>
    </row>
    <row r="2794" spans="1:10" x14ac:dyDescent="0.25">
      <c r="A2794" t="s">
        <v>2803</v>
      </c>
      <c r="B2794" t="s">
        <v>11</v>
      </c>
      <c r="C2794">
        <v>116.79553125</v>
      </c>
      <c r="D2794">
        <f>0</f>
        <v>0</v>
      </c>
      <c r="E2794">
        <f>675086853/10^6</f>
        <v>675.08685300000002</v>
      </c>
      <c r="F2794">
        <f>0</f>
        <v>0</v>
      </c>
      <c r="G2794">
        <f>23144278/10^5</f>
        <v>231.44278</v>
      </c>
      <c r="H2794">
        <f>0</f>
        <v>0</v>
      </c>
      <c r="I2794">
        <f>-42162041/10^6</f>
        <v>-42.162041000000002</v>
      </c>
      <c r="J2794">
        <f>0</f>
        <v>0</v>
      </c>
    </row>
    <row r="2795" spans="1:10" x14ac:dyDescent="0.25">
      <c r="A2795" t="s">
        <v>2804</v>
      </c>
      <c r="B2795" t="s">
        <v>11</v>
      </c>
      <c r="C2795">
        <v>117.25591406300001</v>
      </c>
      <c r="D2795">
        <f>0</f>
        <v>0</v>
      </c>
      <c r="E2795">
        <f>672616272/10^6</f>
        <v>672.61627199999998</v>
      </c>
      <c r="F2795">
        <f>0</f>
        <v>0</v>
      </c>
      <c r="G2795">
        <f>231524948/10^6</f>
        <v>231.52494799999999</v>
      </c>
      <c r="H2795">
        <f>0</f>
        <v>0</v>
      </c>
      <c r="I2795">
        <f>-42026497/10^6</f>
        <v>-42.026496999999999</v>
      </c>
      <c r="J2795">
        <f>0</f>
        <v>0</v>
      </c>
    </row>
    <row r="2796" spans="1:10" x14ac:dyDescent="0.25">
      <c r="A2796" t="s">
        <v>2805</v>
      </c>
      <c r="B2796" t="s">
        <v>11</v>
      </c>
      <c r="C2796">
        <v>117.798140625</v>
      </c>
      <c r="D2796">
        <f>0</f>
        <v>0</v>
      </c>
      <c r="E2796">
        <f>669424561/10^6</f>
        <v>669.42456100000004</v>
      </c>
      <c r="F2796">
        <f>0</f>
        <v>0</v>
      </c>
      <c r="G2796">
        <f>231615356/10^6</f>
        <v>231.61535599999999</v>
      </c>
      <c r="H2796">
        <f>0</f>
        <v>0</v>
      </c>
      <c r="I2796">
        <f>-4161388/10^5</f>
        <v>-41.613880000000002</v>
      </c>
      <c r="J2796">
        <f>0</f>
        <v>0</v>
      </c>
    </row>
    <row r="2797" spans="1:10" x14ac:dyDescent="0.25">
      <c r="A2797" t="s">
        <v>2806</v>
      </c>
      <c r="B2797" t="s">
        <v>11</v>
      </c>
      <c r="C2797">
        <v>118.39996875</v>
      </c>
      <c r="D2797">
        <f>0</f>
        <v>0</v>
      </c>
      <c r="E2797">
        <f>665884033/10^6</f>
        <v>665.88403300000004</v>
      </c>
      <c r="F2797">
        <f>0</f>
        <v>0</v>
      </c>
      <c r="G2797">
        <f>23170282/10^5</f>
        <v>231.70282</v>
      </c>
      <c r="H2797">
        <f>0</f>
        <v>0</v>
      </c>
      <c r="I2797">
        <f>-40954464/10^6</f>
        <v>-40.954464000000002</v>
      </c>
      <c r="J2797">
        <f>0</f>
        <v>0</v>
      </c>
    </row>
    <row r="2798" spans="1:10" x14ac:dyDescent="0.25">
      <c r="A2798" t="s">
        <v>2807</v>
      </c>
      <c r="B2798" t="s">
        <v>11</v>
      </c>
      <c r="C2798">
        <v>118.992085938</v>
      </c>
      <c r="D2798">
        <f>0</f>
        <v>0</v>
      </c>
      <c r="E2798">
        <f>662607361/10^6</f>
        <v>662.60736099999997</v>
      </c>
      <c r="F2798">
        <f>0</f>
        <v>0</v>
      </c>
      <c r="G2798">
        <f>231787964/10^6</f>
        <v>231.78796399999999</v>
      </c>
      <c r="H2798">
        <f>0</f>
        <v>0</v>
      </c>
      <c r="I2798">
        <f>-40661583/10^6</f>
        <v>-40.661583</v>
      </c>
      <c r="J2798">
        <f>0</f>
        <v>0</v>
      </c>
    </row>
    <row r="2799" spans="1:10" x14ac:dyDescent="0.25">
      <c r="A2799" t="s">
        <v>2808</v>
      </c>
      <c r="B2799" t="s">
        <v>11</v>
      </c>
      <c r="C2799">
        <v>119.547859375</v>
      </c>
      <c r="D2799">
        <f>0</f>
        <v>0</v>
      </c>
      <c r="E2799">
        <f>659507874/10^6</f>
        <v>659.50787400000002</v>
      </c>
      <c r="F2799">
        <f>0</f>
        <v>0</v>
      </c>
      <c r="G2799">
        <f>231866226/10^6</f>
        <v>231.86622600000001</v>
      </c>
      <c r="H2799">
        <f>0</f>
        <v>0</v>
      </c>
      <c r="I2799">
        <f>-40439411/10^6</f>
        <v>-40.439411</v>
      </c>
      <c r="J2799">
        <f>0</f>
        <v>0</v>
      </c>
    </row>
    <row r="2800" spans="1:10" x14ac:dyDescent="0.25">
      <c r="A2800" t="s">
        <v>2809</v>
      </c>
      <c r="B2800" t="s">
        <v>11</v>
      </c>
      <c r="C2800">
        <v>120.02821874999999</v>
      </c>
      <c r="D2800">
        <f>0</f>
        <v>0</v>
      </c>
      <c r="E2800">
        <f>656837524/10^6</f>
        <v>656.83752400000003</v>
      </c>
      <c r="F2800">
        <f>0</f>
        <v>0</v>
      </c>
      <c r="G2800">
        <f>231927109/10^6</f>
        <v>231.927109</v>
      </c>
      <c r="H2800">
        <f>0</f>
        <v>0</v>
      </c>
      <c r="I2800">
        <f>-4012468/10^5</f>
        <v>-40.124679999999998</v>
      </c>
      <c r="J2800">
        <f>0</f>
        <v>0</v>
      </c>
    </row>
    <row r="2801" spans="1:10" x14ac:dyDescent="0.25">
      <c r="A2801" t="s">
        <v>2810</v>
      </c>
      <c r="B2801" t="s">
        <v>11</v>
      </c>
      <c r="C2801">
        <v>120.386109375</v>
      </c>
      <c r="D2801">
        <f>0</f>
        <v>0</v>
      </c>
      <c r="E2801">
        <f>654791992/10^6</f>
        <v>654.79199200000005</v>
      </c>
      <c r="F2801">
        <f>0</f>
        <v>0</v>
      </c>
      <c r="G2801">
        <f>231975037/10^6</f>
        <v>231.97503699999999</v>
      </c>
      <c r="H2801">
        <f>0</f>
        <v>0</v>
      </c>
      <c r="I2801">
        <f>-3980312/10^5</f>
        <v>-39.80312</v>
      </c>
      <c r="J2801">
        <f>0</f>
        <v>0</v>
      </c>
    </row>
    <row r="2802" spans="1:10" x14ac:dyDescent="0.25">
      <c r="A2802" t="s">
        <v>2811</v>
      </c>
      <c r="B2802" t="s">
        <v>11</v>
      </c>
      <c r="C2802">
        <v>120.619320313</v>
      </c>
      <c r="D2802">
        <f>0</f>
        <v>0</v>
      </c>
      <c r="E2802">
        <f>653480347/10^6</f>
        <v>653.48034700000005</v>
      </c>
      <c r="F2802">
        <f>0</f>
        <v>0</v>
      </c>
      <c r="G2802">
        <f>232019211/10^6</f>
        <v>232.01921100000001</v>
      </c>
      <c r="H2802">
        <f>0</f>
        <v>0</v>
      </c>
      <c r="I2802">
        <f>-39605728/10^6</f>
        <v>-39.605727999999999</v>
      </c>
      <c r="J2802">
        <f>0</f>
        <v>0</v>
      </c>
    </row>
    <row r="2803" spans="1:10" x14ac:dyDescent="0.25">
      <c r="A2803" t="s">
        <v>2812</v>
      </c>
      <c r="B2803" t="s">
        <v>11</v>
      </c>
      <c r="C2803">
        <v>120.73624218800001</v>
      </c>
      <c r="D2803">
        <f>0</f>
        <v>0</v>
      </c>
      <c r="E2803">
        <f>652909729/10^6</f>
        <v>652.90972899999997</v>
      </c>
      <c r="F2803">
        <f>0</f>
        <v>0</v>
      </c>
      <c r="G2803">
        <f>232044235/10^6</f>
        <v>232.04423499999999</v>
      </c>
      <c r="H2803">
        <f>0</f>
        <v>0</v>
      </c>
      <c r="I2803">
        <f>-39557281/10^6</f>
        <v>-39.557281000000003</v>
      </c>
      <c r="J2803">
        <f>0</f>
        <v>0</v>
      </c>
    </row>
    <row r="2804" spans="1:10" x14ac:dyDescent="0.25">
      <c r="A2804" t="s">
        <v>2813</v>
      </c>
      <c r="B2804" t="s">
        <v>11</v>
      </c>
      <c r="C2804">
        <v>120.78075</v>
      </c>
      <c r="D2804">
        <f>0</f>
        <v>0</v>
      </c>
      <c r="E2804">
        <f>652657043/10^6</f>
        <v>652.65704300000004</v>
      </c>
      <c r="F2804">
        <f>0</f>
        <v>0</v>
      </c>
      <c r="G2804">
        <f>23206134/10^5</f>
        <v>232.06134</v>
      </c>
      <c r="H2804">
        <f>0</f>
        <v>0</v>
      </c>
      <c r="I2804">
        <f>-39505428/10^6</f>
        <v>-39.505428000000002</v>
      </c>
      <c r="J2804">
        <f>0</f>
        <v>0</v>
      </c>
    </row>
    <row r="2805" spans="1:10" x14ac:dyDescent="0.25">
      <c r="A2805" t="s">
        <v>2814</v>
      </c>
      <c r="B2805" t="s">
        <v>11</v>
      </c>
      <c r="C2805">
        <v>120.796609375</v>
      </c>
      <c r="D2805">
        <f>0</f>
        <v>0</v>
      </c>
      <c r="E2805">
        <f>652689697/10^6</f>
        <v>652.68969700000002</v>
      </c>
      <c r="F2805">
        <f>0</f>
        <v>0</v>
      </c>
      <c r="G2805">
        <f>23209169/10^5</f>
        <v>232.09169</v>
      </c>
      <c r="H2805">
        <f>0</f>
        <v>0</v>
      </c>
      <c r="I2805">
        <f>-39505108/10^6</f>
        <v>-39.505108</v>
      </c>
      <c r="J2805">
        <f>0</f>
        <v>0</v>
      </c>
    </row>
    <row r="2806" spans="1:10" x14ac:dyDescent="0.25">
      <c r="A2806" t="s">
        <v>2815</v>
      </c>
      <c r="B2806" t="s">
        <v>11</v>
      </c>
      <c r="C2806">
        <v>120.77615625</v>
      </c>
      <c r="D2806">
        <f>0</f>
        <v>0</v>
      </c>
      <c r="E2806">
        <f>652896729/10^6</f>
        <v>652.89672900000005</v>
      </c>
      <c r="F2806">
        <f>0</f>
        <v>0</v>
      </c>
      <c r="G2806">
        <f>232112717/10^6</f>
        <v>232.112717</v>
      </c>
      <c r="H2806">
        <f>0</f>
        <v>0</v>
      </c>
      <c r="I2806">
        <f>-39457344/10^6</f>
        <v>-39.457343999999999</v>
      </c>
      <c r="J2806">
        <f>0</f>
        <v>0</v>
      </c>
    </row>
    <row r="2807" spans="1:10" x14ac:dyDescent="0.25">
      <c r="A2807" t="s">
        <v>2816</v>
      </c>
      <c r="B2807" t="s">
        <v>11</v>
      </c>
      <c r="C2807">
        <v>120.689390625</v>
      </c>
      <c r="D2807">
        <f>0</f>
        <v>0</v>
      </c>
      <c r="E2807">
        <f>653332275/10^6</f>
        <v>653.33227499999998</v>
      </c>
      <c r="F2807">
        <f>0</f>
        <v>0</v>
      </c>
      <c r="G2807">
        <f>232114532/10^6</f>
        <v>232.114532</v>
      </c>
      <c r="H2807">
        <f>0</f>
        <v>0</v>
      </c>
      <c r="I2807">
        <f>-39390213/10^6</f>
        <v>-39.390213000000003</v>
      </c>
      <c r="J2807">
        <f>0</f>
        <v>0</v>
      </c>
    </row>
    <row r="2808" spans="1:10" x14ac:dyDescent="0.25">
      <c r="A2808" t="s">
        <v>2817</v>
      </c>
      <c r="B2808" t="s">
        <v>11</v>
      </c>
      <c r="C2808">
        <v>120.514382813</v>
      </c>
      <c r="D2808">
        <f>0</f>
        <v>0</v>
      </c>
      <c r="E2808">
        <f>654344666/10^6</f>
        <v>654.34466599999996</v>
      </c>
      <c r="F2808">
        <f>0</f>
        <v>0</v>
      </c>
      <c r="G2808">
        <f>232102234/10^6</f>
        <v>232.10223400000001</v>
      </c>
      <c r="H2808">
        <f>0</f>
        <v>0</v>
      </c>
      <c r="I2808">
        <f>-39418095/10^6</f>
        <v>-39.418095000000001</v>
      </c>
      <c r="J2808">
        <f>0</f>
        <v>0</v>
      </c>
    </row>
    <row r="2809" spans="1:10" x14ac:dyDescent="0.25">
      <c r="A2809" t="s">
        <v>2818</v>
      </c>
      <c r="B2809" t="s">
        <v>11</v>
      </c>
      <c r="C2809">
        <v>120.26225781300001</v>
      </c>
      <c r="D2809">
        <f>0</f>
        <v>0</v>
      </c>
      <c r="E2809">
        <f>655704712/10^6</f>
        <v>655.70471199999997</v>
      </c>
      <c r="F2809">
        <f>0</f>
        <v>0</v>
      </c>
      <c r="G2809">
        <f>232065643/10^6</f>
        <v>232.06564299999999</v>
      </c>
      <c r="H2809">
        <f>0</f>
        <v>0</v>
      </c>
      <c r="I2809">
        <f>-39518177/10^6</f>
        <v>-39.518177000000001</v>
      </c>
      <c r="J2809">
        <f>0</f>
        <v>0</v>
      </c>
    </row>
    <row r="2810" spans="1:10" x14ac:dyDescent="0.25">
      <c r="A2810" t="s">
        <v>2819</v>
      </c>
      <c r="B2810" t="s">
        <v>11</v>
      </c>
      <c r="C2810">
        <v>119.96275</v>
      </c>
      <c r="D2810">
        <f>0</f>
        <v>0</v>
      </c>
      <c r="E2810">
        <f>657336243/10^6</f>
        <v>657.33624299999997</v>
      </c>
      <c r="F2810">
        <f>0</f>
        <v>0</v>
      </c>
      <c r="G2810">
        <f>23201181/10^5</f>
        <v>232.01181</v>
      </c>
      <c r="H2810">
        <f>0</f>
        <v>0</v>
      </c>
      <c r="I2810">
        <f>-39700893/10^6</f>
        <v>-39.700893000000001</v>
      </c>
      <c r="J2810">
        <f>0</f>
        <v>0</v>
      </c>
    </row>
    <row r="2811" spans="1:10" x14ac:dyDescent="0.25">
      <c r="A2811" t="s">
        <v>2820</v>
      </c>
      <c r="B2811" t="s">
        <v>11</v>
      </c>
      <c r="C2811">
        <v>0</v>
      </c>
      <c r="D2811">
        <f>2</f>
        <v>2</v>
      </c>
      <c r="F2811">
        <f>2</f>
        <v>2</v>
      </c>
      <c r="H2811">
        <f>2</f>
        <v>2</v>
      </c>
      <c r="J2811">
        <f>2</f>
        <v>2</v>
      </c>
    </row>
    <row r="2812" spans="1:10" x14ac:dyDescent="0.25">
      <c r="A2812" t="s">
        <v>2821</v>
      </c>
      <c r="B2812" t="s">
        <v>11</v>
      </c>
      <c r="C2812">
        <v>119.25375</v>
      </c>
      <c r="D2812">
        <f>0</f>
        <v>0</v>
      </c>
      <c r="E2812">
        <f>66114093/10^5</f>
        <v>661.14093000000003</v>
      </c>
      <c r="F2812">
        <f>0</f>
        <v>0</v>
      </c>
      <c r="G2812">
        <f>231889023/10^6</f>
        <v>231.88902300000001</v>
      </c>
      <c r="H2812">
        <f>0</f>
        <v>0</v>
      </c>
      <c r="I2812">
        <f>-39986446/10^6</f>
        <v>-39.986446000000001</v>
      </c>
      <c r="J2812">
        <f>0</f>
        <v>0</v>
      </c>
    </row>
    <row r="2813" spans="1:10" x14ac:dyDescent="0.25">
      <c r="A2813" t="s">
        <v>2822</v>
      </c>
      <c r="B2813" t="s">
        <v>11</v>
      </c>
      <c r="C2813">
        <v>118.86466406300001</v>
      </c>
      <c r="D2813">
        <f>0</f>
        <v>0</v>
      </c>
      <c r="E2813">
        <f>663255005/10^6</f>
        <v>663.25500499999998</v>
      </c>
      <c r="F2813">
        <f>0</f>
        <v>0</v>
      </c>
      <c r="G2813">
        <f>231809402/10^6</f>
        <v>231.80940200000001</v>
      </c>
      <c r="H2813">
        <f>0</f>
        <v>0</v>
      </c>
      <c r="I2813">
        <f>-40076668/10^6</f>
        <v>-40.076667999999998</v>
      </c>
      <c r="J2813">
        <f>0</f>
        <v>0</v>
      </c>
    </row>
    <row r="2814" spans="1:10" x14ac:dyDescent="0.25">
      <c r="A2814" t="s">
        <v>2823</v>
      </c>
      <c r="B2814" t="s">
        <v>11</v>
      </c>
      <c r="C2814">
        <v>118.42037500000001</v>
      </c>
      <c r="D2814">
        <f>0</f>
        <v>0</v>
      </c>
      <c r="E2814">
        <f>665672791/10^6</f>
        <v>665.67279099999996</v>
      </c>
      <c r="F2814">
        <f>0</f>
        <v>0</v>
      </c>
      <c r="G2814">
        <f>231713837/10^6</f>
        <v>231.71383700000001</v>
      </c>
      <c r="H2814">
        <f>0</f>
        <v>0</v>
      </c>
      <c r="I2814">
        <f>-40407993/10^6</f>
        <v>-40.407992999999998</v>
      </c>
      <c r="J2814">
        <f>0</f>
        <v>0</v>
      </c>
    </row>
    <row r="2815" spans="1:10" x14ac:dyDescent="0.25">
      <c r="A2815" t="s">
        <v>2824</v>
      </c>
      <c r="B2815" t="s">
        <v>11</v>
      </c>
      <c r="C2815">
        <v>117.90575</v>
      </c>
      <c r="D2815">
        <f>0</f>
        <v>0</v>
      </c>
      <c r="E2815">
        <f>668401733/10^6</f>
        <v>668.40173300000004</v>
      </c>
      <c r="F2815">
        <f>0</f>
        <v>0</v>
      </c>
      <c r="G2815">
        <f>231615067/10^6</f>
        <v>231.61506700000001</v>
      </c>
      <c r="H2815">
        <f>0</f>
        <v>0</v>
      </c>
      <c r="I2815">
        <f>-40605473/10^6</f>
        <v>-40.605473000000003</v>
      </c>
      <c r="J2815">
        <f>0</f>
        <v>0</v>
      </c>
    </row>
    <row r="2816" spans="1:10" x14ac:dyDescent="0.25">
      <c r="A2816" t="s">
        <v>2825</v>
      </c>
      <c r="B2816" t="s">
        <v>11</v>
      </c>
      <c r="C2816">
        <v>117.322523438</v>
      </c>
      <c r="D2816">
        <f>0</f>
        <v>0</v>
      </c>
      <c r="E2816">
        <f>671672546/10^6</f>
        <v>671.67254600000001</v>
      </c>
      <c r="F2816">
        <f>0</f>
        <v>0</v>
      </c>
      <c r="G2816">
        <f>231495621/10^6</f>
        <v>231.495621</v>
      </c>
      <c r="H2816">
        <f>0</f>
        <v>0</v>
      </c>
      <c r="I2816">
        <f>-40888691/10^6</f>
        <v>-40.888691000000001</v>
      </c>
      <c r="J2816">
        <f>0</f>
        <v>0</v>
      </c>
    </row>
    <row r="2817" spans="1:10" x14ac:dyDescent="0.25">
      <c r="A2817" t="s">
        <v>2826</v>
      </c>
      <c r="B2817" t="s">
        <v>11</v>
      </c>
      <c r="C2817">
        <v>116.67633593800001</v>
      </c>
      <c r="D2817">
        <f>0</f>
        <v>0</v>
      </c>
      <c r="E2817">
        <f>675360046/10^6</f>
        <v>675.36004600000001</v>
      </c>
      <c r="F2817">
        <f>0</f>
        <v>0</v>
      </c>
      <c r="G2817">
        <f>231366013/10^6</f>
        <v>231.36601300000001</v>
      </c>
      <c r="H2817">
        <f>0</f>
        <v>0</v>
      </c>
      <c r="I2817">
        <f>-41417915/10^6</f>
        <v>-41.417915000000001</v>
      </c>
      <c r="J2817">
        <f>0</f>
        <v>0</v>
      </c>
    </row>
    <row r="2818" spans="1:10" x14ac:dyDescent="0.25">
      <c r="A2818" t="s">
        <v>2827</v>
      </c>
      <c r="B2818" t="s">
        <v>11</v>
      </c>
      <c r="C2818">
        <v>115.95567187499999</v>
      </c>
      <c r="D2818">
        <f>0</f>
        <v>0</v>
      </c>
      <c r="E2818">
        <f>679470581/10^6</f>
        <v>679.47058100000004</v>
      </c>
      <c r="F2818">
        <f>0</f>
        <v>0</v>
      </c>
      <c r="G2818">
        <f>231212982/10^6</f>
        <v>231.21298200000001</v>
      </c>
      <c r="H2818">
        <f>0</f>
        <v>0</v>
      </c>
      <c r="I2818">
        <f>-4205397/10^5</f>
        <v>-42.05397</v>
      </c>
      <c r="J2818">
        <f>0</f>
        <v>0</v>
      </c>
    </row>
    <row r="2819" spans="1:10" x14ac:dyDescent="0.25">
      <c r="A2819" t="s">
        <v>2828</v>
      </c>
      <c r="B2819" t="s">
        <v>11</v>
      </c>
      <c r="C2819">
        <v>115.28011718800001</v>
      </c>
      <c r="D2819">
        <f>0</f>
        <v>0</v>
      </c>
      <c r="E2819">
        <f>682982971/10^6</f>
        <v>682.98297100000002</v>
      </c>
      <c r="F2819">
        <f>0</f>
        <v>0</v>
      </c>
      <c r="G2819">
        <f>230941803/10^6</f>
        <v>230.94180299999999</v>
      </c>
      <c r="H2819">
        <f>0</f>
        <v>0</v>
      </c>
      <c r="I2819">
        <f>-42679928/10^6</f>
        <v>-42.679927999999997</v>
      </c>
      <c r="J2819">
        <f>0</f>
        <v>0</v>
      </c>
    </row>
    <row r="2820" spans="1:10" x14ac:dyDescent="0.25">
      <c r="A2820" t="s">
        <v>2829</v>
      </c>
      <c r="B2820" t="s">
        <v>11</v>
      </c>
      <c r="C2820">
        <v>0</v>
      </c>
      <c r="D2820">
        <f>2</f>
        <v>2</v>
      </c>
      <c r="F2820">
        <f>2</f>
        <v>2</v>
      </c>
      <c r="H2820">
        <f>2</f>
        <v>2</v>
      </c>
      <c r="J2820">
        <f>2</f>
        <v>2</v>
      </c>
    </row>
    <row r="2821" spans="1:10" x14ac:dyDescent="0.25">
      <c r="A2821" t="s">
        <v>2830</v>
      </c>
      <c r="B2821" t="s">
        <v>11</v>
      </c>
      <c r="C2821">
        <v>114.512460938</v>
      </c>
      <c r="D2821">
        <f>0</f>
        <v>0</v>
      </c>
      <c r="E2821">
        <f>687101501/10^6</f>
        <v>687.10150099999998</v>
      </c>
      <c r="F2821">
        <f>0</f>
        <v>0</v>
      </c>
      <c r="G2821">
        <f>230663818/10^6</f>
        <v>230.66381799999999</v>
      </c>
      <c r="H2821">
        <f>0</f>
        <v>0</v>
      </c>
      <c r="I2821">
        <f>-43115791/10^6</f>
        <v>-43.115791000000002</v>
      </c>
      <c r="J2821">
        <f>0</f>
        <v>0</v>
      </c>
    </row>
    <row r="2822" spans="1:10" x14ac:dyDescent="0.25">
      <c r="A2822" t="s">
        <v>2831</v>
      </c>
      <c r="B2822" t="s">
        <v>11</v>
      </c>
      <c r="C2822">
        <v>114.274148438</v>
      </c>
      <c r="D2822">
        <f>0</f>
        <v>0</v>
      </c>
      <c r="E2822">
        <f>688646301/10^6</f>
        <v>688.64630099999999</v>
      </c>
      <c r="F2822">
        <f>0</f>
        <v>0</v>
      </c>
      <c r="G2822">
        <f>23058931/10^5</f>
        <v>230.58931000000001</v>
      </c>
      <c r="H2822">
        <f>0</f>
        <v>0</v>
      </c>
      <c r="I2822">
        <f>-4370002/10^5</f>
        <v>-43.700020000000002</v>
      </c>
      <c r="J2822">
        <f>0</f>
        <v>0</v>
      </c>
    </row>
    <row r="2823" spans="1:10" x14ac:dyDescent="0.25">
      <c r="A2823" t="s">
        <v>2832</v>
      </c>
      <c r="B2823" t="s">
        <v>11</v>
      </c>
      <c r="C2823">
        <v>114.404296875</v>
      </c>
      <c r="D2823">
        <f>0</f>
        <v>0</v>
      </c>
      <c r="E2823">
        <f>687645935/10^6</f>
        <v>687.64593500000001</v>
      </c>
      <c r="F2823">
        <f>0</f>
        <v>0</v>
      </c>
      <c r="G2823">
        <f>230483353/10^6</f>
        <v>230.48335299999999</v>
      </c>
      <c r="H2823">
        <f>0</f>
        <v>0</v>
      </c>
      <c r="I2823">
        <f>-43975574/10^6</f>
        <v>-43.975574000000002</v>
      </c>
      <c r="J2823">
        <f>0</f>
        <v>0</v>
      </c>
    </row>
    <row r="2824" spans="1:10" x14ac:dyDescent="0.25">
      <c r="A2824" t="s">
        <v>2833</v>
      </c>
      <c r="B2824" t="s">
        <v>11</v>
      </c>
      <c r="C2824">
        <v>114.750867188</v>
      </c>
      <c r="D2824">
        <f>0</f>
        <v>0</v>
      </c>
      <c r="E2824">
        <f>685596069/10^6</f>
        <v>685.59606900000006</v>
      </c>
      <c r="F2824">
        <f>0</f>
        <v>0</v>
      </c>
      <c r="G2824">
        <f>230637894/10^6</f>
        <v>230.63789399999999</v>
      </c>
      <c r="H2824">
        <f>0</f>
        <v>0</v>
      </c>
      <c r="I2824">
        <f>-43331657/10^6</f>
        <v>-43.331657</v>
      </c>
      <c r="J2824">
        <f>0</f>
        <v>0</v>
      </c>
    </row>
    <row r="2825" spans="1:10" x14ac:dyDescent="0.25">
      <c r="A2825" t="s">
        <v>2834</v>
      </c>
      <c r="B2825" t="s">
        <v>11</v>
      </c>
      <c r="C2825">
        <v>115.02082812499999</v>
      </c>
      <c r="D2825">
        <f>0</f>
        <v>0</v>
      </c>
      <c r="E2825">
        <f>684354248/10^6</f>
        <v>684.35424799999998</v>
      </c>
      <c r="F2825">
        <f>0</f>
        <v>0</v>
      </c>
      <c r="G2825">
        <f>230846436/10^6</f>
        <v>230.84643600000001</v>
      </c>
      <c r="H2825">
        <f>0</f>
        <v>0</v>
      </c>
      <c r="I2825">
        <f>-43032383/10^6</f>
        <v>-43.032383000000003</v>
      </c>
      <c r="J2825">
        <f>0</f>
        <v>0</v>
      </c>
    </row>
    <row r="2826" spans="1:10" x14ac:dyDescent="0.25">
      <c r="A2826" t="s">
        <v>2835</v>
      </c>
      <c r="B2826" t="s">
        <v>11</v>
      </c>
      <c r="C2826">
        <v>0</v>
      </c>
      <c r="D2826">
        <f>2</f>
        <v>2</v>
      </c>
      <c r="F2826">
        <f>2</f>
        <v>2</v>
      </c>
      <c r="H2826">
        <f>2</f>
        <v>2</v>
      </c>
      <c r="J2826">
        <f>2</f>
        <v>2</v>
      </c>
    </row>
    <row r="2827" spans="1:10" x14ac:dyDescent="0.25">
      <c r="A2827" t="s">
        <v>2836</v>
      </c>
      <c r="B2827" t="s">
        <v>11</v>
      </c>
      <c r="C2827">
        <v>115.479265625</v>
      </c>
      <c r="D2827">
        <f>0</f>
        <v>0</v>
      </c>
      <c r="E2827">
        <f>682380066/10^6</f>
        <v>682.38006600000006</v>
      </c>
      <c r="F2827">
        <f>0</f>
        <v>0</v>
      </c>
      <c r="G2827">
        <f>231113342/10^6</f>
        <v>231.11334199999999</v>
      </c>
      <c r="H2827">
        <f>0</f>
        <v>0</v>
      </c>
      <c r="I2827">
        <f>-42941921/10^6</f>
        <v>-42.941921000000001</v>
      </c>
      <c r="J2827">
        <f>0</f>
        <v>0</v>
      </c>
    </row>
    <row r="2828" spans="1:10" x14ac:dyDescent="0.25">
      <c r="A2828" t="s">
        <v>2837</v>
      </c>
      <c r="B2828" t="s">
        <v>11</v>
      </c>
      <c r="C2828">
        <v>115.684453125</v>
      </c>
      <c r="D2828">
        <f>0</f>
        <v>0</v>
      </c>
      <c r="E2828">
        <f>681272522/10^6</f>
        <v>681.27252199999998</v>
      </c>
      <c r="F2828">
        <f>0</f>
        <v>0</v>
      </c>
      <c r="G2828">
        <f>231177444/10^6</f>
        <v>231.17744400000001</v>
      </c>
      <c r="H2828">
        <f>0</f>
        <v>0</v>
      </c>
      <c r="I2828">
        <f>-42827385/10^6</f>
        <v>-42.827385</v>
      </c>
      <c r="J2828">
        <f>0</f>
        <v>0</v>
      </c>
    </row>
    <row r="2829" spans="1:10" x14ac:dyDescent="0.25">
      <c r="A2829" t="s">
        <v>2838</v>
      </c>
      <c r="B2829" t="s">
        <v>11</v>
      </c>
      <c r="C2829">
        <v>115.883945313</v>
      </c>
      <c r="D2829">
        <f>0</f>
        <v>0</v>
      </c>
      <c r="E2829">
        <f>680127869/10^6</f>
        <v>680.12786900000003</v>
      </c>
      <c r="F2829">
        <f>0</f>
        <v>0</v>
      </c>
      <c r="G2829">
        <f>231255798/10^6</f>
        <v>231.255798</v>
      </c>
      <c r="H2829">
        <f>0</f>
        <v>0</v>
      </c>
      <c r="I2829">
        <f>-42438713/10^6</f>
        <v>-42.438713</v>
      </c>
      <c r="J2829">
        <f>0</f>
        <v>0</v>
      </c>
    </row>
    <row r="2830" spans="1:10" x14ac:dyDescent="0.25">
      <c r="A2830" t="s">
        <v>2839</v>
      </c>
      <c r="B2830" t="s">
        <v>11</v>
      </c>
      <c r="C2830">
        <v>116.0779375</v>
      </c>
      <c r="D2830">
        <f>0</f>
        <v>0</v>
      </c>
      <c r="E2830">
        <f>679178772/10^6</f>
        <v>679.17877199999998</v>
      </c>
      <c r="F2830">
        <f>0</f>
        <v>0</v>
      </c>
      <c r="G2830">
        <f>231348694/10^6</f>
        <v>231.34869399999999</v>
      </c>
      <c r="H2830">
        <f>0</f>
        <v>0</v>
      </c>
      <c r="I2830">
        <f>-42257496/10^6</f>
        <v>-42.257496000000003</v>
      </c>
      <c r="J2830">
        <f>0</f>
        <v>0</v>
      </c>
    </row>
    <row r="2831" spans="1:10" x14ac:dyDescent="0.25">
      <c r="A2831" t="s">
        <v>2840</v>
      </c>
      <c r="B2831" t="s">
        <v>11</v>
      </c>
      <c r="C2831">
        <v>116.2985625</v>
      </c>
      <c r="D2831">
        <f>0</f>
        <v>0</v>
      </c>
      <c r="E2831">
        <f>677996948/10^6</f>
        <v>677.99694799999997</v>
      </c>
      <c r="F2831">
        <f>0</f>
        <v>0</v>
      </c>
      <c r="G2831">
        <f>231361542/10^6</f>
        <v>231.36154199999999</v>
      </c>
      <c r="H2831">
        <f>0</f>
        <v>0</v>
      </c>
      <c r="I2831">
        <f>-42403969/10^6</f>
        <v>-42.403968999999996</v>
      </c>
      <c r="J2831">
        <f>0</f>
        <v>0</v>
      </c>
    </row>
    <row r="2832" spans="1:10" x14ac:dyDescent="0.25">
      <c r="A2832" t="s">
        <v>2841</v>
      </c>
      <c r="B2832" t="s">
        <v>11</v>
      </c>
      <c r="C2832">
        <v>116.56625</v>
      </c>
      <c r="D2832">
        <f>0</f>
        <v>0</v>
      </c>
      <c r="E2832">
        <f>67639978/10^5</f>
        <v>676.39977999999996</v>
      </c>
      <c r="F2832">
        <f>0</f>
        <v>0</v>
      </c>
      <c r="G2832">
        <f>231400345/10^6</f>
        <v>231.40034499999999</v>
      </c>
      <c r="H2832">
        <f>0</f>
        <v>0</v>
      </c>
      <c r="I2832">
        <f>-42259632/10^6</f>
        <v>-42.259632000000003</v>
      </c>
      <c r="J2832">
        <f>0</f>
        <v>0</v>
      </c>
    </row>
    <row r="2833" spans="1:10" x14ac:dyDescent="0.25">
      <c r="A2833" t="s">
        <v>2842</v>
      </c>
      <c r="B2833" t="s">
        <v>11</v>
      </c>
      <c r="C2833">
        <v>116.860539063</v>
      </c>
      <c r="D2833">
        <f>0</f>
        <v>0</v>
      </c>
      <c r="E2833">
        <f>674823608/10^6</f>
        <v>674.82360800000004</v>
      </c>
      <c r="F2833">
        <f>0</f>
        <v>0</v>
      </c>
      <c r="G2833">
        <f>231496338/10^6</f>
        <v>231.49633800000001</v>
      </c>
      <c r="H2833">
        <f>0</f>
        <v>0</v>
      </c>
      <c r="I2833">
        <f>-42055508/10^6</f>
        <v>-42.055508000000003</v>
      </c>
      <c r="J2833">
        <f>0</f>
        <v>0</v>
      </c>
    </row>
    <row r="2834" spans="1:10" x14ac:dyDescent="0.25">
      <c r="A2834" t="s">
        <v>2843</v>
      </c>
      <c r="B2834" t="s">
        <v>11</v>
      </c>
      <c r="C2834">
        <v>117.18553125</v>
      </c>
      <c r="D2834">
        <f>0</f>
        <v>0</v>
      </c>
      <c r="E2834">
        <f>673073364/10^6</f>
        <v>673.07336399999997</v>
      </c>
      <c r="F2834">
        <f>0</f>
        <v>0</v>
      </c>
      <c r="G2834">
        <f>231570908/10^6</f>
        <v>231.570908</v>
      </c>
      <c r="H2834">
        <f>0</f>
        <v>0</v>
      </c>
      <c r="I2834">
        <f>-41876099/10^6</f>
        <v>-41.876099000000004</v>
      </c>
      <c r="J2834">
        <f>0</f>
        <v>0</v>
      </c>
    </row>
    <row r="2835" spans="1:10" x14ac:dyDescent="0.25">
      <c r="A2835" t="s">
        <v>2844</v>
      </c>
      <c r="B2835" t="s">
        <v>11</v>
      </c>
      <c r="C2835">
        <v>117.53039843800001</v>
      </c>
      <c r="D2835">
        <f>0</f>
        <v>0</v>
      </c>
      <c r="E2835">
        <f>671072571/10^6</f>
        <v>671.07257100000004</v>
      </c>
      <c r="F2835">
        <f>0</f>
        <v>0</v>
      </c>
      <c r="G2835">
        <f>231638229/10^6</f>
        <v>231.638229</v>
      </c>
      <c r="H2835">
        <f>0</f>
        <v>0</v>
      </c>
      <c r="I2835">
        <f>-41601974/10^6</f>
        <v>-41.601973999999998</v>
      </c>
      <c r="J2835">
        <f>0</f>
        <v>0</v>
      </c>
    </row>
    <row r="2836" spans="1:10" x14ac:dyDescent="0.25">
      <c r="A2836" t="s">
        <v>2845</v>
      </c>
      <c r="B2836" t="s">
        <v>11</v>
      </c>
      <c r="C2836">
        <v>117.86621875</v>
      </c>
      <c r="D2836">
        <f>0</f>
        <v>0</v>
      </c>
      <c r="E2836">
        <f>66912439/10^5</f>
        <v>669.12438999999995</v>
      </c>
      <c r="F2836">
        <f>0</f>
        <v>0</v>
      </c>
      <c r="G2836">
        <f>231704117/10^6</f>
        <v>231.704117</v>
      </c>
      <c r="H2836">
        <f>0</f>
        <v>0</v>
      </c>
      <c r="I2836">
        <f>-41290833/10^6</f>
        <v>-41.290832999999999</v>
      </c>
      <c r="J2836">
        <f>0</f>
        <v>0</v>
      </c>
    </row>
    <row r="2837" spans="1:10" x14ac:dyDescent="0.25">
      <c r="A2837" t="s">
        <v>2846</v>
      </c>
      <c r="B2837" t="s">
        <v>11</v>
      </c>
      <c r="C2837">
        <v>118.186898438</v>
      </c>
      <c r="D2837">
        <f>0</f>
        <v>0</v>
      </c>
      <c r="E2837">
        <f>667350281/10^6</f>
        <v>667.350281</v>
      </c>
      <c r="F2837">
        <f>0</f>
        <v>0</v>
      </c>
      <c r="G2837">
        <f>231757126/10^6</f>
        <v>231.757126</v>
      </c>
      <c r="H2837">
        <f>0</f>
        <v>0</v>
      </c>
      <c r="I2837">
        <f>-41075729/10^6</f>
        <v>-41.075729000000003</v>
      </c>
      <c r="J2837">
        <f>0</f>
        <v>0</v>
      </c>
    </row>
    <row r="2838" spans="1:10" x14ac:dyDescent="0.25">
      <c r="A2838" t="s">
        <v>2847</v>
      </c>
      <c r="B2838" t="s">
        <v>11</v>
      </c>
      <c r="C2838">
        <v>0</v>
      </c>
      <c r="D2838">
        <f>2</f>
        <v>2</v>
      </c>
      <c r="F2838">
        <f>2</f>
        <v>2</v>
      </c>
      <c r="H2838">
        <f>2</f>
        <v>2</v>
      </c>
      <c r="J2838">
        <f>2</f>
        <v>2</v>
      </c>
    </row>
    <row r="2839" spans="1:10" x14ac:dyDescent="0.25">
      <c r="A2839" t="s">
        <v>2848</v>
      </c>
      <c r="B2839" t="s">
        <v>11</v>
      </c>
      <c r="C2839">
        <v>118.685835938</v>
      </c>
      <c r="D2839">
        <f>0</f>
        <v>0</v>
      </c>
      <c r="E2839">
        <f>664561951/10^6</f>
        <v>664.56195100000002</v>
      </c>
      <c r="F2839">
        <f>0</f>
        <v>0</v>
      </c>
      <c r="G2839">
        <f>231836121/10^6</f>
        <v>231.83612099999999</v>
      </c>
      <c r="H2839">
        <f>0</f>
        <v>0</v>
      </c>
      <c r="I2839">
        <f>-40694817/10^6</f>
        <v>-40.694817</v>
      </c>
      <c r="J2839">
        <f>0</f>
        <v>0</v>
      </c>
    </row>
    <row r="2840" spans="1:10" x14ac:dyDescent="0.25">
      <c r="A2840" t="s">
        <v>2849</v>
      </c>
      <c r="B2840" t="s">
        <v>11</v>
      </c>
      <c r="C2840">
        <v>118.8205</v>
      </c>
      <c r="D2840">
        <f>0</f>
        <v>0</v>
      </c>
      <c r="E2840">
        <f>663776367/10^6</f>
        <v>663.77636700000005</v>
      </c>
      <c r="F2840">
        <f>0</f>
        <v>0</v>
      </c>
      <c r="G2840">
        <f>23185939/10^5</f>
        <v>231.85938999999999</v>
      </c>
      <c r="H2840">
        <f>0</f>
        <v>0</v>
      </c>
      <c r="I2840">
        <f>-40586658/10^6</f>
        <v>-40.586658</v>
      </c>
      <c r="J2840">
        <f>0</f>
        <v>0</v>
      </c>
    </row>
    <row r="2841" spans="1:10" x14ac:dyDescent="0.25">
      <c r="A2841" t="s">
        <v>2850</v>
      </c>
      <c r="B2841" t="s">
        <v>11</v>
      </c>
      <c r="C2841">
        <v>118.90215625</v>
      </c>
      <c r="D2841">
        <f>0</f>
        <v>0</v>
      </c>
      <c r="E2841">
        <f>663371338/10^6</f>
        <v>663.37133800000004</v>
      </c>
      <c r="F2841">
        <f>0</f>
        <v>0</v>
      </c>
      <c r="G2841">
        <f>231875397/10^6</f>
        <v>231.87539699999999</v>
      </c>
      <c r="H2841">
        <f>0</f>
        <v>0</v>
      </c>
      <c r="I2841">
        <f>-40628277/10^6</f>
        <v>-40.628276999999997</v>
      </c>
      <c r="J2841">
        <f>0</f>
        <v>0</v>
      </c>
    </row>
    <row r="2842" spans="1:10" x14ac:dyDescent="0.25">
      <c r="A2842" t="s">
        <v>2851</v>
      </c>
      <c r="B2842" t="s">
        <v>11</v>
      </c>
      <c r="C2842">
        <v>118.96403125000001</v>
      </c>
      <c r="D2842">
        <f>0</f>
        <v>0</v>
      </c>
      <c r="E2842">
        <f>663071594/10^6</f>
        <v>663.071594</v>
      </c>
      <c r="F2842">
        <f>0</f>
        <v>0</v>
      </c>
      <c r="G2842">
        <f>231899902/10^6</f>
        <v>231.899902</v>
      </c>
      <c r="H2842">
        <f>0</f>
        <v>0</v>
      </c>
      <c r="I2842">
        <f>-40594006/10^6</f>
        <v>-40.594006</v>
      </c>
      <c r="J2842">
        <f>0</f>
        <v>0</v>
      </c>
    </row>
    <row r="2843" spans="1:10" x14ac:dyDescent="0.25">
      <c r="A2843" t="s">
        <v>2852</v>
      </c>
      <c r="B2843" t="s">
        <v>11</v>
      </c>
      <c r="C2843">
        <v>119.016429688</v>
      </c>
      <c r="D2843">
        <f>0</f>
        <v>0</v>
      </c>
      <c r="E2843">
        <f>662799866/10^6</f>
        <v>662.79986599999995</v>
      </c>
      <c r="F2843">
        <f>0</f>
        <v>0</v>
      </c>
      <c r="G2843">
        <f>231919464/10^6</f>
        <v>231.919464</v>
      </c>
      <c r="H2843">
        <f>0</f>
        <v>0</v>
      </c>
      <c r="I2843">
        <f>-40555672/10^6</f>
        <v>-40.555672000000001</v>
      </c>
      <c r="J2843">
        <f>0</f>
        <v>0</v>
      </c>
    </row>
    <row r="2844" spans="1:10" x14ac:dyDescent="0.25">
      <c r="A2844" t="s">
        <v>2853</v>
      </c>
      <c r="B2844" t="s">
        <v>11</v>
      </c>
      <c r="C2844">
        <v>119.05806250000001</v>
      </c>
      <c r="D2844">
        <f>0</f>
        <v>0</v>
      </c>
      <c r="E2844">
        <f>662556885/10^6</f>
        <v>662.55688499999997</v>
      </c>
      <c r="F2844">
        <f>0</f>
        <v>0</v>
      </c>
      <c r="G2844">
        <f>23193457/10^5</f>
        <v>231.93457000000001</v>
      </c>
      <c r="H2844">
        <f>0</f>
        <v>0</v>
      </c>
      <c r="I2844">
        <f>-40402905/10^6</f>
        <v>-40.402904999999997</v>
      </c>
      <c r="J2844">
        <f>0</f>
        <v>0</v>
      </c>
    </row>
    <row r="2845" spans="1:10" x14ac:dyDescent="0.25">
      <c r="A2845" t="s">
        <v>2854</v>
      </c>
      <c r="B2845" t="s">
        <v>11</v>
      </c>
      <c r="C2845">
        <v>119.07136718800001</v>
      </c>
      <c r="D2845">
        <f>0</f>
        <v>0</v>
      </c>
      <c r="E2845">
        <f>662455872/10^6</f>
        <v>662.455872</v>
      </c>
      <c r="F2845">
        <f>0</f>
        <v>0</v>
      </c>
      <c r="G2845">
        <f>231943954/10^6</f>
        <v>231.94395399999999</v>
      </c>
      <c r="H2845">
        <f>0</f>
        <v>0</v>
      </c>
      <c r="I2845">
        <f>-40195206/10^6</f>
        <v>-40.195205999999999</v>
      </c>
      <c r="J2845">
        <f>0</f>
        <v>0</v>
      </c>
    </row>
    <row r="2846" spans="1:10" x14ac:dyDescent="0.25">
      <c r="A2846" t="s">
        <v>2855</v>
      </c>
      <c r="B2846" t="s">
        <v>11</v>
      </c>
      <c r="C2846">
        <v>119.01330468800001</v>
      </c>
      <c r="D2846">
        <f>0</f>
        <v>0</v>
      </c>
      <c r="E2846">
        <f>662760498/10^6</f>
        <v>662.76049799999998</v>
      </c>
      <c r="F2846">
        <f>0</f>
        <v>0</v>
      </c>
      <c r="G2846">
        <f>231923935/10^6</f>
        <v>231.923935</v>
      </c>
      <c r="H2846">
        <f>0</f>
        <v>0</v>
      </c>
      <c r="I2846">
        <f>-40345284/10^6</f>
        <v>-40.345283999999999</v>
      </c>
      <c r="J2846">
        <f>0</f>
        <v>0</v>
      </c>
    </row>
    <row r="2847" spans="1:10" x14ac:dyDescent="0.25">
      <c r="A2847" t="s">
        <v>2856</v>
      </c>
      <c r="B2847" t="s">
        <v>11</v>
      </c>
      <c r="C2847">
        <v>118.88902343800001</v>
      </c>
      <c r="D2847">
        <f>0</f>
        <v>0</v>
      </c>
      <c r="E2847">
        <f>663480713/10^6</f>
        <v>663.48071300000004</v>
      </c>
      <c r="F2847">
        <f>0</f>
        <v>0</v>
      </c>
      <c r="G2847">
        <f>231899902/10^6</f>
        <v>231.899902</v>
      </c>
      <c r="H2847">
        <f>0</f>
        <v>0</v>
      </c>
      <c r="I2847">
        <f>-40542027/10^6</f>
        <v>-40.542026999999997</v>
      </c>
      <c r="J2847">
        <f>0</f>
        <v>0</v>
      </c>
    </row>
    <row r="2848" spans="1:10" x14ac:dyDescent="0.25">
      <c r="A2848" t="s">
        <v>2857</v>
      </c>
      <c r="B2848" t="s">
        <v>11</v>
      </c>
      <c r="C2848">
        <v>118.750570313</v>
      </c>
      <c r="D2848">
        <f>0</f>
        <v>0</v>
      </c>
      <c r="E2848">
        <f>664227478/10^6</f>
        <v>664.22747800000002</v>
      </c>
      <c r="F2848">
        <f>0</f>
        <v>0</v>
      </c>
      <c r="G2848">
        <f>231897797/10^6</f>
        <v>231.897797</v>
      </c>
      <c r="H2848">
        <f>0</f>
        <v>0</v>
      </c>
      <c r="I2848">
        <f>-40439743/10^6</f>
        <v>-40.439743</v>
      </c>
      <c r="J2848">
        <f>0</f>
        <v>0</v>
      </c>
    </row>
    <row r="2849" spans="1:10" x14ac:dyDescent="0.25">
      <c r="A2849" t="s">
        <v>2858</v>
      </c>
      <c r="B2849" t="s">
        <v>11</v>
      </c>
      <c r="C2849">
        <v>118.604117188</v>
      </c>
      <c r="D2849">
        <f>0</f>
        <v>0</v>
      </c>
      <c r="E2849">
        <f>665021057/10^6</f>
        <v>665.02105700000004</v>
      </c>
      <c r="F2849">
        <f>0</f>
        <v>0</v>
      </c>
      <c r="G2849">
        <f>231888641/10^6</f>
        <v>231.88864100000001</v>
      </c>
      <c r="H2849">
        <f>0</f>
        <v>0</v>
      </c>
      <c r="I2849">
        <f>-40434681/10^6</f>
        <v>-40.434680999999998</v>
      </c>
      <c r="J2849">
        <f>0</f>
        <v>0</v>
      </c>
    </row>
    <row r="2850" spans="1:10" x14ac:dyDescent="0.25">
      <c r="A2850" t="s">
        <v>2859</v>
      </c>
      <c r="B2850" t="s">
        <v>11</v>
      </c>
      <c r="C2850">
        <v>118.44803125</v>
      </c>
      <c r="D2850">
        <f>0</f>
        <v>0</v>
      </c>
      <c r="E2850">
        <f>66599408/10^5</f>
        <v>665.99408000000005</v>
      </c>
      <c r="F2850">
        <f>0</f>
        <v>0</v>
      </c>
      <c r="G2850">
        <f>231854218/10^6</f>
        <v>231.854218</v>
      </c>
      <c r="H2850">
        <f>0</f>
        <v>0</v>
      </c>
      <c r="I2850">
        <f>-40731468/10^6</f>
        <v>-40.731468</v>
      </c>
      <c r="J2850">
        <f>0</f>
        <v>0</v>
      </c>
    </row>
    <row r="2851" spans="1:10" x14ac:dyDescent="0.25">
      <c r="A2851" t="s">
        <v>2860</v>
      </c>
      <c r="B2851" t="s">
        <v>11</v>
      </c>
      <c r="C2851">
        <v>118.29243750000001</v>
      </c>
      <c r="D2851">
        <f>0</f>
        <v>0</v>
      </c>
      <c r="E2851">
        <f>66697406/10^5</f>
        <v>666.97406000000001</v>
      </c>
      <c r="F2851">
        <f>0</f>
        <v>0</v>
      </c>
      <c r="G2851">
        <f>231828384/10^6</f>
        <v>231.828384</v>
      </c>
      <c r="H2851">
        <f>0</f>
        <v>0</v>
      </c>
      <c r="I2851">
        <f>-41035744/10^6</f>
        <v>-41.035744000000001</v>
      </c>
      <c r="J2851">
        <f>0</f>
        <v>0</v>
      </c>
    </row>
    <row r="2852" spans="1:10" x14ac:dyDescent="0.25">
      <c r="A2852" t="s">
        <v>2861</v>
      </c>
      <c r="B2852" t="s">
        <v>11</v>
      </c>
      <c r="C2852">
        <v>118.14683593800001</v>
      </c>
      <c r="D2852">
        <f>0</f>
        <v>0</v>
      </c>
      <c r="E2852">
        <f>667786804/10^6</f>
        <v>667.78680399999996</v>
      </c>
      <c r="F2852">
        <f>0</f>
        <v>0</v>
      </c>
      <c r="G2852">
        <f>231822769/10^6</f>
        <v>231.82276899999999</v>
      </c>
      <c r="H2852">
        <f>0</f>
        <v>0</v>
      </c>
      <c r="I2852">
        <f>-40974346/10^6</f>
        <v>-40.974345999999997</v>
      </c>
      <c r="J2852">
        <f>0</f>
        <v>0</v>
      </c>
    </row>
    <row r="2853" spans="1:10" x14ac:dyDescent="0.25">
      <c r="A2853" t="s">
        <v>2862</v>
      </c>
      <c r="B2853" t="s">
        <v>11</v>
      </c>
      <c r="C2853">
        <v>118.00770312500001</v>
      </c>
      <c r="D2853">
        <f>0</f>
        <v>0</v>
      </c>
      <c r="E2853">
        <f>668457581/10^6</f>
        <v>668.457581</v>
      </c>
      <c r="F2853">
        <f>0</f>
        <v>0</v>
      </c>
      <c r="G2853">
        <f>231791107/10^6</f>
        <v>231.79110700000001</v>
      </c>
      <c r="H2853">
        <f>0</f>
        <v>0</v>
      </c>
      <c r="I2853">
        <f>-40826359/10^6</f>
        <v>-40.826358999999997</v>
      </c>
      <c r="J2853">
        <f>0</f>
        <v>0</v>
      </c>
    </row>
    <row r="2854" spans="1:10" x14ac:dyDescent="0.25">
      <c r="A2854" t="s">
        <v>2863</v>
      </c>
      <c r="B2854" t="s">
        <v>11</v>
      </c>
      <c r="C2854">
        <v>117.86049218800001</v>
      </c>
      <c r="D2854">
        <f>0</f>
        <v>0</v>
      </c>
      <c r="E2854">
        <f>669236328/10^6</f>
        <v>669.23632799999996</v>
      </c>
      <c r="F2854">
        <f>0</f>
        <v>0</v>
      </c>
      <c r="G2854">
        <f>231744736/10^6</f>
        <v>231.74473599999999</v>
      </c>
      <c r="H2854">
        <f>0</f>
        <v>0</v>
      </c>
      <c r="I2854">
        <f>-41012505/10^6</f>
        <v>-41.012504999999997</v>
      </c>
      <c r="J2854">
        <f>0</f>
        <v>0</v>
      </c>
    </row>
    <row r="2855" spans="1:10" x14ac:dyDescent="0.25">
      <c r="A2855" t="s">
        <v>2864</v>
      </c>
      <c r="B2855" t="s">
        <v>11</v>
      </c>
      <c r="C2855">
        <v>117.705140625</v>
      </c>
      <c r="D2855">
        <f>0</f>
        <v>0</v>
      </c>
      <c r="E2855">
        <f>670126343/10^6</f>
        <v>670.12634300000002</v>
      </c>
      <c r="F2855">
        <f>0</f>
        <v>0</v>
      </c>
      <c r="G2855">
        <f>231711884/10^6</f>
        <v>231.711884</v>
      </c>
      <c r="H2855">
        <f>0</f>
        <v>0</v>
      </c>
      <c r="I2855">
        <f>-4122588/10^5</f>
        <v>-41.225879999999997</v>
      </c>
      <c r="J2855">
        <f>0</f>
        <v>0</v>
      </c>
    </row>
    <row r="2856" spans="1:10" x14ac:dyDescent="0.25">
      <c r="A2856" t="s">
        <v>2865</v>
      </c>
      <c r="B2856" t="s">
        <v>11</v>
      </c>
      <c r="C2856">
        <v>117.525507813</v>
      </c>
      <c r="D2856">
        <f>0</f>
        <v>0</v>
      </c>
      <c r="E2856">
        <f>671130432/10^6</f>
        <v>671.13043200000004</v>
      </c>
      <c r="F2856">
        <f>0</f>
        <v>0</v>
      </c>
      <c r="G2856">
        <f>231667648/10^6</f>
        <v>231.66764800000001</v>
      </c>
      <c r="H2856">
        <f>0</f>
        <v>0</v>
      </c>
      <c r="I2856">
        <f>-41357594/10^6</f>
        <v>-41.357593999999999</v>
      </c>
      <c r="J2856">
        <f>0</f>
        <v>0</v>
      </c>
    </row>
    <row r="2857" spans="1:10" x14ac:dyDescent="0.25">
      <c r="A2857" t="s">
        <v>2866</v>
      </c>
      <c r="B2857" t="s">
        <v>11</v>
      </c>
      <c r="C2857">
        <v>117.32925</v>
      </c>
      <c r="D2857">
        <f>0</f>
        <v>0</v>
      </c>
      <c r="E2857">
        <f>672161377/10^6</f>
        <v>672.16137700000002</v>
      </c>
      <c r="F2857">
        <f>0</f>
        <v>0</v>
      </c>
      <c r="G2857">
        <f>231621414/10^6</f>
        <v>231.62141399999999</v>
      </c>
      <c r="H2857">
        <f>0</f>
        <v>0</v>
      </c>
      <c r="I2857">
        <f>-41426556/10^6</f>
        <v>-41.426555999999998</v>
      </c>
      <c r="J2857">
        <f>0</f>
        <v>0</v>
      </c>
    </row>
    <row r="2858" spans="1:10" x14ac:dyDescent="0.25">
      <c r="A2858" t="s">
        <v>2867</v>
      </c>
      <c r="B2858" t="s">
        <v>11</v>
      </c>
      <c r="C2858">
        <v>117.16121093800001</v>
      </c>
      <c r="D2858">
        <f>0</f>
        <v>0</v>
      </c>
      <c r="E2858">
        <f>6729776/10^4</f>
        <v>672.97760000000005</v>
      </c>
      <c r="F2858">
        <f>0</f>
        <v>0</v>
      </c>
      <c r="G2858">
        <f>231578613/10^6</f>
        <v>231.57861299999999</v>
      </c>
      <c r="H2858">
        <f>0</f>
        <v>0</v>
      </c>
      <c r="I2858">
        <f>-41429703/10^6</f>
        <v>-41.429703000000003</v>
      </c>
      <c r="J2858">
        <f>0</f>
        <v>0</v>
      </c>
    </row>
    <row r="2859" spans="1:10" x14ac:dyDescent="0.25">
      <c r="A2859" t="s">
        <v>2868</v>
      </c>
      <c r="B2859" t="s">
        <v>11</v>
      </c>
      <c r="C2859">
        <v>117.00271875</v>
      </c>
      <c r="D2859">
        <f>0</f>
        <v>0</v>
      </c>
      <c r="E2859">
        <f>673955139/10^6</f>
        <v>673.95513900000003</v>
      </c>
      <c r="F2859">
        <f>0</f>
        <v>0</v>
      </c>
      <c r="G2859">
        <f>231541245/10^6</f>
        <v>231.541245</v>
      </c>
      <c r="H2859">
        <f>0</f>
        <v>0</v>
      </c>
      <c r="I2859">
        <f>-41738567/10^6</f>
        <v>-41.738567000000003</v>
      </c>
      <c r="J2859">
        <f>0</f>
        <v>0</v>
      </c>
    </row>
    <row r="2860" spans="1:10" x14ac:dyDescent="0.25">
      <c r="A2860" t="s">
        <v>2869</v>
      </c>
      <c r="B2860" t="s">
        <v>11</v>
      </c>
      <c r="C2860">
        <v>116.832171875</v>
      </c>
      <c r="D2860">
        <f>0</f>
        <v>0</v>
      </c>
      <c r="E2860">
        <f>675015259/10^6</f>
        <v>675.01525900000001</v>
      </c>
      <c r="F2860">
        <f>0</f>
        <v>0</v>
      </c>
      <c r="G2860">
        <f>231522354/10^6</f>
        <v>231.52235400000001</v>
      </c>
      <c r="H2860">
        <f>0</f>
        <v>0</v>
      </c>
      <c r="I2860">
        <f>-41879658/10^6</f>
        <v>-41.879657999999999</v>
      </c>
      <c r="J2860">
        <f>0</f>
        <v>0</v>
      </c>
    </row>
    <row r="2861" spans="1:10" x14ac:dyDescent="0.25">
      <c r="A2861" t="s">
        <v>2870</v>
      </c>
      <c r="B2861" t="s">
        <v>11</v>
      </c>
      <c r="C2861">
        <v>116.66734375</v>
      </c>
      <c r="D2861">
        <f>0</f>
        <v>0</v>
      </c>
      <c r="E2861">
        <f>675796814/10^6</f>
        <v>675.79681400000004</v>
      </c>
      <c r="F2861">
        <f>0</f>
        <v>0</v>
      </c>
      <c r="G2861">
        <f>231492981/10^6</f>
        <v>231.49298099999999</v>
      </c>
      <c r="H2861">
        <f>0</f>
        <v>0</v>
      </c>
      <c r="I2861">
        <f>-41628929/10^6</f>
        <v>-41.628928999999999</v>
      </c>
      <c r="J2861">
        <f>0</f>
        <v>0</v>
      </c>
    </row>
    <row r="2862" spans="1:10" x14ac:dyDescent="0.25">
      <c r="A2862" t="s">
        <v>2871</v>
      </c>
      <c r="B2862" t="s">
        <v>11</v>
      </c>
      <c r="C2862">
        <v>116.50315625</v>
      </c>
      <c r="D2862">
        <f>0</f>
        <v>0</v>
      </c>
      <c r="E2862">
        <f>676721497/10^6</f>
        <v>676.721497</v>
      </c>
      <c r="F2862">
        <f>0</f>
        <v>0</v>
      </c>
      <c r="G2862">
        <f>23146524/10^5</f>
        <v>231.46523999999999</v>
      </c>
      <c r="H2862">
        <f>0</f>
        <v>0</v>
      </c>
      <c r="I2862">
        <f>-41743011/10^6</f>
        <v>-41.743011000000003</v>
      </c>
      <c r="J2862">
        <f>0</f>
        <v>0</v>
      </c>
    </row>
    <row r="2863" spans="1:10" x14ac:dyDescent="0.25">
      <c r="A2863" t="s">
        <v>2872</v>
      </c>
      <c r="B2863" t="s">
        <v>11</v>
      </c>
      <c r="C2863">
        <v>116.33307031300001</v>
      </c>
      <c r="D2863">
        <f>0</f>
        <v>0</v>
      </c>
      <c r="E2863">
        <f>67775293/10^5</f>
        <v>677.75292999999999</v>
      </c>
      <c r="F2863">
        <f>0</f>
        <v>0</v>
      </c>
      <c r="G2863">
        <f>231424408/10^6</f>
        <v>231.424408</v>
      </c>
      <c r="H2863">
        <f>0</f>
        <v>0</v>
      </c>
      <c r="I2863">
        <f>-42032204/10^6</f>
        <v>-42.032204</v>
      </c>
      <c r="J2863">
        <f>0</f>
        <v>0</v>
      </c>
    </row>
    <row r="2864" spans="1:10" x14ac:dyDescent="0.25">
      <c r="A2864" t="s">
        <v>2873</v>
      </c>
      <c r="B2864" t="s">
        <v>11</v>
      </c>
      <c r="C2864">
        <v>116.144273438</v>
      </c>
      <c r="D2864">
        <f>0</f>
        <v>0</v>
      </c>
      <c r="E2864">
        <f>67884552/10^5</f>
        <v>678.84551999999996</v>
      </c>
      <c r="F2864">
        <f>0</f>
        <v>0</v>
      </c>
      <c r="G2864">
        <f>231373795/10^6</f>
        <v>231.373795</v>
      </c>
      <c r="H2864">
        <f>0</f>
        <v>0</v>
      </c>
      <c r="I2864">
        <f>-42157482/10^6</f>
        <v>-42.157482000000002</v>
      </c>
      <c r="J2864">
        <f>0</f>
        <v>0</v>
      </c>
    </row>
    <row r="2865" spans="1:10" x14ac:dyDescent="0.25">
      <c r="A2865" t="s">
        <v>2874</v>
      </c>
      <c r="B2865" t="s">
        <v>11</v>
      </c>
      <c r="C2865">
        <v>115.917039063</v>
      </c>
      <c r="D2865">
        <f>0</f>
        <v>0</v>
      </c>
      <c r="E2865">
        <f>680050598/10^6</f>
        <v>680.05059800000004</v>
      </c>
      <c r="F2865">
        <f>0</f>
        <v>0</v>
      </c>
      <c r="G2865">
        <f>23130217/10^5</f>
        <v>231.30216999999999</v>
      </c>
      <c r="H2865">
        <f>0</f>
        <v>0</v>
      </c>
      <c r="I2865">
        <f>-42282806/10^6</f>
        <v>-42.282806000000001</v>
      </c>
      <c r="J2865">
        <f>0</f>
        <v>0</v>
      </c>
    </row>
    <row r="2866" spans="1:10" x14ac:dyDescent="0.25">
      <c r="A2866" t="s">
        <v>2875</v>
      </c>
      <c r="B2866" t="s">
        <v>11</v>
      </c>
      <c r="C2866">
        <v>115.68265624999999</v>
      </c>
      <c r="D2866">
        <f>0</f>
        <v>0</v>
      </c>
      <c r="E2866">
        <f>681192139/10^6</f>
        <v>681.192139</v>
      </c>
      <c r="F2866">
        <f>0</f>
        <v>0</v>
      </c>
      <c r="G2866">
        <f>231192688/10^6</f>
        <v>231.192688</v>
      </c>
      <c r="H2866">
        <f>0</f>
        <v>0</v>
      </c>
      <c r="I2866">
        <f>-42516457/10^6</f>
        <v>-42.516457000000003</v>
      </c>
      <c r="J2866">
        <f>0</f>
        <v>0</v>
      </c>
    </row>
    <row r="2867" spans="1:10" x14ac:dyDescent="0.25">
      <c r="A2867" t="s">
        <v>2876</v>
      </c>
      <c r="B2867" t="s">
        <v>11</v>
      </c>
      <c r="C2867">
        <v>115.484742188</v>
      </c>
      <c r="D2867">
        <f>0</f>
        <v>0</v>
      </c>
      <c r="E2867">
        <f>682254517/10^6</f>
        <v>682.25451699999996</v>
      </c>
      <c r="F2867">
        <f>0</f>
        <v>0</v>
      </c>
      <c r="G2867">
        <f>231116516/10^6</f>
        <v>231.11651599999999</v>
      </c>
      <c r="H2867">
        <f>0</f>
        <v>0</v>
      </c>
      <c r="I2867">
        <f>-42722408/10^6</f>
        <v>-42.722408000000001</v>
      </c>
      <c r="J2867">
        <f>0</f>
        <v>0</v>
      </c>
    </row>
    <row r="2868" spans="1:10" x14ac:dyDescent="0.25">
      <c r="A2868" t="s">
        <v>2877</v>
      </c>
      <c r="B2868" t="s">
        <v>11</v>
      </c>
      <c r="C2868">
        <v>115.29324218800001</v>
      </c>
      <c r="D2868">
        <f>0</f>
        <v>0</v>
      </c>
      <c r="E2868">
        <f>68335199/10^5</f>
        <v>683.35199</v>
      </c>
      <c r="F2868">
        <f>0</f>
        <v>0</v>
      </c>
      <c r="G2868">
        <f>231087646/10^6</f>
        <v>231.08764600000001</v>
      </c>
      <c r="H2868">
        <f>0</f>
        <v>0</v>
      </c>
      <c r="I2868">
        <f>-42772182/10^6</f>
        <v>-42.772182000000001</v>
      </c>
      <c r="J2868">
        <f>0</f>
        <v>0</v>
      </c>
    </row>
    <row r="2869" spans="1:10" x14ac:dyDescent="0.25">
      <c r="A2869" t="s">
        <v>2878</v>
      </c>
      <c r="B2869" t="s">
        <v>11</v>
      </c>
      <c r="C2869">
        <v>115.156273438</v>
      </c>
      <c r="D2869">
        <f>0</f>
        <v>0</v>
      </c>
      <c r="E2869">
        <f>684203979/10^6</f>
        <v>684.203979</v>
      </c>
      <c r="F2869">
        <f>0</f>
        <v>0</v>
      </c>
      <c r="G2869">
        <f>231059082/10^6</f>
        <v>231.05908199999999</v>
      </c>
      <c r="H2869">
        <f>0</f>
        <v>0</v>
      </c>
      <c r="I2869">
        <f>-42965282/10^6</f>
        <v>-42.965282000000002</v>
      </c>
      <c r="J2869">
        <f>0</f>
        <v>0</v>
      </c>
    </row>
    <row r="2870" spans="1:10" x14ac:dyDescent="0.25">
      <c r="A2870" t="s">
        <v>2879</v>
      </c>
      <c r="B2870" t="s">
        <v>11</v>
      </c>
      <c r="C2870">
        <v>115.146484375</v>
      </c>
      <c r="D2870">
        <f>0</f>
        <v>0</v>
      </c>
      <c r="E2870">
        <f>684178772/10^6</f>
        <v>684.17877199999998</v>
      </c>
      <c r="F2870">
        <f>0</f>
        <v>0</v>
      </c>
      <c r="G2870">
        <f>231004517/10^6</f>
        <v>231.00451699999999</v>
      </c>
      <c r="H2870">
        <f>0</f>
        <v>0</v>
      </c>
      <c r="I2870">
        <f>-43073616/10^6</f>
        <v>-43.073616000000001</v>
      </c>
      <c r="J2870">
        <f>0</f>
        <v>0</v>
      </c>
    </row>
    <row r="2871" spans="1:10" x14ac:dyDescent="0.25">
      <c r="A2871" t="s">
        <v>2880</v>
      </c>
      <c r="B2871" t="s">
        <v>11</v>
      </c>
      <c r="C2871">
        <v>115.134703125</v>
      </c>
      <c r="D2871">
        <f>0</f>
        <v>0</v>
      </c>
      <c r="E2871">
        <f>684021484/10^6</f>
        <v>684.02148399999999</v>
      </c>
      <c r="F2871">
        <f>0</f>
        <v>0</v>
      </c>
      <c r="G2871">
        <f>230967941/10^6</f>
        <v>230.967941</v>
      </c>
      <c r="H2871">
        <f>0</f>
        <v>0</v>
      </c>
      <c r="I2871">
        <f>-42870174/10^6</f>
        <v>-42.870173999999999</v>
      </c>
      <c r="J2871">
        <f>0</f>
        <v>0</v>
      </c>
    </row>
    <row r="2872" spans="1:10" x14ac:dyDescent="0.25">
      <c r="A2872" t="s">
        <v>2881</v>
      </c>
      <c r="B2872" t="s">
        <v>11</v>
      </c>
      <c r="C2872">
        <v>114.998140625</v>
      </c>
      <c r="D2872">
        <f>0</f>
        <v>0</v>
      </c>
      <c r="E2872">
        <f>684861206/10^6</f>
        <v>684.86120600000004</v>
      </c>
      <c r="F2872">
        <f>0</f>
        <v>0</v>
      </c>
      <c r="G2872">
        <f>230988953/10^6</f>
        <v>230.98895300000001</v>
      </c>
      <c r="H2872">
        <f>0</f>
        <v>0</v>
      </c>
      <c r="I2872">
        <f>-42817764/10^6</f>
        <v>-42.817763999999997</v>
      </c>
      <c r="J2872">
        <f>0</f>
        <v>0</v>
      </c>
    </row>
    <row r="2873" spans="1:10" x14ac:dyDescent="0.25">
      <c r="A2873" t="s">
        <v>2882</v>
      </c>
      <c r="B2873" t="s">
        <v>11</v>
      </c>
      <c r="C2873">
        <v>114.774703125</v>
      </c>
      <c r="D2873">
        <f>0</f>
        <v>0</v>
      </c>
      <c r="E2873">
        <f>686245789/10^6</f>
        <v>686.24578899999995</v>
      </c>
      <c r="F2873">
        <f>0</f>
        <v>0</v>
      </c>
      <c r="G2873">
        <f>230956238/10^6</f>
        <v>230.95623800000001</v>
      </c>
      <c r="H2873">
        <f>0</f>
        <v>0</v>
      </c>
      <c r="I2873">
        <f>-43107552/10^6</f>
        <v>-43.107551999999998</v>
      </c>
      <c r="J2873">
        <f>0</f>
        <v>0</v>
      </c>
    </row>
    <row r="2874" spans="1:10" x14ac:dyDescent="0.25">
      <c r="A2874" t="s">
        <v>2883</v>
      </c>
      <c r="B2874" t="s">
        <v>11</v>
      </c>
      <c r="C2874">
        <v>114.56246874999999</v>
      </c>
      <c r="D2874">
        <f>0</f>
        <v>0</v>
      </c>
      <c r="E2874">
        <f>687303284/10^6</f>
        <v>687.30328399999996</v>
      </c>
      <c r="F2874">
        <f>0</f>
        <v>0</v>
      </c>
      <c r="G2874">
        <f>230829102/10^6</f>
        <v>230.82910200000001</v>
      </c>
      <c r="H2874">
        <f>0</f>
        <v>0</v>
      </c>
      <c r="I2874">
        <f>-43287235/10^6</f>
        <v>-43.287235000000003</v>
      </c>
      <c r="J2874">
        <f>0</f>
        <v>0</v>
      </c>
    </row>
    <row r="2875" spans="1:10" x14ac:dyDescent="0.25">
      <c r="A2875" t="s">
        <v>2884</v>
      </c>
      <c r="B2875" t="s">
        <v>11</v>
      </c>
      <c r="C2875">
        <v>114.43196875</v>
      </c>
      <c r="D2875">
        <f>0</f>
        <v>0</v>
      </c>
      <c r="E2875">
        <f>688084961/10^6</f>
        <v>688.08496100000002</v>
      </c>
      <c r="F2875">
        <f>0</f>
        <v>0</v>
      </c>
      <c r="G2875">
        <f>230768066/10^6</f>
        <v>230.768066</v>
      </c>
      <c r="H2875">
        <f>0</f>
        <v>0</v>
      </c>
      <c r="I2875">
        <f>-43463757/10^6</f>
        <v>-43.463757000000001</v>
      </c>
      <c r="J2875">
        <f>0</f>
        <v>0</v>
      </c>
    </row>
    <row r="2876" spans="1:10" x14ac:dyDescent="0.25">
      <c r="A2876" t="s">
        <v>2885</v>
      </c>
      <c r="B2876" t="s">
        <v>11</v>
      </c>
      <c r="C2876">
        <v>114.392875</v>
      </c>
      <c r="D2876">
        <f>0</f>
        <v>0</v>
      </c>
      <c r="E2876">
        <f>68832312/10^5</f>
        <v>688.32312000000002</v>
      </c>
      <c r="F2876">
        <f>0</f>
        <v>0</v>
      </c>
      <c r="G2876">
        <f>230773056/10^6</f>
        <v>230.773056</v>
      </c>
      <c r="H2876">
        <f>0</f>
        <v>0</v>
      </c>
      <c r="I2876">
        <f>-43629768/10^6</f>
        <v>-43.629767999999999</v>
      </c>
      <c r="J2876">
        <f>0</f>
        <v>0</v>
      </c>
    </row>
    <row r="2877" spans="1:10" x14ac:dyDescent="0.25">
      <c r="A2877" t="s">
        <v>2886</v>
      </c>
      <c r="B2877" t="s">
        <v>11</v>
      </c>
      <c r="C2877">
        <v>114.405039063</v>
      </c>
      <c r="D2877">
        <f>0</f>
        <v>0</v>
      </c>
      <c r="E2877">
        <f>688101868/10^6</f>
        <v>688.10186799999997</v>
      </c>
      <c r="F2877">
        <f>0</f>
        <v>0</v>
      </c>
      <c r="G2877">
        <f>230782562/10^6</f>
        <v>230.78256200000001</v>
      </c>
      <c r="H2877">
        <f>0</f>
        <v>0</v>
      </c>
      <c r="I2877">
        <f>-43372734/10^6</f>
        <v>-43.372734000000001</v>
      </c>
      <c r="J2877">
        <f>0</f>
        <v>0</v>
      </c>
    </row>
    <row r="2878" spans="1:10" x14ac:dyDescent="0.25">
      <c r="A2878" t="s">
        <v>2887</v>
      </c>
      <c r="B2878" t="s">
        <v>11</v>
      </c>
      <c r="C2878">
        <v>114.380421875</v>
      </c>
      <c r="D2878">
        <f>0</f>
        <v>0</v>
      </c>
      <c r="E2878">
        <f>688498413/10^6</f>
        <v>688.49841300000003</v>
      </c>
      <c r="F2878">
        <f>0</f>
        <v>0</v>
      </c>
      <c r="G2878">
        <f>230856537/10^6</f>
        <v>230.856537</v>
      </c>
      <c r="H2878">
        <f>0</f>
        <v>0</v>
      </c>
      <c r="I2878">
        <f>-43226849/10^6</f>
        <v>-43.226849000000001</v>
      </c>
      <c r="J2878">
        <f>0</f>
        <v>0</v>
      </c>
    </row>
    <row r="2879" spans="1:10" x14ac:dyDescent="0.25">
      <c r="A2879" t="s">
        <v>2888</v>
      </c>
      <c r="B2879" t="s">
        <v>11</v>
      </c>
      <c r="C2879">
        <v>114.287757813</v>
      </c>
      <c r="D2879">
        <f>0</f>
        <v>0</v>
      </c>
      <c r="E2879">
        <f>689136536/10^6</f>
        <v>689.13653599999998</v>
      </c>
      <c r="F2879">
        <f>0</f>
        <v>0</v>
      </c>
      <c r="G2879">
        <f>230852997/10^6</f>
        <v>230.85299699999999</v>
      </c>
      <c r="H2879">
        <f>0</f>
        <v>0</v>
      </c>
      <c r="I2879">
        <f>-43467678/10^6</f>
        <v>-43.467677999999999</v>
      </c>
      <c r="J2879">
        <f>0</f>
        <v>0</v>
      </c>
    </row>
    <row r="2880" spans="1:10" x14ac:dyDescent="0.25">
      <c r="A2880" t="s">
        <v>2889</v>
      </c>
      <c r="B2880" t="s">
        <v>11</v>
      </c>
      <c r="C2880">
        <v>114.31339843800001</v>
      </c>
      <c r="D2880">
        <f>0</f>
        <v>0</v>
      </c>
      <c r="E2880">
        <f>689100891/10^6</f>
        <v>689.10089100000005</v>
      </c>
      <c r="F2880">
        <f>0</f>
        <v>0</v>
      </c>
      <c r="G2880">
        <f>23084761/10^5</f>
        <v>230.84761</v>
      </c>
      <c r="H2880">
        <f>0</f>
        <v>0</v>
      </c>
      <c r="I2880">
        <f>-43825581/10^6</f>
        <v>-43.825581</v>
      </c>
      <c r="J2880">
        <f>0</f>
        <v>0</v>
      </c>
    </row>
    <row r="2881" spans="1:10" x14ac:dyDescent="0.25">
      <c r="A2881" t="s">
        <v>2890</v>
      </c>
      <c r="B2881" t="s">
        <v>11</v>
      </c>
      <c r="C2881">
        <v>114.526523438</v>
      </c>
      <c r="D2881">
        <f>0</f>
        <v>0</v>
      </c>
      <c r="E2881">
        <f>68819281/10^5</f>
        <v>688.19281000000001</v>
      </c>
      <c r="F2881">
        <f>0</f>
        <v>0</v>
      </c>
      <c r="G2881">
        <f>230978867/10^6</f>
        <v>230.97886700000001</v>
      </c>
      <c r="H2881">
        <f>0</f>
        <v>0</v>
      </c>
      <c r="I2881">
        <f>-43750298/10^6</f>
        <v>-43.750298000000001</v>
      </c>
      <c r="J2881">
        <f>0</f>
        <v>0</v>
      </c>
    </row>
    <row r="2882" spans="1:10" x14ac:dyDescent="0.25">
      <c r="A2882" t="s">
        <v>2891</v>
      </c>
      <c r="B2882" t="s">
        <v>11</v>
      </c>
      <c r="C2882">
        <v>114.75103125</v>
      </c>
      <c r="D2882">
        <f>0</f>
        <v>0</v>
      </c>
      <c r="E2882">
        <f>686904541/10^6</f>
        <v>686.90454099999999</v>
      </c>
      <c r="F2882">
        <f>0</f>
        <v>0</v>
      </c>
      <c r="G2882">
        <f>231065048/10^6</f>
        <v>231.06504799999999</v>
      </c>
      <c r="H2882">
        <f>0</f>
        <v>0</v>
      </c>
      <c r="I2882">
        <f>-43401711/10^6</f>
        <v>-43.401710999999999</v>
      </c>
      <c r="J2882">
        <f>0</f>
        <v>0</v>
      </c>
    </row>
    <row r="2883" spans="1:10" x14ac:dyDescent="0.25">
      <c r="A2883" t="s">
        <v>2892</v>
      </c>
      <c r="B2883" t="s">
        <v>11</v>
      </c>
      <c r="C2883">
        <v>114.951515625</v>
      </c>
      <c r="D2883">
        <f>0</f>
        <v>0</v>
      </c>
      <c r="E2883">
        <f>685734558/10^6</f>
        <v>685.73455799999999</v>
      </c>
      <c r="F2883">
        <f>0</f>
        <v>0</v>
      </c>
      <c r="G2883">
        <f>231101501/10^6</f>
        <v>231.10150100000001</v>
      </c>
      <c r="H2883">
        <f>0</f>
        <v>0</v>
      </c>
      <c r="I2883">
        <f>-43327335/10^6</f>
        <v>-43.327334999999998</v>
      </c>
      <c r="J2883">
        <f>0</f>
        <v>0</v>
      </c>
    </row>
    <row r="2884" spans="1:10" x14ac:dyDescent="0.25">
      <c r="A2884" t="s">
        <v>2893</v>
      </c>
      <c r="B2884" t="s">
        <v>11</v>
      </c>
      <c r="C2884">
        <v>115.158648438</v>
      </c>
      <c r="D2884">
        <f>0</f>
        <v>0</v>
      </c>
      <c r="E2884">
        <f>684425842/10^6</f>
        <v>684.42584199999999</v>
      </c>
      <c r="F2884">
        <f>0</f>
        <v>0</v>
      </c>
      <c r="G2884">
        <f>231131241/10^6</f>
        <v>231.13124099999999</v>
      </c>
      <c r="H2884">
        <f>0</f>
        <v>0</v>
      </c>
      <c r="I2884">
        <f>-43158054/10^6</f>
        <v>-43.158054</v>
      </c>
      <c r="J2884">
        <f>0</f>
        <v>0</v>
      </c>
    </row>
    <row r="2885" spans="1:10" x14ac:dyDescent="0.25">
      <c r="A2885" t="s">
        <v>2894</v>
      </c>
      <c r="B2885" t="s">
        <v>11</v>
      </c>
      <c r="C2885">
        <v>115.372890625</v>
      </c>
      <c r="D2885">
        <f>0</f>
        <v>0</v>
      </c>
      <c r="E2885">
        <f>683005249/10^6</f>
        <v>683.00524900000005</v>
      </c>
      <c r="F2885">
        <f>0</f>
        <v>0</v>
      </c>
      <c r="G2885">
        <f>231148575/10^6</f>
        <v>231.14857499999999</v>
      </c>
      <c r="H2885">
        <f>0</f>
        <v>0</v>
      </c>
      <c r="I2885">
        <f>-42861038/10^6</f>
        <v>-42.861038000000001</v>
      </c>
      <c r="J2885">
        <f>0</f>
        <v>0</v>
      </c>
    </row>
    <row r="2886" spans="1:10" x14ac:dyDescent="0.25">
      <c r="A2886" t="s">
        <v>2895</v>
      </c>
      <c r="B2886" t="s">
        <v>11</v>
      </c>
      <c r="C2886">
        <v>115.61140625</v>
      </c>
      <c r="D2886">
        <f>0</f>
        <v>0</v>
      </c>
      <c r="E2886">
        <f>681603394/10^6</f>
        <v>681.60339399999998</v>
      </c>
      <c r="F2886">
        <f>0</f>
        <v>0</v>
      </c>
      <c r="G2886">
        <f>231173538/10^6</f>
        <v>231.17353800000001</v>
      </c>
      <c r="H2886">
        <f>0</f>
        <v>0</v>
      </c>
      <c r="I2886">
        <f>-42765236/10^6</f>
        <v>-42.765236000000002</v>
      </c>
      <c r="J2886">
        <f>0</f>
        <v>0</v>
      </c>
    </row>
    <row r="2887" spans="1:10" x14ac:dyDescent="0.25">
      <c r="A2887" t="s">
        <v>2896</v>
      </c>
      <c r="B2887" t="s">
        <v>11</v>
      </c>
      <c r="C2887">
        <v>115.892015625</v>
      </c>
      <c r="D2887">
        <f>0</f>
        <v>0</v>
      </c>
      <c r="E2887">
        <f>6800354/10^4</f>
        <v>680.03539999999998</v>
      </c>
      <c r="F2887">
        <f>0</f>
        <v>0</v>
      </c>
      <c r="G2887">
        <f>231220795/10^6</f>
        <v>231.22079500000001</v>
      </c>
      <c r="H2887">
        <f>0</f>
        <v>0</v>
      </c>
      <c r="I2887">
        <f>-42624725/10^6</f>
        <v>-42.624724999999998</v>
      </c>
      <c r="J2887">
        <f>0</f>
        <v>0</v>
      </c>
    </row>
    <row r="2888" spans="1:10" x14ac:dyDescent="0.25">
      <c r="A2888" t="s">
        <v>2897</v>
      </c>
      <c r="B2888" t="s">
        <v>11</v>
      </c>
      <c r="C2888">
        <v>116.21267968800001</v>
      </c>
      <c r="D2888">
        <f>0</f>
        <v>0</v>
      </c>
      <c r="E2888">
        <f>67832074/10^5</f>
        <v>678.32074</v>
      </c>
      <c r="F2888">
        <f>0</f>
        <v>0</v>
      </c>
      <c r="G2888">
        <f>231306076/10^6</f>
        <v>231.30607599999999</v>
      </c>
      <c r="H2888">
        <f>0</f>
        <v>0</v>
      </c>
      <c r="I2888">
        <f>-42427376/10^6</f>
        <v>-42.427376000000002</v>
      </c>
      <c r="J2888">
        <f>0</f>
        <v>0</v>
      </c>
    </row>
    <row r="2889" spans="1:10" x14ac:dyDescent="0.25">
      <c r="A2889" t="s">
        <v>2898</v>
      </c>
      <c r="B2889" t="s">
        <v>11</v>
      </c>
      <c r="C2889">
        <v>116.562171875</v>
      </c>
      <c r="D2889">
        <f>0</f>
        <v>0</v>
      </c>
      <c r="E2889">
        <f>676363892/10^6</f>
        <v>676.36389199999996</v>
      </c>
      <c r="F2889">
        <f>0</f>
        <v>0</v>
      </c>
      <c r="G2889">
        <f>231378754/10^6</f>
        <v>231.37875399999999</v>
      </c>
      <c r="H2889">
        <f>0</f>
        <v>0</v>
      </c>
      <c r="I2889">
        <f>-4230117/10^5</f>
        <v>-42.301169999999999</v>
      </c>
      <c r="J2889">
        <f>0</f>
        <v>0</v>
      </c>
    </row>
    <row r="2890" spans="1:10" x14ac:dyDescent="0.25">
      <c r="A2890" t="s">
        <v>2899</v>
      </c>
      <c r="B2890" t="s">
        <v>11</v>
      </c>
      <c r="C2890">
        <v>116.960859375</v>
      </c>
      <c r="D2890">
        <f>0</f>
        <v>0</v>
      </c>
      <c r="E2890">
        <f>67404126/10^5</f>
        <v>674.04125999999997</v>
      </c>
      <c r="F2890">
        <f>0</f>
        <v>0</v>
      </c>
      <c r="G2890">
        <f>231457596/10^6</f>
        <v>231.457596</v>
      </c>
      <c r="H2890">
        <f>0</f>
        <v>0</v>
      </c>
      <c r="I2890">
        <f>-42041229/10^6</f>
        <v>-42.041229000000001</v>
      </c>
      <c r="J2890">
        <f>0</f>
        <v>0</v>
      </c>
    </row>
    <row r="2891" spans="1:10" x14ac:dyDescent="0.25">
      <c r="A2891" t="s">
        <v>2900</v>
      </c>
      <c r="B2891" t="s">
        <v>11</v>
      </c>
      <c r="C2891">
        <v>117.4325625</v>
      </c>
      <c r="D2891">
        <f>0</f>
        <v>0</v>
      </c>
      <c r="E2891">
        <f>671493958/10^6</f>
        <v>671.49395800000002</v>
      </c>
      <c r="F2891">
        <f>0</f>
        <v>0</v>
      </c>
      <c r="G2891">
        <f>231562332/10^6</f>
        <v>231.562332</v>
      </c>
      <c r="H2891">
        <f>0</f>
        <v>0</v>
      </c>
      <c r="I2891">
        <f>-41854324/10^6</f>
        <v>-41.854323999999998</v>
      </c>
      <c r="J2891">
        <f>0</f>
        <v>0</v>
      </c>
    </row>
    <row r="2892" spans="1:10" x14ac:dyDescent="0.25">
      <c r="A2892" t="s">
        <v>2901</v>
      </c>
      <c r="B2892" t="s">
        <v>11</v>
      </c>
      <c r="C2892">
        <v>117.98154687500001</v>
      </c>
      <c r="D2892">
        <f>0</f>
        <v>0</v>
      </c>
      <c r="E2892">
        <f>668434509/10^6</f>
        <v>668.43450900000005</v>
      </c>
      <c r="F2892">
        <f>0</f>
        <v>0</v>
      </c>
      <c r="G2892">
        <f>231659561/10^6</f>
        <v>231.659561</v>
      </c>
      <c r="H2892">
        <f>0</f>
        <v>0</v>
      </c>
      <c r="I2892">
        <f>-41527096/10^6</f>
        <v>-41.527096</v>
      </c>
      <c r="J2892">
        <f>0</f>
        <v>0</v>
      </c>
    </row>
    <row r="2893" spans="1:10" x14ac:dyDescent="0.25">
      <c r="A2893" t="s">
        <v>2902</v>
      </c>
      <c r="B2893" t="s">
        <v>11</v>
      </c>
      <c r="C2893">
        <v>118.58785937499999</v>
      </c>
      <c r="D2893">
        <f>0</f>
        <v>0</v>
      </c>
      <c r="E2893">
        <f>664856628/10^6</f>
        <v>664.856628</v>
      </c>
      <c r="F2893">
        <f>0</f>
        <v>0</v>
      </c>
      <c r="G2893">
        <f>231752121/10^6</f>
        <v>231.75212099999999</v>
      </c>
      <c r="H2893">
        <f>0</f>
        <v>0</v>
      </c>
      <c r="I2893">
        <f>-40868431/10^6</f>
        <v>-40.868431000000001</v>
      </c>
      <c r="J2893">
        <f>0</f>
        <v>0</v>
      </c>
    </row>
    <row r="2894" spans="1:10" x14ac:dyDescent="0.25">
      <c r="A2894" t="s">
        <v>2903</v>
      </c>
      <c r="B2894" t="s">
        <v>11</v>
      </c>
      <c r="C2894">
        <v>119.19683593800001</v>
      </c>
      <c r="D2894">
        <f>0</f>
        <v>0</v>
      </c>
      <c r="E2894">
        <f>661446045/10^6</f>
        <v>661.44604500000003</v>
      </c>
      <c r="F2894">
        <f>0</f>
        <v>0</v>
      </c>
      <c r="G2894">
        <f>2318414/10^4</f>
        <v>231.84139999999999</v>
      </c>
      <c r="H2894">
        <f>0</f>
        <v>0</v>
      </c>
      <c r="I2894">
        <f>-40568321/10^6</f>
        <v>-40.568320999999997</v>
      </c>
      <c r="J2894">
        <f>0</f>
        <v>0</v>
      </c>
    </row>
    <row r="2895" spans="1:10" x14ac:dyDescent="0.25">
      <c r="A2895" t="s">
        <v>2904</v>
      </c>
      <c r="B2895" t="s">
        <v>11</v>
      </c>
      <c r="C2895">
        <v>119.76038281300001</v>
      </c>
      <c r="D2895">
        <f>0</f>
        <v>0</v>
      </c>
      <c r="E2895">
        <f>658358337/10^6</f>
        <v>658.35833700000001</v>
      </c>
      <c r="F2895">
        <f>0</f>
        <v>0</v>
      </c>
      <c r="G2895">
        <f>231925568/10^6</f>
        <v>231.925568</v>
      </c>
      <c r="H2895">
        <f>0</f>
        <v>0</v>
      </c>
      <c r="I2895">
        <f>-40370369/10^6</f>
        <v>-40.370368999999997</v>
      </c>
      <c r="J2895">
        <f>0</f>
        <v>0</v>
      </c>
    </row>
    <row r="2896" spans="1:10" x14ac:dyDescent="0.25">
      <c r="A2896" t="s">
        <v>2905</v>
      </c>
      <c r="B2896" t="s">
        <v>11</v>
      </c>
      <c r="C2896">
        <v>120.253992188</v>
      </c>
      <c r="D2896">
        <f>0</f>
        <v>0</v>
      </c>
      <c r="E2896">
        <f>655653625/10^6</f>
        <v>655.65362500000003</v>
      </c>
      <c r="F2896">
        <f>0</f>
        <v>0</v>
      </c>
      <c r="G2896">
        <f>232002106/10^6</f>
        <v>232.002106</v>
      </c>
      <c r="H2896">
        <f>0</f>
        <v>0</v>
      </c>
      <c r="I2896">
        <f>-39974167/10^6</f>
        <v>-39.974167000000001</v>
      </c>
      <c r="J2896">
        <f>0</f>
        <v>0</v>
      </c>
    </row>
    <row r="2897" spans="1:10" x14ac:dyDescent="0.25">
      <c r="A2897" t="s">
        <v>2906</v>
      </c>
      <c r="B2897" t="s">
        <v>11</v>
      </c>
      <c r="C2897">
        <v>120.620507813</v>
      </c>
      <c r="D2897">
        <f>0</f>
        <v>0</v>
      </c>
      <c r="E2897">
        <f>653569031/10^6</f>
        <v>653.569031</v>
      </c>
      <c r="F2897">
        <f>0</f>
        <v>0</v>
      </c>
      <c r="G2897">
        <f>232050049/10^6</f>
        <v>232.050049</v>
      </c>
      <c r="H2897">
        <f>0</f>
        <v>0</v>
      </c>
      <c r="I2897">
        <f>-39801079/10^6</f>
        <v>-39.801079000000001</v>
      </c>
      <c r="J2897">
        <f>0</f>
        <v>0</v>
      </c>
    </row>
    <row r="2898" spans="1:10" x14ac:dyDescent="0.25">
      <c r="A2898" t="s">
        <v>2907</v>
      </c>
      <c r="B2898" t="s">
        <v>11</v>
      </c>
      <c r="C2898">
        <v>120.800945313</v>
      </c>
      <c r="D2898">
        <f>0</f>
        <v>0</v>
      </c>
      <c r="E2898">
        <f>652514282/10^6</f>
        <v>652.51428199999998</v>
      </c>
      <c r="F2898">
        <f>0</f>
        <v>0</v>
      </c>
      <c r="G2898">
        <f>232062866/10^6</f>
        <v>232.06286600000001</v>
      </c>
      <c r="H2898">
        <f>0</f>
        <v>0</v>
      </c>
      <c r="I2898">
        <f>-39708553/10^6</f>
        <v>-39.708553000000002</v>
      </c>
      <c r="J2898">
        <f>0</f>
        <v>0</v>
      </c>
    </row>
    <row r="2899" spans="1:10" x14ac:dyDescent="0.25">
      <c r="A2899" t="s">
        <v>2908</v>
      </c>
      <c r="B2899" t="s">
        <v>11</v>
      </c>
      <c r="C2899">
        <v>120.845367188</v>
      </c>
      <c r="D2899">
        <f>0</f>
        <v>0</v>
      </c>
      <c r="E2899">
        <f>652426086/10^6</f>
        <v>652.42608600000005</v>
      </c>
      <c r="F2899">
        <f>0</f>
        <v>0</v>
      </c>
      <c r="G2899">
        <f>232086243/10^6</f>
        <v>232.086243</v>
      </c>
      <c r="H2899">
        <f>0</f>
        <v>0</v>
      </c>
      <c r="I2899">
        <f>-39677288/10^6</f>
        <v>-39.677287999999997</v>
      </c>
      <c r="J2899">
        <f>0</f>
        <v>0</v>
      </c>
    </row>
    <row r="2900" spans="1:10" x14ac:dyDescent="0.25">
      <c r="A2900" t="s">
        <v>2909</v>
      </c>
      <c r="B2900" t="s">
        <v>11</v>
      </c>
      <c r="C2900">
        <v>120.875945313</v>
      </c>
      <c r="D2900">
        <f>0</f>
        <v>0</v>
      </c>
      <c r="E2900">
        <f>652143066/10^6</f>
        <v>652.14306599999998</v>
      </c>
      <c r="F2900">
        <f>0</f>
        <v>0</v>
      </c>
      <c r="G2900">
        <f>232122787/10^6</f>
        <v>232.12278699999999</v>
      </c>
      <c r="H2900">
        <f>0</f>
        <v>0</v>
      </c>
      <c r="I2900">
        <f>-39415779/10^6</f>
        <v>-39.415779000000001</v>
      </c>
      <c r="J2900">
        <f>0</f>
        <v>0</v>
      </c>
    </row>
    <row r="2901" spans="1:10" x14ac:dyDescent="0.25">
      <c r="A2901" t="s">
        <v>2910</v>
      </c>
      <c r="B2901" t="s">
        <v>11</v>
      </c>
      <c r="C2901">
        <v>120.908289063</v>
      </c>
      <c r="D2901">
        <f>0</f>
        <v>0</v>
      </c>
      <c r="E2901">
        <f>651853455/10^6</f>
        <v>651.85345500000005</v>
      </c>
      <c r="F2901">
        <f>0</f>
        <v>0</v>
      </c>
      <c r="G2901">
        <f>232133499/10^6</f>
        <v>232.133499</v>
      </c>
      <c r="H2901">
        <f>0</f>
        <v>0</v>
      </c>
      <c r="I2901">
        <f>-39274223/10^6</f>
        <v>-39.274222999999999</v>
      </c>
      <c r="J2901">
        <f>0</f>
        <v>0</v>
      </c>
    </row>
    <row r="2902" spans="1:10" x14ac:dyDescent="0.25">
      <c r="A2902" t="s">
        <v>2911</v>
      </c>
      <c r="B2902" t="s">
        <v>11</v>
      </c>
      <c r="C2902">
        <v>120.915617188</v>
      </c>
      <c r="D2902">
        <f>0</f>
        <v>0</v>
      </c>
      <c r="E2902">
        <f>652087891/10^6</f>
        <v>652.08789100000001</v>
      </c>
      <c r="F2902">
        <f>0</f>
        <v>0</v>
      </c>
      <c r="G2902">
        <f>232148422/10^6</f>
        <v>232.14842200000001</v>
      </c>
      <c r="H2902">
        <f>0</f>
        <v>0</v>
      </c>
      <c r="I2902">
        <f>-39571209/10^6</f>
        <v>-39.571209000000003</v>
      </c>
      <c r="J2902">
        <f>0</f>
        <v>0</v>
      </c>
    </row>
    <row r="2903" spans="1:10" x14ac:dyDescent="0.25">
      <c r="A2903" t="s">
        <v>2912</v>
      </c>
      <c r="B2903" t="s">
        <v>11</v>
      </c>
      <c r="C2903">
        <v>120.87634375</v>
      </c>
      <c r="D2903">
        <f>0</f>
        <v>0</v>
      </c>
      <c r="E2903">
        <f>652371826/10^6</f>
        <v>652.37182600000006</v>
      </c>
      <c r="F2903">
        <f>0</f>
        <v>0</v>
      </c>
      <c r="G2903">
        <f>232159012/10^6</f>
        <v>232.15901199999999</v>
      </c>
      <c r="H2903">
        <f>0</f>
        <v>0</v>
      </c>
      <c r="I2903">
        <f>-39517273/10^6</f>
        <v>-39.517273000000003</v>
      </c>
      <c r="J2903">
        <f>0</f>
        <v>0</v>
      </c>
    </row>
    <row r="2904" spans="1:10" x14ac:dyDescent="0.25">
      <c r="A2904" t="s">
        <v>2913</v>
      </c>
      <c r="B2904" t="s">
        <v>11</v>
      </c>
      <c r="C2904">
        <v>120.73984375000001</v>
      </c>
      <c r="D2904">
        <f>0</f>
        <v>0</v>
      </c>
      <c r="E2904">
        <f>653040955/10^6</f>
        <v>653.04095500000005</v>
      </c>
      <c r="F2904">
        <f>0</f>
        <v>0</v>
      </c>
      <c r="G2904">
        <f>232134674/10^6</f>
        <v>232.13467399999999</v>
      </c>
      <c r="H2904">
        <f>0</f>
        <v>0</v>
      </c>
      <c r="I2904">
        <f>-39367664/10^6</f>
        <v>-39.367663999999998</v>
      </c>
      <c r="J2904">
        <f>0</f>
        <v>0</v>
      </c>
    </row>
    <row r="2905" spans="1:10" x14ac:dyDescent="0.25">
      <c r="A2905" t="s">
        <v>2914</v>
      </c>
      <c r="B2905" t="s">
        <v>11</v>
      </c>
      <c r="C2905">
        <v>120.54115625</v>
      </c>
      <c r="D2905">
        <f>0</f>
        <v>0</v>
      </c>
      <c r="E2905">
        <f>65409198/10^5</f>
        <v>654.09198000000004</v>
      </c>
      <c r="F2905">
        <f>0</f>
        <v>0</v>
      </c>
      <c r="G2905">
        <f>232110626/10^6</f>
        <v>232.110626</v>
      </c>
      <c r="H2905">
        <f>0</f>
        <v>0</v>
      </c>
      <c r="I2905">
        <f>-39357407/10^6</f>
        <v>-39.357407000000002</v>
      </c>
      <c r="J2905">
        <f>0</f>
        <v>0</v>
      </c>
    </row>
    <row r="2906" spans="1:10" x14ac:dyDescent="0.25">
      <c r="A2906" t="s">
        <v>2915</v>
      </c>
      <c r="B2906" t="s">
        <v>11</v>
      </c>
      <c r="C2906">
        <v>120.31571093800001</v>
      </c>
      <c r="D2906">
        <f>0</f>
        <v>0</v>
      </c>
      <c r="E2906">
        <f>655288513/10^6</f>
        <v>655.28851299999997</v>
      </c>
      <c r="F2906">
        <f>0</f>
        <v>0</v>
      </c>
      <c r="G2906">
        <f>23207869/10^5</f>
        <v>232.07868999999999</v>
      </c>
      <c r="H2906">
        <f>0</f>
        <v>0</v>
      </c>
      <c r="I2906">
        <f>-39444679/10^6</f>
        <v>-39.444679000000001</v>
      </c>
      <c r="J2906">
        <f>0</f>
        <v>0</v>
      </c>
    </row>
    <row r="2907" spans="1:10" x14ac:dyDescent="0.25">
      <c r="A2907" t="s">
        <v>2916</v>
      </c>
      <c r="B2907" t="s">
        <v>11</v>
      </c>
      <c r="C2907">
        <v>120.03983593800001</v>
      </c>
      <c r="D2907">
        <f>0</f>
        <v>0</v>
      </c>
      <c r="E2907">
        <f>656888306/10^6</f>
        <v>656.88830599999994</v>
      </c>
      <c r="F2907">
        <f>0</f>
        <v>0</v>
      </c>
      <c r="G2907">
        <f>232031067/10^6</f>
        <v>232.03106700000001</v>
      </c>
      <c r="H2907">
        <f>0</f>
        <v>0</v>
      </c>
      <c r="I2907">
        <f>-3978883/10^5</f>
        <v>-39.788829999999997</v>
      </c>
      <c r="J2907">
        <f>0</f>
        <v>0</v>
      </c>
    </row>
    <row r="2908" spans="1:10" x14ac:dyDescent="0.25">
      <c r="A2908" t="s">
        <v>2917</v>
      </c>
      <c r="B2908" t="s">
        <v>11</v>
      </c>
      <c r="C2908">
        <v>119.73293750000001</v>
      </c>
      <c r="D2908">
        <f>0</f>
        <v>0</v>
      </c>
      <c r="E2908">
        <f>658440247/10^6</f>
        <v>658.440247</v>
      </c>
      <c r="F2908">
        <f>0</f>
        <v>0</v>
      </c>
      <c r="G2908">
        <f>231971069/10^6</f>
        <v>231.971069</v>
      </c>
      <c r="H2908">
        <f>0</f>
        <v>0</v>
      </c>
      <c r="I2908">
        <f>-39762577/10^6</f>
        <v>-39.762577</v>
      </c>
      <c r="J2908">
        <f>0</f>
        <v>0</v>
      </c>
    </row>
    <row r="2909" spans="1:10" x14ac:dyDescent="0.25">
      <c r="A2909" t="s">
        <v>2918</v>
      </c>
      <c r="B2909" t="s">
        <v>11</v>
      </c>
      <c r="C2909">
        <v>119.386101563</v>
      </c>
      <c r="D2909">
        <f>0</f>
        <v>0</v>
      </c>
      <c r="E2909">
        <f>660180237/10^6</f>
        <v>660.18023700000003</v>
      </c>
      <c r="F2909">
        <f>0</f>
        <v>0</v>
      </c>
      <c r="G2909">
        <f>231893799/10^6</f>
        <v>231.893799</v>
      </c>
      <c r="H2909">
        <f>0</f>
        <v>0</v>
      </c>
      <c r="I2909">
        <f>-39663586/10^6</f>
        <v>-39.663586000000002</v>
      </c>
      <c r="J2909">
        <f>0</f>
        <v>0</v>
      </c>
    </row>
    <row r="2910" spans="1:10" x14ac:dyDescent="0.25">
      <c r="A2910" t="s">
        <v>2919</v>
      </c>
      <c r="B2910" t="s">
        <v>11</v>
      </c>
      <c r="C2910">
        <v>118.97973437500001</v>
      </c>
      <c r="D2910">
        <f>0</f>
        <v>0</v>
      </c>
      <c r="E2910">
        <f>662550537/10^6</f>
        <v>662.55053699999996</v>
      </c>
      <c r="F2910">
        <f>0</f>
        <v>0</v>
      </c>
      <c r="G2910">
        <f>231815048/10^6</f>
        <v>231.81504799999999</v>
      </c>
      <c r="H2910">
        <f>0</f>
        <v>0</v>
      </c>
      <c r="I2910">
        <f>-4004158/10^5</f>
        <v>-40.041580000000003</v>
      </c>
      <c r="J2910">
        <f>0</f>
        <v>0</v>
      </c>
    </row>
    <row r="2911" spans="1:10" x14ac:dyDescent="0.25">
      <c r="A2911" t="s">
        <v>2920</v>
      </c>
      <c r="B2911" t="s">
        <v>11</v>
      </c>
      <c r="C2911">
        <v>118.52703124999999</v>
      </c>
      <c r="D2911">
        <f>0</f>
        <v>0</v>
      </c>
      <c r="E2911">
        <f>664930847/10^6</f>
        <v>664.93084699999997</v>
      </c>
      <c r="F2911">
        <f>0</f>
        <v>0</v>
      </c>
      <c r="G2911">
        <f>231708511/10^6</f>
        <v>231.70851099999999</v>
      </c>
      <c r="H2911">
        <f>0</f>
        <v>0</v>
      </c>
      <c r="I2911">
        <f>-40238121/10^6</f>
        <v>-40.238121</v>
      </c>
      <c r="J2911">
        <f>0</f>
        <v>0</v>
      </c>
    </row>
    <row r="2912" spans="1:10" x14ac:dyDescent="0.25">
      <c r="A2912" t="s">
        <v>2921</v>
      </c>
      <c r="B2912" t="s">
        <v>11</v>
      </c>
      <c r="C2912">
        <v>118.01309375</v>
      </c>
      <c r="D2912">
        <f>0</f>
        <v>0</v>
      </c>
      <c r="E2912">
        <f>667600586/10^6</f>
        <v>667.60058600000002</v>
      </c>
      <c r="F2912">
        <f>0</f>
        <v>0</v>
      </c>
      <c r="G2912">
        <f>23158342/10^5</f>
        <v>231.58341999999999</v>
      </c>
      <c r="H2912">
        <f>0</f>
        <v>0</v>
      </c>
      <c r="I2912">
        <f>-40496494/10^6</f>
        <v>-40.496493999999998</v>
      </c>
      <c r="J2912">
        <f>0</f>
        <v>0</v>
      </c>
    </row>
    <row r="2913" spans="1:10" x14ac:dyDescent="0.25">
      <c r="A2913" t="s">
        <v>2922</v>
      </c>
      <c r="B2913" t="s">
        <v>11</v>
      </c>
      <c r="C2913">
        <v>117.43463281300001</v>
      </c>
      <c r="D2913">
        <f>0</f>
        <v>0</v>
      </c>
      <c r="E2913">
        <f>670853271/10^6</f>
        <v>670.85327099999995</v>
      </c>
      <c r="F2913">
        <f>0</f>
        <v>0</v>
      </c>
      <c r="G2913">
        <f>231465881/10^6</f>
        <v>231.465881</v>
      </c>
      <c r="H2913">
        <f>0</f>
        <v>0</v>
      </c>
      <c r="I2913">
        <f>-40972305/10^6</f>
        <v>-40.972304999999999</v>
      </c>
      <c r="J2913">
        <f>0</f>
        <v>0</v>
      </c>
    </row>
    <row r="2914" spans="1:10" x14ac:dyDescent="0.25">
      <c r="A2914" t="s">
        <v>2923</v>
      </c>
      <c r="B2914" t="s">
        <v>11</v>
      </c>
      <c r="C2914">
        <v>116.798648438</v>
      </c>
      <c r="D2914">
        <f>0</f>
        <v>0</v>
      </c>
      <c r="E2914">
        <f>674415894/10^6</f>
        <v>674.41589399999998</v>
      </c>
      <c r="F2914">
        <f>0</f>
        <v>0</v>
      </c>
      <c r="G2914">
        <f>231341537/10^6</f>
        <v>231.34153699999999</v>
      </c>
      <c r="H2914">
        <f>0</f>
        <v>0</v>
      </c>
      <c r="I2914">
        <f>-41307011/10^6</f>
        <v>-41.307011000000003</v>
      </c>
      <c r="J2914">
        <f>0</f>
        <v>0</v>
      </c>
    </row>
    <row r="2915" spans="1:10" x14ac:dyDescent="0.25">
      <c r="A2915" t="s">
        <v>2924</v>
      </c>
      <c r="B2915" t="s">
        <v>11</v>
      </c>
      <c r="C2915">
        <v>116.10260156300001</v>
      </c>
      <c r="D2915">
        <f>0</f>
        <v>0</v>
      </c>
      <c r="E2915">
        <f>678336609/10^6</f>
        <v>678.33660899999995</v>
      </c>
      <c r="F2915">
        <f>0</f>
        <v>0</v>
      </c>
      <c r="G2915">
        <f>231174835/10^6</f>
        <v>231.174835</v>
      </c>
      <c r="H2915">
        <f>0</f>
        <v>0</v>
      </c>
      <c r="I2915">
        <f>-41864136/10^6</f>
        <v>-41.864136000000002</v>
      </c>
      <c r="J2915">
        <f>0</f>
        <v>0</v>
      </c>
    </row>
    <row r="2916" spans="1:10" x14ac:dyDescent="0.25">
      <c r="A2916" t="s">
        <v>2925</v>
      </c>
      <c r="B2916" t="s">
        <v>11</v>
      </c>
      <c r="C2916">
        <v>115.47582812500001</v>
      </c>
      <c r="D2916">
        <f>0</f>
        <v>0</v>
      </c>
      <c r="E2916">
        <f>681864624/10^6</f>
        <v>681.86462400000005</v>
      </c>
      <c r="F2916">
        <f>0</f>
        <v>0</v>
      </c>
      <c r="G2916">
        <f>230984451/10^6</f>
        <v>230.98445100000001</v>
      </c>
      <c r="H2916">
        <f>0</f>
        <v>0</v>
      </c>
      <c r="I2916">
        <f>-42573833/10^6</f>
        <v>-42.573833</v>
      </c>
      <c r="J2916">
        <f>0</f>
        <v>0</v>
      </c>
    </row>
    <row r="2917" spans="1:10" x14ac:dyDescent="0.25">
      <c r="A2917" t="s">
        <v>2926</v>
      </c>
      <c r="B2917" t="s">
        <v>11</v>
      </c>
      <c r="C2917">
        <v>115.05588281300001</v>
      </c>
      <c r="D2917">
        <f>0</f>
        <v>0</v>
      </c>
      <c r="E2917">
        <f>684150635/10^6</f>
        <v>684.15063499999997</v>
      </c>
      <c r="F2917">
        <f>0</f>
        <v>0</v>
      </c>
      <c r="G2917">
        <f>230830017/10^6</f>
        <v>230.830017</v>
      </c>
      <c r="H2917">
        <f>0</f>
        <v>0</v>
      </c>
      <c r="I2917">
        <f>-42897217/10^6</f>
        <v>-42.897216999999998</v>
      </c>
      <c r="J2917">
        <f>0</f>
        <v>0</v>
      </c>
    </row>
    <row r="2918" spans="1:10" x14ac:dyDescent="0.25">
      <c r="A2918" t="s">
        <v>2927</v>
      </c>
      <c r="B2918" t="s">
        <v>11</v>
      </c>
      <c r="C2918">
        <v>0</v>
      </c>
      <c r="D2918">
        <f>2</f>
        <v>2</v>
      </c>
      <c r="F2918">
        <f>2</f>
        <v>2</v>
      </c>
      <c r="H2918">
        <f>2</f>
        <v>2</v>
      </c>
      <c r="J2918">
        <f>2</f>
        <v>2</v>
      </c>
    </row>
    <row r="2919" spans="1:10" x14ac:dyDescent="0.25">
      <c r="A2919" t="s">
        <v>2928</v>
      </c>
      <c r="B2919" t="s">
        <v>11</v>
      </c>
      <c r="C2919">
        <v>114.47921093800001</v>
      </c>
      <c r="D2919">
        <f>0</f>
        <v>0</v>
      </c>
      <c r="E2919">
        <f>686925659/10^6</f>
        <v>686.925659</v>
      </c>
      <c r="F2919">
        <f>0</f>
        <v>0</v>
      </c>
      <c r="G2919">
        <f>230570694/10^6</f>
        <v>230.570694</v>
      </c>
      <c r="H2919">
        <f>0</f>
        <v>0</v>
      </c>
      <c r="I2919">
        <f>-42901199/10^6</f>
        <v>-42.901198999999998</v>
      </c>
      <c r="J2919">
        <f>0</f>
        <v>0</v>
      </c>
    </row>
    <row r="2920" spans="1:10" x14ac:dyDescent="0.25">
      <c r="A2920" t="s">
        <v>2929</v>
      </c>
      <c r="B2920" t="s">
        <v>11</v>
      </c>
      <c r="C2920">
        <v>0</v>
      </c>
      <c r="D2920">
        <f>2</f>
        <v>2</v>
      </c>
      <c r="F2920">
        <f>2</f>
        <v>2</v>
      </c>
      <c r="H2920">
        <f>2</f>
        <v>2</v>
      </c>
      <c r="J2920">
        <f>2</f>
        <v>2</v>
      </c>
    </row>
    <row r="2921" spans="1:10" x14ac:dyDescent="0.25">
      <c r="A2921" t="s">
        <v>2930</v>
      </c>
      <c r="B2921" t="s">
        <v>11</v>
      </c>
      <c r="C2921">
        <v>115.061289063</v>
      </c>
      <c r="D2921">
        <f>0</f>
        <v>0</v>
      </c>
      <c r="E2921">
        <f>684747131/10^6</f>
        <v>684.74713099999997</v>
      </c>
      <c r="F2921">
        <f>0</f>
        <v>0</v>
      </c>
      <c r="G2921">
        <f>230546738/10^6</f>
        <v>230.546738</v>
      </c>
      <c r="H2921">
        <f>0</f>
        <v>0</v>
      </c>
      <c r="I2921">
        <f>-4525148/10^5</f>
        <v>-45.251480000000001</v>
      </c>
      <c r="J2921">
        <f>0</f>
        <v>0</v>
      </c>
    </row>
    <row r="2922" spans="1:10" x14ac:dyDescent="0.25">
      <c r="A2922" t="s">
        <v>2931</v>
      </c>
      <c r="B2922" t="s">
        <v>11</v>
      </c>
      <c r="C2922">
        <v>117.679046875</v>
      </c>
      <c r="D2922">
        <f>0</f>
        <v>0</v>
      </c>
      <c r="E2922">
        <f>668738647/10^6</f>
        <v>668.73864700000001</v>
      </c>
      <c r="F2922">
        <f>0</f>
        <v>0</v>
      </c>
      <c r="G2922">
        <f>230751999/10^6</f>
        <v>230.75199900000001</v>
      </c>
      <c r="H2922">
        <f>0</f>
        <v>0</v>
      </c>
      <c r="I2922">
        <f>-43410721/10^6</f>
        <v>-43.410721000000002</v>
      </c>
      <c r="J2922">
        <f>0</f>
        <v>0</v>
      </c>
    </row>
    <row r="2923" spans="1:10" x14ac:dyDescent="0.25">
      <c r="A2923" t="s">
        <v>2932</v>
      </c>
      <c r="B2923" t="s">
        <v>11</v>
      </c>
      <c r="C2923">
        <v>120.873265625</v>
      </c>
      <c r="D2923">
        <f>0</f>
        <v>0</v>
      </c>
      <c r="E2923">
        <f>651136902/10^6</f>
        <v>651.13690199999996</v>
      </c>
      <c r="F2923">
        <f>0</f>
        <v>0</v>
      </c>
      <c r="G2923">
        <f>231381638/10^6</f>
        <v>231.38163800000001</v>
      </c>
      <c r="H2923">
        <f>0</f>
        <v>0</v>
      </c>
      <c r="I2923">
        <f>-42198711/10^6</f>
        <v>-42.198711000000003</v>
      </c>
      <c r="J2923">
        <f>0</f>
        <v>0</v>
      </c>
    </row>
    <row r="2924" spans="1:10" x14ac:dyDescent="0.25">
      <c r="A2924" t="s">
        <v>2933</v>
      </c>
      <c r="B2924" t="s">
        <v>11</v>
      </c>
      <c r="C2924">
        <v>123.49250000000001</v>
      </c>
      <c r="D2924">
        <f>0</f>
        <v>0</v>
      </c>
      <c r="E2924">
        <f>637107727/10^6</f>
        <v>637.10772699999995</v>
      </c>
      <c r="F2924">
        <f>0</f>
        <v>0</v>
      </c>
      <c r="G2924">
        <f>23193605/10^5</f>
        <v>231.93604999999999</v>
      </c>
      <c r="H2924">
        <f>0</f>
        <v>0</v>
      </c>
      <c r="I2924">
        <f>-41126648/10^6</f>
        <v>-41.126648000000003</v>
      </c>
      <c r="J2924">
        <f>0</f>
        <v>0</v>
      </c>
    </row>
    <row r="2925" spans="1:10" x14ac:dyDescent="0.25">
      <c r="A2925" t="s">
        <v>2934</v>
      </c>
      <c r="B2925" t="s">
        <v>11</v>
      </c>
      <c r="C2925">
        <v>125.154335938</v>
      </c>
      <c r="D2925">
        <f>0</f>
        <v>0</v>
      </c>
      <c r="E2925">
        <f>62786084/10^5</f>
        <v>627.86084000000005</v>
      </c>
      <c r="F2925">
        <f>0</f>
        <v>0</v>
      </c>
      <c r="G2925">
        <f>232305435/10^6</f>
        <v>232.30543499999999</v>
      </c>
      <c r="H2925">
        <f>0</f>
        <v>0</v>
      </c>
      <c r="I2925">
        <f>-3848864/10^5</f>
        <v>-38.488639999999997</v>
      </c>
      <c r="J2925">
        <f>0</f>
        <v>0</v>
      </c>
    </row>
    <row r="2926" spans="1:10" x14ac:dyDescent="0.25">
      <c r="A2926" t="s">
        <v>2935</v>
      </c>
      <c r="B2926" t="s">
        <v>11</v>
      </c>
      <c r="C2926">
        <v>125.66940624999999</v>
      </c>
      <c r="D2926">
        <f>0</f>
        <v>0</v>
      </c>
      <c r="E2926">
        <f>624151611/10^6</f>
        <v>624.151611</v>
      </c>
      <c r="F2926">
        <f>0</f>
        <v>0</v>
      </c>
      <c r="G2926">
        <f>232209305/10^6</f>
        <v>232.209305</v>
      </c>
      <c r="H2926">
        <f>0</f>
        <v>0</v>
      </c>
      <c r="I2926">
        <f>-36991673/10^6</f>
        <v>-36.991672999999999</v>
      </c>
      <c r="J2926">
        <f>0</f>
        <v>0</v>
      </c>
    </row>
    <row r="2927" spans="1:10" x14ac:dyDescent="0.25">
      <c r="A2927" t="s">
        <v>2936</v>
      </c>
      <c r="B2927" t="s">
        <v>11</v>
      </c>
      <c r="C2927">
        <v>0</v>
      </c>
      <c r="D2927">
        <f>2</f>
        <v>2</v>
      </c>
      <c r="F2927">
        <f>2</f>
        <v>2</v>
      </c>
      <c r="H2927">
        <f>2</f>
        <v>2</v>
      </c>
      <c r="J2927">
        <f>2</f>
        <v>2</v>
      </c>
    </row>
    <row r="2928" spans="1:10" x14ac:dyDescent="0.25">
      <c r="A2928" t="s">
        <v>2937</v>
      </c>
      <c r="B2928" t="s">
        <v>11</v>
      </c>
      <c r="C2928">
        <v>123.75510156300001</v>
      </c>
      <c r="D2928">
        <f>0</f>
        <v>0</v>
      </c>
      <c r="E2928">
        <f>63369043/10^5</f>
        <v>633.69042999999999</v>
      </c>
      <c r="F2928">
        <f>0</f>
        <v>0</v>
      </c>
      <c r="G2928">
        <f>231739349/10^6</f>
        <v>231.739349</v>
      </c>
      <c r="H2928">
        <f>0</f>
        <v>0</v>
      </c>
      <c r="I2928">
        <f>-36026173/10^6</f>
        <v>-36.026173</v>
      </c>
      <c r="J2928">
        <f>0</f>
        <v>0</v>
      </c>
    </row>
    <row r="2929" spans="1:10" x14ac:dyDescent="0.25">
      <c r="A2929" t="s">
        <v>2938</v>
      </c>
      <c r="B2929" t="s">
        <v>11</v>
      </c>
      <c r="C2929">
        <v>122.45452343800001</v>
      </c>
      <c r="D2929">
        <f>0</f>
        <v>0</v>
      </c>
      <c r="E2929">
        <f>642764771/10^6</f>
        <v>642.764771</v>
      </c>
      <c r="F2929">
        <f>0</f>
        <v>0</v>
      </c>
      <c r="G2929">
        <f>232157669/10^6</f>
        <v>232.157669</v>
      </c>
      <c r="H2929">
        <f>0</f>
        <v>0</v>
      </c>
      <c r="I2929">
        <f>-37584393/10^6</f>
        <v>-37.584392999999999</v>
      </c>
      <c r="J2929">
        <f>0</f>
        <v>0</v>
      </c>
    </row>
    <row r="2930" spans="1:10" x14ac:dyDescent="0.25">
      <c r="A2930" t="s">
        <v>2939</v>
      </c>
      <c r="B2930" t="s">
        <v>11</v>
      </c>
      <c r="C2930">
        <v>121.993554688</v>
      </c>
      <c r="D2930">
        <f>0</f>
        <v>0</v>
      </c>
      <c r="E2930">
        <f>646229309/10^6</f>
        <v>646.22930899999994</v>
      </c>
      <c r="F2930">
        <f>0</f>
        <v>0</v>
      </c>
      <c r="G2930">
        <f>232275131/10^6</f>
        <v>232.27513099999999</v>
      </c>
      <c r="H2930">
        <f>0</f>
        <v>0</v>
      </c>
      <c r="I2930">
        <f>-38800655/10^6</f>
        <v>-38.800654999999999</v>
      </c>
      <c r="J2930">
        <f>0</f>
        <v>0</v>
      </c>
    </row>
    <row r="2931" spans="1:10" x14ac:dyDescent="0.25">
      <c r="A2931" t="s">
        <v>2940</v>
      </c>
      <c r="B2931" t="s">
        <v>11</v>
      </c>
      <c r="C2931">
        <v>121.919523438</v>
      </c>
      <c r="D2931">
        <f>0</f>
        <v>0</v>
      </c>
      <c r="E2931">
        <f>646847168/10^6</f>
        <v>646.84716800000001</v>
      </c>
      <c r="F2931">
        <f>0</f>
        <v>0</v>
      </c>
      <c r="G2931">
        <f>232317505/10^6</f>
        <v>232.31750500000001</v>
      </c>
      <c r="H2931">
        <f>0</f>
        <v>0</v>
      </c>
      <c r="I2931">
        <f>-38984791/10^6</f>
        <v>-38.984791000000001</v>
      </c>
      <c r="J2931">
        <f>0</f>
        <v>0</v>
      </c>
    </row>
    <row r="2932" spans="1:10" x14ac:dyDescent="0.25">
      <c r="A2932" t="s">
        <v>2941</v>
      </c>
      <c r="B2932" t="s">
        <v>11</v>
      </c>
      <c r="C2932">
        <v>121.52496093800001</v>
      </c>
      <c r="D2932">
        <f>0</f>
        <v>0</v>
      </c>
      <c r="E2932">
        <f>648759338/10^6</f>
        <v>648.75933799999996</v>
      </c>
      <c r="F2932">
        <f>0</f>
        <v>0</v>
      </c>
      <c r="G2932">
        <f>232301117/10^6</f>
        <v>232.301117</v>
      </c>
      <c r="H2932">
        <f>0</f>
        <v>0</v>
      </c>
      <c r="I2932">
        <f>-38560177/10^6</f>
        <v>-38.560177000000003</v>
      </c>
      <c r="J2932">
        <f>0</f>
        <v>0</v>
      </c>
    </row>
    <row r="2933" spans="1:10" x14ac:dyDescent="0.25">
      <c r="A2933" t="s">
        <v>2942</v>
      </c>
      <c r="B2933" t="s">
        <v>11</v>
      </c>
      <c r="C2933">
        <v>120.82398437499999</v>
      </c>
      <c r="D2933">
        <f>0</f>
        <v>0</v>
      </c>
      <c r="E2933">
        <f>652819458/10^6</f>
        <v>652.81945800000005</v>
      </c>
      <c r="F2933">
        <f>0</f>
        <v>0</v>
      </c>
      <c r="G2933">
        <f>232283066/10^6</f>
        <v>232.28306599999999</v>
      </c>
      <c r="H2933">
        <f>0</f>
        <v>0</v>
      </c>
      <c r="I2933">
        <f>-38798351/10^6</f>
        <v>-38.798350999999997</v>
      </c>
      <c r="J2933">
        <f>0</f>
        <v>0</v>
      </c>
    </row>
    <row r="2934" spans="1:10" x14ac:dyDescent="0.25">
      <c r="A2934" t="s">
        <v>2943</v>
      </c>
      <c r="B2934" t="s">
        <v>11</v>
      </c>
      <c r="C2934">
        <v>120.1684375</v>
      </c>
      <c r="D2934">
        <f>0</f>
        <v>0</v>
      </c>
      <c r="E2934">
        <f>656514404/10^6</f>
        <v>656.51440400000001</v>
      </c>
      <c r="F2934">
        <f>0</f>
        <v>0</v>
      </c>
      <c r="G2934">
        <f>23220752/10^5</f>
        <v>232.20751999999999</v>
      </c>
      <c r="H2934">
        <f>0</f>
        <v>0</v>
      </c>
      <c r="I2934">
        <f>-39220406/10^6</f>
        <v>-39.220405999999997</v>
      </c>
      <c r="J2934">
        <f>0</f>
        <v>0</v>
      </c>
    </row>
    <row r="2935" spans="1:10" x14ac:dyDescent="0.25">
      <c r="A2935" t="s">
        <v>2944</v>
      </c>
      <c r="B2935" t="s">
        <v>11</v>
      </c>
      <c r="C2935">
        <v>119.42450781300001</v>
      </c>
      <c r="D2935">
        <f>0</f>
        <v>0</v>
      </c>
      <c r="E2935">
        <f>660264099/10^6</f>
        <v>660.26409899999999</v>
      </c>
      <c r="F2935">
        <f>0</f>
        <v>0</v>
      </c>
      <c r="G2935">
        <f>232066971/10^6</f>
        <v>232.066971</v>
      </c>
      <c r="H2935">
        <f>0</f>
        <v>0</v>
      </c>
      <c r="I2935">
        <f>-39123604/10^6</f>
        <v>-39.123604</v>
      </c>
      <c r="J2935">
        <f>0</f>
        <v>0</v>
      </c>
    </row>
    <row r="2936" spans="1:10" x14ac:dyDescent="0.25">
      <c r="A2936" t="s">
        <v>2945</v>
      </c>
      <c r="B2936" t="s">
        <v>11</v>
      </c>
      <c r="C2936">
        <v>118.37867968800001</v>
      </c>
      <c r="D2936">
        <f>0</f>
        <v>0</v>
      </c>
      <c r="E2936">
        <f>665977417/10^6</f>
        <v>665.97741699999995</v>
      </c>
      <c r="F2936">
        <f>0</f>
        <v>0</v>
      </c>
      <c r="G2936">
        <f>231875198/10^6</f>
        <v>231.87519800000001</v>
      </c>
      <c r="H2936">
        <f>0</f>
        <v>0</v>
      </c>
      <c r="I2936">
        <f>-39588142/10^6</f>
        <v>-39.588141999999998</v>
      </c>
      <c r="J2936">
        <f>0</f>
        <v>0</v>
      </c>
    </row>
    <row r="2937" spans="1:10" x14ac:dyDescent="0.25">
      <c r="A2937" t="s">
        <v>2946</v>
      </c>
      <c r="B2937" t="s">
        <v>11</v>
      </c>
      <c r="C2937">
        <v>117.071265625</v>
      </c>
      <c r="D2937">
        <f>0</f>
        <v>0</v>
      </c>
      <c r="E2937">
        <f>673274475/10^6</f>
        <v>673.27447500000005</v>
      </c>
      <c r="F2937">
        <f>0</f>
        <v>0</v>
      </c>
      <c r="G2937">
        <f>231635986/10^6</f>
        <v>231.635986</v>
      </c>
      <c r="H2937">
        <f>0</f>
        <v>0</v>
      </c>
      <c r="I2937">
        <f>-40540443/10^6</f>
        <v>-40.540443000000003</v>
      </c>
      <c r="J2937">
        <f>0</f>
        <v>0</v>
      </c>
    </row>
    <row r="2938" spans="1:10" x14ac:dyDescent="0.25">
      <c r="A2938" t="s">
        <v>2947</v>
      </c>
      <c r="B2938" t="s">
        <v>11</v>
      </c>
      <c r="C2938">
        <v>115.676492188</v>
      </c>
      <c r="D2938">
        <f>0</f>
        <v>0</v>
      </c>
      <c r="E2938">
        <f>681097046/10^6</f>
        <v>681.09704599999998</v>
      </c>
      <c r="F2938">
        <f>0</f>
        <v>0</v>
      </c>
      <c r="G2938">
        <f>231346497/10^6</f>
        <v>231.346497</v>
      </c>
      <c r="H2938">
        <f>0</f>
        <v>0</v>
      </c>
      <c r="I2938">
        <f>-41617935/10^6</f>
        <v>-41.617935000000003</v>
      </c>
      <c r="J2938">
        <f>0</f>
        <v>0</v>
      </c>
    </row>
    <row r="2939" spans="1:10" x14ac:dyDescent="0.25">
      <c r="A2939" t="s">
        <v>2948</v>
      </c>
      <c r="B2939" t="s">
        <v>11</v>
      </c>
      <c r="C2939">
        <v>114.632335938</v>
      </c>
      <c r="D2939">
        <f>0</f>
        <v>0</v>
      </c>
      <c r="E2939">
        <f>687246765/10^6</f>
        <v>687.24676499999998</v>
      </c>
      <c r="F2939">
        <f>0</f>
        <v>0</v>
      </c>
      <c r="G2939">
        <f>230958908/10^6</f>
        <v>230.95890800000001</v>
      </c>
      <c r="H2939">
        <f>0</f>
        <v>0</v>
      </c>
      <c r="I2939">
        <f>-43301327/10^6</f>
        <v>-43.301327000000001</v>
      </c>
      <c r="J2939">
        <f>0</f>
        <v>0</v>
      </c>
    </row>
    <row r="2940" spans="1:10" x14ac:dyDescent="0.25">
      <c r="A2940" t="s">
        <v>2949</v>
      </c>
      <c r="B2940" t="s">
        <v>11</v>
      </c>
      <c r="C2940">
        <v>114.37597656300001</v>
      </c>
      <c r="D2940">
        <f>0</f>
        <v>0</v>
      </c>
      <c r="E2940">
        <f>687738098/10^6</f>
        <v>687.73809800000004</v>
      </c>
      <c r="F2940">
        <f>0</f>
        <v>0</v>
      </c>
      <c r="G2940">
        <f>230497086/10^6</f>
        <v>230.497086</v>
      </c>
      <c r="H2940">
        <f>0</f>
        <v>0</v>
      </c>
      <c r="I2940">
        <f>-43554096/10^6</f>
        <v>-43.554096000000001</v>
      </c>
      <c r="J2940">
        <f>0</f>
        <v>0</v>
      </c>
    </row>
    <row r="2941" spans="1:10" x14ac:dyDescent="0.25">
      <c r="A2941" t="s">
        <v>2950</v>
      </c>
      <c r="B2941" t="s">
        <v>11</v>
      </c>
      <c r="C2941">
        <v>113.361492188</v>
      </c>
      <c r="D2941">
        <f>0</f>
        <v>0</v>
      </c>
      <c r="E2941">
        <f>693530884/10^6</f>
        <v>693.53088400000001</v>
      </c>
      <c r="F2941">
        <f>0</f>
        <v>0</v>
      </c>
      <c r="G2941">
        <f>230441605/10^6</f>
        <v>230.44160500000001</v>
      </c>
      <c r="H2941">
        <f>0</f>
        <v>0</v>
      </c>
      <c r="I2941">
        <f>-433162/10^4</f>
        <v>-43.316200000000002</v>
      </c>
      <c r="J2941">
        <f>0</f>
        <v>0</v>
      </c>
    </row>
    <row r="2942" spans="1:10" x14ac:dyDescent="0.25">
      <c r="A2942" t="s">
        <v>2951</v>
      </c>
      <c r="B2942" t="s">
        <v>11</v>
      </c>
      <c r="C2942">
        <v>114.5890625</v>
      </c>
      <c r="D2942">
        <f>0</f>
        <v>0</v>
      </c>
      <c r="E2942">
        <f>68994104/10^5</f>
        <v>689.94104000000004</v>
      </c>
      <c r="F2942">
        <f>0</f>
        <v>0</v>
      </c>
      <c r="G2942">
        <f>23064592/10^5</f>
        <v>230.64591999999999</v>
      </c>
      <c r="H2942">
        <f>0</f>
        <v>0</v>
      </c>
      <c r="I2942">
        <f>-49487286/10^6</f>
        <v>-49.487285999999997</v>
      </c>
      <c r="J2942">
        <f>0</f>
        <v>0</v>
      </c>
    </row>
    <row r="2943" spans="1:10" x14ac:dyDescent="0.25">
      <c r="A2943" t="s">
        <v>2952</v>
      </c>
      <c r="B2943" t="s">
        <v>11</v>
      </c>
      <c r="C2943">
        <v>121.25299218800001</v>
      </c>
      <c r="D2943">
        <f>0</f>
        <v>0</v>
      </c>
      <c r="E2943">
        <f>650468628/10^6</f>
        <v>650.46862799999997</v>
      </c>
      <c r="F2943">
        <f>0</f>
        <v>0</v>
      </c>
      <c r="G2943">
        <f>230306976/10^6</f>
        <v>230.30697599999999</v>
      </c>
      <c r="H2943">
        <f>0</f>
        <v>0</v>
      </c>
      <c r="I2943">
        <f>-50712601/10^6</f>
        <v>-50.712600999999999</v>
      </c>
      <c r="J2943">
        <f>0</f>
        <v>0</v>
      </c>
    </row>
    <row r="2944" spans="1:10" x14ac:dyDescent="0.25">
      <c r="A2944" t="s">
        <v>2953</v>
      </c>
      <c r="B2944" t="s">
        <v>11</v>
      </c>
      <c r="C2944">
        <v>0</v>
      </c>
      <c r="D2944">
        <f>2</f>
        <v>2</v>
      </c>
      <c r="F2944">
        <f>2</f>
        <v>2</v>
      </c>
      <c r="H2944">
        <f>2</f>
        <v>2</v>
      </c>
      <c r="J2944">
        <f>2</f>
        <v>2</v>
      </c>
    </row>
    <row r="2945" spans="1:10" x14ac:dyDescent="0.25">
      <c r="A2945" t="s">
        <v>2954</v>
      </c>
      <c r="B2945" t="s">
        <v>11</v>
      </c>
      <c r="C2945">
        <v>128.55911718800002</v>
      </c>
      <c r="D2945">
        <f>0</f>
        <v>0</v>
      </c>
      <c r="E2945">
        <f>604958313/10^6</f>
        <v>604.95831299999998</v>
      </c>
      <c r="F2945">
        <f>0</f>
        <v>0</v>
      </c>
      <c r="G2945">
        <f>231230972/10^6</f>
        <v>231.23097200000001</v>
      </c>
      <c r="H2945">
        <f>0</f>
        <v>0</v>
      </c>
      <c r="I2945">
        <f>-34362778/10^6</f>
        <v>-34.362777999999999</v>
      </c>
      <c r="J2945">
        <f>0</f>
        <v>0</v>
      </c>
    </row>
    <row r="2946" spans="1:10" x14ac:dyDescent="0.25">
      <c r="A2946" t="s">
        <v>2955</v>
      </c>
      <c r="B2946" t="s">
        <v>11</v>
      </c>
      <c r="C2946">
        <v>126.475515625</v>
      </c>
      <c r="D2946">
        <f>0</f>
        <v>0</v>
      </c>
      <c r="E2946">
        <f>615562683/10^6</f>
        <v>615.56268299999999</v>
      </c>
      <c r="F2946">
        <f>0</f>
        <v>0</v>
      </c>
      <c r="G2946">
        <f>231085861/10^6</f>
        <v>231.08586099999999</v>
      </c>
      <c r="H2946">
        <f>0</f>
        <v>0</v>
      </c>
      <c r="I2946">
        <f>-31307487/10^6</f>
        <v>-31.307486999999998</v>
      </c>
      <c r="J2946">
        <f>0</f>
        <v>0</v>
      </c>
    </row>
    <row r="2947" spans="1:10" x14ac:dyDescent="0.25">
      <c r="A2947" t="s">
        <v>2956</v>
      </c>
      <c r="B2947" t="s">
        <v>11</v>
      </c>
      <c r="C2947">
        <v>122.627046875</v>
      </c>
      <c r="D2947">
        <f>0</f>
        <v>0</v>
      </c>
      <c r="E2947">
        <f>636582092/10^6</f>
        <v>636.58209199999999</v>
      </c>
      <c r="F2947">
        <f>0</f>
        <v>0</v>
      </c>
      <c r="G2947">
        <f>230597717/10^6</f>
        <v>230.59771699999999</v>
      </c>
      <c r="H2947">
        <f>0</f>
        <v>0</v>
      </c>
      <c r="I2947">
        <f>-34997185/10^6</f>
        <v>-34.997185000000002</v>
      </c>
      <c r="J2947">
        <f>0</f>
        <v>0</v>
      </c>
    </row>
    <row r="2948" spans="1:10" x14ac:dyDescent="0.25">
      <c r="A2948" t="s">
        <v>2957</v>
      </c>
      <c r="B2948" t="s">
        <v>11</v>
      </c>
      <c r="C2948">
        <v>121.291117188</v>
      </c>
      <c r="D2948">
        <f>0</f>
        <v>0</v>
      </c>
      <c r="E2948">
        <f>648468323/10^6</f>
        <v>648.46832300000005</v>
      </c>
      <c r="F2948">
        <f>0</f>
        <v>0</v>
      </c>
      <c r="G2948">
        <f>231848541/10^6</f>
        <v>231.84854100000001</v>
      </c>
      <c r="H2948">
        <f>0</f>
        <v>0</v>
      </c>
      <c r="I2948">
        <f>-3817207/10^5</f>
        <v>-38.172069999999998</v>
      </c>
      <c r="J2948">
        <f>0</f>
        <v>0</v>
      </c>
    </row>
    <row r="2949" spans="1:10" x14ac:dyDescent="0.25">
      <c r="A2949" t="s">
        <v>2958</v>
      </c>
      <c r="B2949" t="s">
        <v>11</v>
      </c>
      <c r="C2949">
        <v>121.84585156300001</v>
      </c>
      <c r="D2949">
        <f>0</f>
        <v>0</v>
      </c>
      <c r="E2949">
        <f>647567078/10^6</f>
        <v>647.56707800000004</v>
      </c>
      <c r="F2949">
        <f>0</f>
        <v>0</v>
      </c>
      <c r="G2949">
        <f>232464874/10^6</f>
        <v>232.46487400000001</v>
      </c>
      <c r="H2949">
        <f>0</f>
        <v>0</v>
      </c>
      <c r="I2949">
        <f>-38841347/10^6</f>
        <v>-38.841346999999999</v>
      </c>
      <c r="J2949">
        <f>0</f>
        <v>0</v>
      </c>
    </row>
    <row r="2950" spans="1:10" x14ac:dyDescent="0.25">
      <c r="A2950" t="s">
        <v>2959</v>
      </c>
      <c r="B2950" t="s">
        <v>11</v>
      </c>
      <c r="C2950">
        <v>0</v>
      </c>
      <c r="D2950">
        <f>2</f>
        <v>2</v>
      </c>
      <c r="F2950">
        <f>2</f>
        <v>2</v>
      </c>
      <c r="H2950">
        <f>2</f>
        <v>2</v>
      </c>
      <c r="J2950">
        <f>2</f>
        <v>2</v>
      </c>
    </row>
    <row r="2951" spans="1:10" x14ac:dyDescent="0.25">
      <c r="A2951" t="s">
        <v>2960</v>
      </c>
      <c r="B2951" t="s">
        <v>11</v>
      </c>
      <c r="C2951">
        <v>120.82727343800001</v>
      </c>
      <c r="D2951">
        <f>0</f>
        <v>0</v>
      </c>
      <c r="E2951">
        <f>652582214/10^6</f>
        <v>652.58221400000002</v>
      </c>
      <c r="F2951">
        <f>0</f>
        <v>0</v>
      </c>
      <c r="G2951">
        <f>232343124/10^6</f>
        <v>232.34312399999999</v>
      </c>
      <c r="H2951">
        <f>0</f>
        <v>0</v>
      </c>
      <c r="I2951">
        <f>-38118809/10^6</f>
        <v>-38.118808999999999</v>
      </c>
      <c r="J2951">
        <f>0</f>
        <v>0</v>
      </c>
    </row>
    <row r="2952" spans="1:10" x14ac:dyDescent="0.25">
      <c r="A2952" t="s">
        <v>2961</v>
      </c>
      <c r="B2952" t="s">
        <v>11</v>
      </c>
      <c r="C2952">
        <v>119.54374218800001</v>
      </c>
      <c r="D2952">
        <f>0</f>
        <v>0</v>
      </c>
      <c r="E2952">
        <f>659876282/10^6</f>
        <v>659.87628199999995</v>
      </c>
      <c r="F2952">
        <f>0</f>
        <v>0</v>
      </c>
      <c r="G2952">
        <f>232211716/10^6</f>
        <v>232.211716</v>
      </c>
      <c r="H2952">
        <f>0</f>
        <v>0</v>
      </c>
      <c r="I2952">
        <f>-38948566/10^6</f>
        <v>-38.948566</v>
      </c>
      <c r="J2952">
        <f>0</f>
        <v>0</v>
      </c>
    </row>
    <row r="2953" spans="1:10" x14ac:dyDescent="0.25">
      <c r="A2953" t="s">
        <v>2962</v>
      </c>
      <c r="B2953" t="s">
        <v>11</v>
      </c>
      <c r="C2953">
        <v>118.789640625</v>
      </c>
      <c r="D2953">
        <f>0</f>
        <v>0</v>
      </c>
      <c r="E2953">
        <f>66474884/10^5</f>
        <v>664.74883999999997</v>
      </c>
      <c r="F2953">
        <f>0</f>
        <v>0</v>
      </c>
      <c r="G2953">
        <f>232111679/10^6</f>
        <v>232.11167900000001</v>
      </c>
      <c r="H2953">
        <f>0</f>
        <v>0</v>
      </c>
      <c r="I2953">
        <f>-40749191/10^6</f>
        <v>-40.749191000000003</v>
      </c>
      <c r="J2953">
        <f>0</f>
        <v>0</v>
      </c>
    </row>
    <row r="2954" spans="1:10" x14ac:dyDescent="0.25">
      <c r="A2954" t="s">
        <v>2963</v>
      </c>
      <c r="B2954" t="s">
        <v>11</v>
      </c>
      <c r="C2954">
        <v>118.49811718800001</v>
      </c>
      <c r="D2954">
        <f>0</f>
        <v>0</v>
      </c>
      <c r="E2954">
        <f>66544635/10^5</f>
        <v>665.44635000000005</v>
      </c>
      <c r="F2954">
        <f>0</f>
        <v>0</v>
      </c>
      <c r="G2954">
        <f>231907166/10^6</f>
        <v>231.90716599999999</v>
      </c>
      <c r="H2954">
        <f>0</f>
        <v>0</v>
      </c>
      <c r="I2954">
        <f>-4000013/10^5</f>
        <v>-40.000129999999999</v>
      </c>
      <c r="J2954">
        <f>0</f>
        <v>0</v>
      </c>
    </row>
    <row r="2955" spans="1:10" x14ac:dyDescent="0.25">
      <c r="A2955" t="s">
        <v>2964</v>
      </c>
      <c r="B2955" t="s">
        <v>11</v>
      </c>
      <c r="C2955">
        <v>116.93060156300001</v>
      </c>
      <c r="D2955">
        <f>0</f>
        <v>0</v>
      </c>
      <c r="E2955">
        <f>673485901/10^6</f>
        <v>673.48590100000001</v>
      </c>
      <c r="F2955">
        <f>0</f>
        <v>0</v>
      </c>
      <c r="G2955">
        <f>231603165/10^6</f>
        <v>231.60316499999999</v>
      </c>
      <c r="H2955">
        <f>0</f>
        <v>0</v>
      </c>
      <c r="I2955">
        <f>-397658/10^4</f>
        <v>-39.765799999999999</v>
      </c>
      <c r="J2955">
        <f>0</f>
        <v>0</v>
      </c>
    </row>
    <row r="2956" spans="1:10" x14ac:dyDescent="0.25">
      <c r="A2956" t="s">
        <v>2965</v>
      </c>
      <c r="B2956" t="s">
        <v>11</v>
      </c>
      <c r="C2956">
        <v>116.196257813</v>
      </c>
      <c r="D2956">
        <f>0</f>
        <v>0</v>
      </c>
      <c r="E2956">
        <f>678997986/10^6</f>
        <v>678.99798599999997</v>
      </c>
      <c r="F2956">
        <f>0</f>
        <v>0</v>
      </c>
      <c r="G2956">
        <f>23132695/10^5</f>
        <v>231.32695000000001</v>
      </c>
      <c r="H2956">
        <f>0</f>
        <v>0</v>
      </c>
      <c r="I2956">
        <f>-43629177/10^6</f>
        <v>-43.629176999999999</v>
      </c>
      <c r="J2956">
        <f>0</f>
        <v>0</v>
      </c>
    </row>
    <row r="2957" spans="1:10" x14ac:dyDescent="0.25">
      <c r="A2957" t="s">
        <v>2966</v>
      </c>
      <c r="B2957" t="s">
        <v>11</v>
      </c>
      <c r="C2957">
        <v>117.521742188</v>
      </c>
      <c r="D2957">
        <f>0</f>
        <v>0</v>
      </c>
      <c r="E2957">
        <f>670122864/10^6</f>
        <v>670.12286400000005</v>
      </c>
      <c r="F2957">
        <f>0</f>
        <v>0</v>
      </c>
      <c r="G2957">
        <f>231150253/10^6</f>
        <v>231.15025299999999</v>
      </c>
      <c r="H2957">
        <f>0</f>
        <v>0</v>
      </c>
      <c r="I2957">
        <f>-42254471/10^6</f>
        <v>-42.254471000000002</v>
      </c>
      <c r="J2957">
        <f>0</f>
        <v>0</v>
      </c>
    </row>
    <row r="2958" spans="1:10" x14ac:dyDescent="0.25">
      <c r="A2958" t="s">
        <v>2967</v>
      </c>
      <c r="B2958" t="s">
        <v>11</v>
      </c>
      <c r="C2958">
        <v>117.54078124999999</v>
      </c>
      <c r="D2958">
        <f>0</f>
        <v>0</v>
      </c>
      <c r="E2958">
        <f>668593689/10^6</f>
        <v>668.59368900000004</v>
      </c>
      <c r="F2958">
        <f>0</f>
        <v>0</v>
      </c>
      <c r="G2958">
        <f>231273758/10^6</f>
        <v>231.27375799999999</v>
      </c>
      <c r="H2958">
        <f>0</f>
        <v>0</v>
      </c>
      <c r="I2958">
        <f>-38739147/10^6</f>
        <v>-38.739147000000003</v>
      </c>
      <c r="J2958">
        <f>0</f>
        <v>0</v>
      </c>
    </row>
    <row r="2959" spans="1:10" x14ac:dyDescent="0.25">
      <c r="A2959" t="s">
        <v>2968</v>
      </c>
      <c r="B2959" t="s">
        <v>11</v>
      </c>
      <c r="C2959">
        <v>115.9775625</v>
      </c>
      <c r="D2959">
        <f>0</f>
        <v>0</v>
      </c>
      <c r="E2959">
        <f>678504456/10^6</f>
        <v>678.504456</v>
      </c>
      <c r="F2959">
        <f>0</f>
        <v>0</v>
      </c>
      <c r="G2959">
        <f>231312347/10^6</f>
        <v>231.31234699999999</v>
      </c>
      <c r="H2959">
        <f>0</f>
        <v>0</v>
      </c>
      <c r="I2959">
        <f>-40242039/10^6</f>
        <v>-40.242038999999998</v>
      </c>
      <c r="J2959">
        <f>0</f>
        <v>0</v>
      </c>
    </row>
    <row r="2960" spans="1:10" x14ac:dyDescent="0.25">
      <c r="A2960" t="s">
        <v>2969</v>
      </c>
      <c r="B2960" t="s">
        <v>11</v>
      </c>
      <c r="C2960">
        <v>114.371257813</v>
      </c>
      <c r="D2960">
        <f>0</f>
        <v>0</v>
      </c>
      <c r="E2960">
        <f>688587524/10^6</f>
        <v>688.58752400000003</v>
      </c>
      <c r="F2960">
        <f>0</f>
        <v>0</v>
      </c>
      <c r="G2960">
        <f>230929611/10^6</f>
        <v>230.92961099999999</v>
      </c>
      <c r="H2960">
        <f>0</f>
        <v>0</v>
      </c>
      <c r="I2960">
        <f>-43134472/10^6</f>
        <v>-43.134472000000002</v>
      </c>
      <c r="J2960">
        <f>0</f>
        <v>0</v>
      </c>
    </row>
    <row r="2961" spans="1:10" x14ac:dyDescent="0.25">
      <c r="A2961" t="s">
        <v>2970</v>
      </c>
      <c r="B2961" t="s">
        <v>11</v>
      </c>
      <c r="C2961">
        <v>113.926367188</v>
      </c>
      <c r="D2961">
        <f>0</f>
        <v>0</v>
      </c>
      <c r="E2961">
        <f>691552856/10^6</f>
        <v>691.55285600000002</v>
      </c>
      <c r="F2961">
        <f>0</f>
        <v>0</v>
      </c>
      <c r="G2961">
        <f>230651077/10^6</f>
        <v>230.65107699999999</v>
      </c>
      <c r="H2961">
        <f>0</f>
        <v>0</v>
      </c>
      <c r="I2961">
        <f>-45127144/10^6</f>
        <v>-45.127144000000001</v>
      </c>
      <c r="J2961">
        <f>0</f>
        <v>0</v>
      </c>
    </row>
    <row r="2962" spans="1:10" x14ac:dyDescent="0.25">
      <c r="A2962" t="s">
        <v>2971</v>
      </c>
      <c r="B2962" t="s">
        <v>11</v>
      </c>
      <c r="C2962">
        <v>114.224046875</v>
      </c>
      <c r="D2962">
        <f>0</f>
        <v>0</v>
      </c>
      <c r="E2962">
        <f>68870166/10^5</f>
        <v>688.70165999999995</v>
      </c>
      <c r="F2962">
        <f>0</f>
        <v>0</v>
      </c>
      <c r="G2962">
        <f>230596924/10^6</f>
        <v>230.596924</v>
      </c>
      <c r="H2962">
        <f>0</f>
        <v>0</v>
      </c>
      <c r="I2962">
        <f>-43603714/10^6</f>
        <v>-43.603713999999997</v>
      </c>
      <c r="J2962">
        <f>0</f>
        <v>0</v>
      </c>
    </row>
    <row r="2963" spans="1:10" x14ac:dyDescent="0.25">
      <c r="A2963" t="s">
        <v>2972</v>
      </c>
      <c r="B2963" t="s">
        <v>11</v>
      </c>
      <c r="C2963">
        <v>113.900148438</v>
      </c>
      <c r="D2963">
        <f>0</f>
        <v>0</v>
      </c>
      <c r="E2963">
        <f>689797424/10^6</f>
        <v>689.79742399999998</v>
      </c>
      <c r="F2963">
        <f>0</f>
        <v>0</v>
      </c>
      <c r="G2963">
        <f>230447601/10^6</f>
        <v>230.44760099999999</v>
      </c>
      <c r="H2963">
        <f>0</f>
        <v>0</v>
      </c>
      <c r="I2963">
        <f>-42678318/10^6</f>
        <v>-42.678317999999997</v>
      </c>
      <c r="J2963">
        <f>0</f>
        <v>0</v>
      </c>
    </row>
    <row r="2964" spans="1:10" x14ac:dyDescent="0.25">
      <c r="A2964" t="s">
        <v>2973</v>
      </c>
      <c r="B2964" t="s">
        <v>11</v>
      </c>
      <c r="C2964">
        <v>113.310125</v>
      </c>
      <c r="D2964">
        <f>0</f>
        <v>0</v>
      </c>
      <c r="E2964">
        <f>693770935/10^6</f>
        <v>693.77093500000001</v>
      </c>
      <c r="F2964">
        <f>0</f>
        <v>0</v>
      </c>
      <c r="G2964">
        <f>230287521/10^6</f>
        <v>230.287521</v>
      </c>
      <c r="H2964">
        <f>0</f>
        <v>0</v>
      </c>
      <c r="I2964">
        <f>-44135609/10^6</f>
        <v>-44.135609000000002</v>
      </c>
      <c r="J2964">
        <f>0</f>
        <v>0</v>
      </c>
    </row>
    <row r="2965" spans="1:10" x14ac:dyDescent="0.25">
      <c r="A2965" t="s">
        <v>2974</v>
      </c>
      <c r="B2965" t="s">
        <v>11</v>
      </c>
      <c r="C2965">
        <v>113.08161718800001</v>
      </c>
      <c r="D2965">
        <f>0</f>
        <v>0</v>
      </c>
      <c r="E2965">
        <f>695418762/10^6</f>
        <v>695.41876200000002</v>
      </c>
      <c r="F2965">
        <f>0</f>
        <v>0</v>
      </c>
      <c r="G2965">
        <f>230239761/10^6</f>
        <v>230.23976099999999</v>
      </c>
      <c r="H2965">
        <f>0</f>
        <v>0</v>
      </c>
      <c r="I2965">
        <f>-44873905/10^6</f>
        <v>-44.873905000000001</v>
      </c>
      <c r="J2965">
        <f>0</f>
        <v>0</v>
      </c>
    </row>
    <row r="2966" spans="1:10" x14ac:dyDescent="0.25">
      <c r="A2966" t="s">
        <v>2975</v>
      </c>
      <c r="B2966" t="s">
        <v>11</v>
      </c>
      <c r="C2966">
        <v>113.18036718800001</v>
      </c>
      <c r="D2966">
        <f>0</f>
        <v>0</v>
      </c>
      <c r="E2966">
        <f>694768616/10^6</f>
        <v>694.76861599999995</v>
      </c>
      <c r="F2966">
        <f>0</f>
        <v>0</v>
      </c>
      <c r="G2966">
        <f>230313644/10^6</f>
        <v>230.31364400000001</v>
      </c>
      <c r="H2966">
        <f>0</f>
        <v>0</v>
      </c>
      <c r="I2966">
        <f>-44478874/10^6</f>
        <v>-44.478873999999998</v>
      </c>
      <c r="J2966">
        <f>0</f>
        <v>0</v>
      </c>
    </row>
    <row r="2967" spans="1:10" x14ac:dyDescent="0.25">
      <c r="A2967" t="s">
        <v>2976</v>
      </c>
      <c r="B2967" t="s">
        <v>11</v>
      </c>
      <c r="C2967">
        <v>113.14927343800001</v>
      </c>
      <c r="D2967">
        <f>0</f>
        <v>0</v>
      </c>
      <c r="E2967">
        <f>694787537/10^6</f>
        <v>694.78753700000004</v>
      </c>
      <c r="F2967">
        <f>0</f>
        <v>0</v>
      </c>
      <c r="G2967">
        <f>230357925/10^6</f>
        <v>230.35792499999999</v>
      </c>
      <c r="H2967">
        <f>0</f>
        <v>0</v>
      </c>
      <c r="I2967">
        <f>-43887928/10^6</f>
        <v>-43.887928000000002</v>
      </c>
      <c r="J2967">
        <f>0</f>
        <v>0</v>
      </c>
    </row>
    <row r="2968" spans="1:10" x14ac:dyDescent="0.25">
      <c r="A2968" t="s">
        <v>2977</v>
      </c>
      <c r="B2968" t="s">
        <v>11</v>
      </c>
      <c r="C2968">
        <v>112.817898438</v>
      </c>
      <c r="D2968">
        <f>0</f>
        <v>0</v>
      </c>
      <c r="E2968">
        <f>69733252/10^5</f>
        <v>697.33252000000005</v>
      </c>
      <c r="F2968">
        <f>0</f>
        <v>0</v>
      </c>
      <c r="G2968">
        <f>230375916/10^6</f>
        <v>230.37591599999999</v>
      </c>
      <c r="H2968">
        <f>0</f>
        <v>0</v>
      </c>
      <c r="I2968">
        <f>-44667812/10^6</f>
        <v>-44.667811999999998</v>
      </c>
      <c r="J2968">
        <f>0</f>
        <v>0</v>
      </c>
    </row>
    <row r="2969" spans="1:10" x14ac:dyDescent="0.25">
      <c r="A2969" t="s">
        <v>2978</v>
      </c>
      <c r="B2969" t="s">
        <v>11</v>
      </c>
      <c r="C2969">
        <v>113.34099999999999</v>
      </c>
      <c r="D2969">
        <f>0</f>
        <v>0</v>
      </c>
      <c r="E2969">
        <f>695683594/10^6</f>
        <v>695.68359399999997</v>
      </c>
      <c r="F2969">
        <f>0</f>
        <v>0</v>
      </c>
      <c r="G2969">
        <f>230632156/10^6</f>
        <v>230.63215600000001</v>
      </c>
      <c r="H2969">
        <f>0</f>
        <v>0</v>
      </c>
      <c r="I2969">
        <f>-46117207/10^6</f>
        <v>-46.117207000000001</v>
      </c>
      <c r="J2969">
        <f>0</f>
        <v>0</v>
      </c>
    </row>
    <row r="2970" spans="1:10" x14ac:dyDescent="0.25">
      <c r="A2970" t="s">
        <v>2979</v>
      </c>
      <c r="B2970" t="s">
        <v>11</v>
      </c>
      <c r="C2970">
        <v>114.933734375</v>
      </c>
      <c r="D2970">
        <f>0</f>
        <v>0</v>
      </c>
      <c r="E2970">
        <f>686039856/10^6</f>
        <v>686.03985599999999</v>
      </c>
      <c r="F2970">
        <f>0</f>
        <v>0</v>
      </c>
      <c r="G2970">
        <f>230959579/10^6</f>
        <v>230.95957899999999</v>
      </c>
      <c r="H2970">
        <f>0</f>
        <v>0</v>
      </c>
      <c r="I2970">
        <f>-44474449/10^6</f>
        <v>-44.474449</v>
      </c>
      <c r="J2970">
        <f>0</f>
        <v>0</v>
      </c>
    </row>
    <row r="2971" spans="1:10" x14ac:dyDescent="0.25">
      <c r="A2971" t="s">
        <v>2980</v>
      </c>
      <c r="B2971" t="s">
        <v>11</v>
      </c>
      <c r="C2971">
        <v>0</v>
      </c>
      <c r="D2971">
        <f>2</f>
        <v>2</v>
      </c>
      <c r="F2971">
        <f>2</f>
        <v>2</v>
      </c>
      <c r="H2971">
        <f>2</f>
        <v>2</v>
      </c>
      <c r="J2971">
        <f>2</f>
        <v>2</v>
      </c>
    </row>
    <row r="2972" spans="1:10" x14ac:dyDescent="0.25">
      <c r="A2972" t="s">
        <v>2981</v>
      </c>
      <c r="B2972" t="s">
        <v>11</v>
      </c>
      <c r="C2972">
        <v>115.685703125</v>
      </c>
      <c r="D2972">
        <f>0</f>
        <v>0</v>
      </c>
      <c r="E2972">
        <f>680717041/10^6</f>
        <v>680.71704099999999</v>
      </c>
      <c r="F2972">
        <f>0</f>
        <v>0</v>
      </c>
      <c r="G2972">
        <f>231206757/10^6</f>
        <v>231.20675700000001</v>
      </c>
      <c r="H2972">
        <f>0</f>
        <v>0</v>
      </c>
      <c r="I2972">
        <f>-41691406/10^6</f>
        <v>-41.691406000000001</v>
      </c>
      <c r="J2972">
        <f>0</f>
        <v>0</v>
      </c>
    </row>
    <row r="2973" spans="1:10" x14ac:dyDescent="0.25">
      <c r="A2973" t="s">
        <v>2982</v>
      </c>
      <c r="B2973" t="s">
        <v>11</v>
      </c>
      <c r="C2973">
        <v>115.5999375</v>
      </c>
      <c r="D2973">
        <f>0</f>
        <v>0</v>
      </c>
      <c r="E2973">
        <f>681848389/10^6</f>
        <v>681.848389</v>
      </c>
      <c r="F2973">
        <f>0</f>
        <v>0</v>
      </c>
      <c r="G2973">
        <f>231314682/10^6</f>
        <v>231.314682</v>
      </c>
      <c r="H2973">
        <f>0</f>
        <v>0</v>
      </c>
      <c r="I2973">
        <f>-42239304/10^6</f>
        <v>-42.239303999999997</v>
      </c>
      <c r="J2973">
        <f>0</f>
        <v>0</v>
      </c>
    </row>
    <row r="2974" spans="1:10" x14ac:dyDescent="0.25">
      <c r="A2974" t="s">
        <v>2983</v>
      </c>
      <c r="B2974" t="s">
        <v>11</v>
      </c>
      <c r="C2974">
        <v>115.42328125</v>
      </c>
      <c r="D2974">
        <f>0</f>
        <v>0</v>
      </c>
      <c r="E2974">
        <f>683010864/10^6</f>
        <v>683.01086399999997</v>
      </c>
      <c r="F2974">
        <f>0</f>
        <v>0</v>
      </c>
      <c r="G2974">
        <f>231321091/10^6</f>
        <v>231.321091</v>
      </c>
      <c r="H2974">
        <f>0</f>
        <v>0</v>
      </c>
      <c r="I2974">
        <f>-42402828/10^6</f>
        <v>-42.402828</v>
      </c>
      <c r="J2974">
        <f>0</f>
        <v>0</v>
      </c>
    </row>
    <row r="2975" spans="1:10" x14ac:dyDescent="0.25">
      <c r="A2975" t="s">
        <v>2984</v>
      </c>
      <c r="B2975" t="s">
        <v>11</v>
      </c>
      <c r="C2975">
        <v>115.136070313</v>
      </c>
      <c r="D2975">
        <f>0</f>
        <v>0</v>
      </c>
      <c r="E2975">
        <f>684919434/10^6</f>
        <v>684.91943400000002</v>
      </c>
      <c r="F2975">
        <f>0</f>
        <v>0</v>
      </c>
      <c r="G2975">
        <f>231291901/10^6</f>
        <v>231.291901</v>
      </c>
      <c r="H2975">
        <f>0</f>
        <v>0</v>
      </c>
      <c r="I2975">
        <f>-42800865/10^6</f>
        <v>-42.800865000000002</v>
      </c>
      <c r="J2975">
        <f>0</f>
        <v>0</v>
      </c>
    </row>
    <row r="2976" spans="1:10" x14ac:dyDescent="0.25">
      <c r="A2976" t="s">
        <v>2985</v>
      </c>
      <c r="B2976" t="s">
        <v>11</v>
      </c>
      <c r="C2976">
        <v>115.074054688</v>
      </c>
      <c r="D2976">
        <f>0</f>
        <v>0</v>
      </c>
      <c r="E2976">
        <f>685254822/10^6</f>
        <v>685.25482199999999</v>
      </c>
      <c r="F2976">
        <f>0</f>
        <v>0</v>
      </c>
      <c r="G2976">
        <f>231236176/10^6</f>
        <v>231.236176</v>
      </c>
      <c r="H2976">
        <f>0</f>
        <v>0</v>
      </c>
      <c r="I2976">
        <f>-43007572/10^6</f>
        <v>-43.007572000000003</v>
      </c>
      <c r="J2976">
        <f>0</f>
        <v>0</v>
      </c>
    </row>
    <row r="2977" spans="1:10" x14ac:dyDescent="0.25">
      <c r="A2977" t="s">
        <v>2986</v>
      </c>
      <c r="B2977" t="s">
        <v>11</v>
      </c>
      <c r="C2977">
        <v>0</v>
      </c>
      <c r="D2977">
        <f>2</f>
        <v>2</v>
      </c>
      <c r="F2977">
        <f>2</f>
        <v>2</v>
      </c>
      <c r="H2977">
        <f>2</f>
        <v>2</v>
      </c>
      <c r="J2977">
        <f>2</f>
        <v>2</v>
      </c>
    </row>
    <row r="2978" spans="1:10" x14ac:dyDescent="0.25">
      <c r="A2978" t="s">
        <v>2987</v>
      </c>
      <c r="B2978" t="s">
        <v>11</v>
      </c>
      <c r="C2978">
        <v>115.262140625</v>
      </c>
      <c r="D2978">
        <f>0</f>
        <v>0</v>
      </c>
      <c r="E2978">
        <f>684266357/10^6</f>
        <v>684.26635699999997</v>
      </c>
      <c r="F2978">
        <f>0</f>
        <v>0</v>
      </c>
      <c r="G2978">
        <f>231316422/10^6</f>
        <v>231.31642199999999</v>
      </c>
      <c r="H2978">
        <f>0</f>
        <v>0</v>
      </c>
      <c r="I2978">
        <f>-42933495/10^6</f>
        <v>-42.933495000000001</v>
      </c>
      <c r="J2978">
        <f>0</f>
        <v>0</v>
      </c>
    </row>
    <row r="2979" spans="1:10" x14ac:dyDescent="0.25">
      <c r="A2979" t="s">
        <v>2988</v>
      </c>
      <c r="B2979" t="s">
        <v>11</v>
      </c>
      <c r="C2979">
        <v>115.36772656300001</v>
      </c>
      <c r="D2979">
        <f>0</f>
        <v>0</v>
      </c>
      <c r="E2979">
        <f>683945496/10^6</f>
        <v>683.94549600000005</v>
      </c>
      <c r="F2979">
        <f>0</f>
        <v>0</v>
      </c>
      <c r="G2979">
        <f>231376389/10^6</f>
        <v>231.37638899999999</v>
      </c>
      <c r="H2979">
        <f>0</f>
        <v>0</v>
      </c>
      <c r="I2979">
        <f>-43057575/10^6</f>
        <v>-43.057575</v>
      </c>
      <c r="J2979">
        <f>0</f>
        <v>0</v>
      </c>
    </row>
    <row r="2980" spans="1:10" x14ac:dyDescent="0.25">
      <c r="A2980" t="s">
        <v>2989</v>
      </c>
      <c r="B2980" t="s">
        <v>11</v>
      </c>
      <c r="C2980">
        <v>115.60362499999999</v>
      </c>
      <c r="D2980">
        <f>0</f>
        <v>0</v>
      </c>
      <c r="E2980">
        <f>682338989/10^6</f>
        <v>682.33898899999997</v>
      </c>
      <c r="F2980">
        <f>0</f>
        <v>0</v>
      </c>
      <c r="G2980">
        <f>231386627/10^6</f>
        <v>231.386627</v>
      </c>
      <c r="H2980">
        <f>0</f>
        <v>0</v>
      </c>
      <c r="I2980">
        <f>-42585121/10^6</f>
        <v>-42.585121000000001</v>
      </c>
      <c r="J2980">
        <f>0</f>
        <v>0</v>
      </c>
    </row>
    <row r="2981" spans="1:10" x14ac:dyDescent="0.25">
      <c r="A2981" t="s">
        <v>2990</v>
      </c>
      <c r="B2981" t="s">
        <v>11</v>
      </c>
      <c r="C2981">
        <v>115.545804688</v>
      </c>
      <c r="D2981">
        <f>0</f>
        <v>0</v>
      </c>
      <c r="E2981">
        <f>682727417/10^6</f>
        <v>682.72741699999995</v>
      </c>
      <c r="F2981">
        <f>0</f>
        <v>0</v>
      </c>
      <c r="G2981">
        <f>231413193/10^6</f>
        <v>231.41319300000001</v>
      </c>
      <c r="H2981">
        <f>0</f>
        <v>0</v>
      </c>
      <c r="I2981">
        <f>-42459728/10^6</f>
        <v>-42.459727999999998</v>
      </c>
      <c r="J2981">
        <f>0</f>
        <v>0</v>
      </c>
    </row>
    <row r="2982" spans="1:10" x14ac:dyDescent="0.25">
      <c r="A2982" t="s">
        <v>2991</v>
      </c>
      <c r="B2982" t="s">
        <v>11</v>
      </c>
      <c r="C2982">
        <v>115.94767968800001</v>
      </c>
      <c r="D2982">
        <f>0</f>
        <v>0</v>
      </c>
      <c r="E2982">
        <f>68110907/10^5</f>
        <v>681.10906999999997</v>
      </c>
      <c r="F2982">
        <f>0</f>
        <v>0</v>
      </c>
      <c r="G2982">
        <f>231479065/10^6</f>
        <v>231.47906499999999</v>
      </c>
      <c r="H2982">
        <f>0</f>
        <v>0</v>
      </c>
      <c r="I2982">
        <f>-43738857/10^6</f>
        <v>-43.738857000000003</v>
      </c>
      <c r="J2982">
        <f>0</f>
        <v>0</v>
      </c>
    </row>
    <row r="2983" spans="1:10" x14ac:dyDescent="0.25">
      <c r="A2983" t="s">
        <v>2992</v>
      </c>
      <c r="B2983" t="s">
        <v>11</v>
      </c>
      <c r="C2983">
        <v>117.63123437500001</v>
      </c>
      <c r="D2983">
        <f>0</f>
        <v>0</v>
      </c>
      <c r="E2983">
        <f>670923828/10^6</f>
        <v>670.92382799999996</v>
      </c>
      <c r="F2983">
        <f>0</f>
        <v>0</v>
      </c>
      <c r="G2983">
        <f>231549026/10^6</f>
        <v>231.549026</v>
      </c>
      <c r="H2983">
        <f>0</f>
        <v>0</v>
      </c>
      <c r="I2983">
        <f>-4290556/10^5</f>
        <v>-42.905560000000001</v>
      </c>
      <c r="J2983">
        <f>0</f>
        <v>0</v>
      </c>
    </row>
    <row r="2984" spans="1:10" x14ac:dyDescent="0.25">
      <c r="A2984" t="s">
        <v>2993</v>
      </c>
      <c r="B2984" t="s">
        <v>11</v>
      </c>
      <c r="C2984">
        <v>119.3655</v>
      </c>
      <c r="D2984">
        <f>0</f>
        <v>0</v>
      </c>
      <c r="E2984">
        <f>660658447/10^6</f>
        <v>660.65844700000002</v>
      </c>
      <c r="F2984">
        <f>0</f>
        <v>0</v>
      </c>
      <c r="G2984">
        <f>231798355/10^6</f>
        <v>231.79835499999999</v>
      </c>
      <c r="H2984">
        <f>0</f>
        <v>0</v>
      </c>
      <c r="I2984">
        <f>-40875401/10^6</f>
        <v>-40.875400999999997</v>
      </c>
      <c r="J2984">
        <f>0</f>
        <v>0</v>
      </c>
    </row>
    <row r="2985" spans="1:10" x14ac:dyDescent="0.25">
      <c r="A2985" t="s">
        <v>2994</v>
      </c>
      <c r="B2985" t="s">
        <v>11</v>
      </c>
      <c r="C2985">
        <v>120.82497656300001</v>
      </c>
      <c r="D2985">
        <f>0</f>
        <v>0</v>
      </c>
      <c r="E2985">
        <f>652590759/10^6</f>
        <v>652.59075900000005</v>
      </c>
      <c r="F2985">
        <f>0</f>
        <v>0</v>
      </c>
      <c r="G2985">
        <f>232054276/10^6</f>
        <v>232.05427599999999</v>
      </c>
      <c r="H2985">
        <f>0</f>
        <v>0</v>
      </c>
      <c r="I2985">
        <f>-39818764/10^6</f>
        <v>-39.818764000000002</v>
      </c>
      <c r="J2985">
        <f>0</f>
        <v>0</v>
      </c>
    </row>
    <row r="2986" spans="1:10" x14ac:dyDescent="0.25">
      <c r="A2986" t="s">
        <v>2995</v>
      </c>
      <c r="B2986" t="s">
        <v>11</v>
      </c>
      <c r="C2986">
        <v>121.599210938</v>
      </c>
      <c r="D2986">
        <f>0</f>
        <v>0</v>
      </c>
      <c r="E2986">
        <f>647682861/10^6</f>
        <v>647.682861</v>
      </c>
      <c r="F2986">
        <f>0</f>
        <v>0</v>
      </c>
      <c r="G2986">
        <f>232031525/10^6</f>
        <v>232.03152499999999</v>
      </c>
      <c r="H2986">
        <f>0</f>
        <v>0</v>
      </c>
      <c r="I2986">
        <f>-38368641/10^6</f>
        <v>-38.368640999999997</v>
      </c>
      <c r="J2986">
        <f>0</f>
        <v>0</v>
      </c>
    </row>
    <row r="2987" spans="1:10" x14ac:dyDescent="0.25">
      <c r="A2987" t="s">
        <v>2996</v>
      </c>
      <c r="B2987" t="s">
        <v>11</v>
      </c>
      <c r="C2987">
        <v>0</v>
      </c>
      <c r="D2987">
        <f>2</f>
        <v>2</v>
      </c>
      <c r="F2987">
        <f>2</f>
        <v>2</v>
      </c>
      <c r="H2987">
        <f>2</f>
        <v>2</v>
      </c>
      <c r="J2987">
        <f>2</f>
        <v>2</v>
      </c>
    </row>
    <row r="2988" spans="1:10" x14ac:dyDescent="0.25">
      <c r="A2988" t="s">
        <v>2997</v>
      </c>
      <c r="B2988" t="s">
        <v>11</v>
      </c>
      <c r="C2988">
        <v>120.61725781300001</v>
      </c>
      <c r="D2988">
        <f>0</f>
        <v>0</v>
      </c>
      <c r="E2988">
        <f>653262024/10^6</f>
        <v>653.262024</v>
      </c>
      <c r="F2988">
        <f>0</f>
        <v>0</v>
      </c>
      <c r="G2988">
        <f>232051773/10^6</f>
        <v>232.051773</v>
      </c>
      <c r="H2988">
        <f>0</f>
        <v>0</v>
      </c>
      <c r="I2988">
        <f>-38507168/10^6</f>
        <v>-38.507168</v>
      </c>
      <c r="J2988">
        <f>0</f>
        <v>0</v>
      </c>
    </row>
    <row r="2989" spans="1:10" x14ac:dyDescent="0.25">
      <c r="A2989" t="s">
        <v>2998</v>
      </c>
      <c r="B2989" t="s">
        <v>11</v>
      </c>
      <c r="C2989">
        <v>119.920648438</v>
      </c>
      <c r="D2989">
        <f>0</f>
        <v>0</v>
      </c>
      <c r="E2989">
        <f>657682129/10^6</f>
        <v>657.68212900000003</v>
      </c>
      <c r="F2989">
        <f>0</f>
        <v>0</v>
      </c>
      <c r="G2989">
        <f>232093765/10^6</f>
        <v>232.09376499999999</v>
      </c>
      <c r="H2989">
        <f>0</f>
        <v>0</v>
      </c>
      <c r="I2989">
        <f>-39297543/10^6</f>
        <v>-39.297542999999997</v>
      </c>
      <c r="J2989">
        <f>0</f>
        <v>0</v>
      </c>
    </row>
    <row r="2990" spans="1:10" x14ac:dyDescent="0.25">
      <c r="A2990" t="s">
        <v>2999</v>
      </c>
      <c r="B2990" t="s">
        <v>11</v>
      </c>
      <c r="C2990">
        <v>119.351257813</v>
      </c>
      <c r="D2990">
        <f>0</f>
        <v>0</v>
      </c>
      <c r="E2990">
        <f>661290771/10^6</f>
        <v>661.29077099999995</v>
      </c>
      <c r="F2990">
        <f>0</f>
        <v>0</v>
      </c>
      <c r="G2990">
        <f>232116898/10^6</f>
        <v>232.11689799999999</v>
      </c>
      <c r="H2990">
        <f>0</f>
        <v>0</v>
      </c>
      <c r="I2990">
        <f>-40043537/10^6</f>
        <v>-40.043537000000001</v>
      </c>
      <c r="J2990">
        <f>0</f>
        <v>0</v>
      </c>
    </row>
    <row r="2991" spans="1:10" x14ac:dyDescent="0.25">
      <c r="A2991" t="s">
        <v>3000</v>
      </c>
      <c r="B2991" t="s">
        <v>11</v>
      </c>
      <c r="C2991">
        <v>118.93483593800001</v>
      </c>
      <c r="D2991">
        <f>0</f>
        <v>0</v>
      </c>
      <c r="E2991">
        <f>663490295/10^6</f>
        <v>663.49029499999995</v>
      </c>
      <c r="F2991">
        <f>0</f>
        <v>0</v>
      </c>
      <c r="G2991">
        <f>232077179/10^6</f>
        <v>232.077179</v>
      </c>
      <c r="H2991">
        <f>0</f>
        <v>0</v>
      </c>
      <c r="I2991">
        <f>-39972553/10^6</f>
        <v>-39.972552999999998</v>
      </c>
      <c r="J2991">
        <f>0</f>
        <v>0</v>
      </c>
    </row>
    <row r="2992" spans="1:10" x14ac:dyDescent="0.25">
      <c r="A2992" t="s">
        <v>3001</v>
      </c>
      <c r="B2992" t="s">
        <v>11</v>
      </c>
      <c r="C2992">
        <v>118.512265625</v>
      </c>
      <c r="D2992">
        <f>0</f>
        <v>0</v>
      </c>
      <c r="E2992">
        <f>665807495/10^6</f>
        <v>665.80749500000002</v>
      </c>
      <c r="F2992">
        <f>0</f>
        <v>0</v>
      </c>
      <c r="G2992">
        <f>232011505/10^6</f>
        <v>232.011505</v>
      </c>
      <c r="H2992">
        <f>0</f>
        <v>0</v>
      </c>
      <c r="I2992">
        <f>-40190929/10^6</f>
        <v>-40.190928999999997</v>
      </c>
      <c r="J2992">
        <f>0</f>
        <v>0</v>
      </c>
    </row>
    <row r="2993" spans="1:10" x14ac:dyDescent="0.25">
      <c r="A2993" t="s">
        <v>3002</v>
      </c>
      <c r="B2993" t="s">
        <v>11</v>
      </c>
      <c r="C2993">
        <v>118.193679688</v>
      </c>
      <c r="D2993">
        <f>0</f>
        <v>0</v>
      </c>
      <c r="E2993">
        <f>667733398/10^6</f>
        <v>667.73339799999997</v>
      </c>
      <c r="F2993">
        <f>0</f>
        <v>0</v>
      </c>
      <c r="G2993">
        <f>231951706/10^6</f>
        <v>231.951706</v>
      </c>
      <c r="H2993">
        <f>0</f>
        <v>0</v>
      </c>
      <c r="I2993">
        <f>-40721794/10^6</f>
        <v>-40.721794000000003</v>
      </c>
      <c r="J2993">
        <f>0</f>
        <v>0</v>
      </c>
    </row>
    <row r="2994" spans="1:10" x14ac:dyDescent="0.25">
      <c r="A2994" t="s">
        <v>3003</v>
      </c>
      <c r="B2994" t="s">
        <v>11</v>
      </c>
      <c r="C2994">
        <v>117.903820313</v>
      </c>
      <c r="D2994">
        <f>0</f>
        <v>0</v>
      </c>
      <c r="E2994">
        <f>669213318/10^6</f>
        <v>669.21331799999996</v>
      </c>
      <c r="F2994">
        <f>0</f>
        <v>0</v>
      </c>
      <c r="G2994">
        <f>23186438/10^5</f>
        <v>231.86438000000001</v>
      </c>
      <c r="H2994">
        <f>0</f>
        <v>0</v>
      </c>
      <c r="I2994">
        <f>-40746738/10^6</f>
        <v>-40.746738000000001</v>
      </c>
      <c r="J2994">
        <f>0</f>
        <v>0</v>
      </c>
    </row>
    <row r="2995" spans="1:10" x14ac:dyDescent="0.25">
      <c r="A2995" t="s">
        <v>3004</v>
      </c>
      <c r="B2995" t="s">
        <v>11</v>
      </c>
      <c r="C2995">
        <v>117.421835938</v>
      </c>
      <c r="D2995">
        <f>0</f>
        <v>0</v>
      </c>
      <c r="E2995">
        <f>671742859/10^6</f>
        <v>671.74285899999995</v>
      </c>
      <c r="F2995">
        <f>0</f>
        <v>0</v>
      </c>
      <c r="G2995">
        <f>231768463/10^6</f>
        <v>231.768463</v>
      </c>
      <c r="H2995">
        <f>0</f>
        <v>0</v>
      </c>
      <c r="I2995">
        <f>-40794266/10^6</f>
        <v>-40.794266</v>
      </c>
      <c r="J2995">
        <f>0</f>
        <v>0</v>
      </c>
    </row>
    <row r="2996" spans="1:10" x14ac:dyDescent="0.25">
      <c r="A2996" t="s">
        <v>3005</v>
      </c>
      <c r="B2996" t="s">
        <v>11</v>
      </c>
      <c r="C2996">
        <v>116.87086718800001</v>
      </c>
      <c r="D2996">
        <f>0</f>
        <v>0</v>
      </c>
      <c r="E2996">
        <f>674859924/10^6</f>
        <v>674.85992399999998</v>
      </c>
      <c r="F2996">
        <f>0</f>
        <v>0</v>
      </c>
      <c r="G2996">
        <f>231676193/10^6</f>
        <v>231.67619300000001</v>
      </c>
      <c r="H2996">
        <f>0</f>
        <v>0</v>
      </c>
      <c r="I2996">
        <f>-41158733/10^6</f>
        <v>-41.158732999999998</v>
      </c>
      <c r="J2996">
        <f>0</f>
        <v>0</v>
      </c>
    </row>
    <row r="2997" spans="1:10" x14ac:dyDescent="0.25">
      <c r="A2997" t="s">
        <v>3006</v>
      </c>
      <c r="B2997" t="s">
        <v>11</v>
      </c>
      <c r="C2997">
        <v>116.299375</v>
      </c>
      <c r="D2997">
        <f>0</f>
        <v>0</v>
      </c>
      <c r="E2997">
        <f>678100586/10^6</f>
        <v>678.10058600000002</v>
      </c>
      <c r="F2997">
        <f>0</f>
        <v>0</v>
      </c>
      <c r="G2997">
        <f>231539963/10^6</f>
        <v>231.539963</v>
      </c>
      <c r="H2997">
        <f>0</f>
        <v>0</v>
      </c>
      <c r="I2997">
        <f>-41652508/10^6</f>
        <v>-41.652507999999997</v>
      </c>
      <c r="J2997">
        <f>0</f>
        <v>0</v>
      </c>
    </row>
    <row r="2998" spans="1:10" x14ac:dyDescent="0.25">
      <c r="A2998" t="s">
        <v>3007</v>
      </c>
      <c r="B2998" t="s">
        <v>11</v>
      </c>
      <c r="C2998">
        <v>115.661671875</v>
      </c>
      <c r="D2998">
        <f>0</f>
        <v>0</v>
      </c>
      <c r="E2998">
        <f>681736938/10^6</f>
        <v>681.73693800000001</v>
      </c>
      <c r="F2998">
        <f>0</f>
        <v>0</v>
      </c>
      <c r="G2998">
        <f>231362091/10^6</f>
        <v>231.36209099999999</v>
      </c>
      <c r="H2998">
        <f>0</f>
        <v>0</v>
      </c>
      <c r="I2998">
        <f>-42320358/10^6</f>
        <v>-42.320357999999999</v>
      </c>
      <c r="J2998">
        <f>0</f>
        <v>0</v>
      </c>
    </row>
    <row r="2999" spans="1:10" x14ac:dyDescent="0.25">
      <c r="A2999" t="s">
        <v>3008</v>
      </c>
      <c r="B2999" t="s">
        <v>11</v>
      </c>
      <c r="C2999">
        <v>0</v>
      </c>
      <c r="D2999">
        <f>2</f>
        <v>2</v>
      </c>
      <c r="F2999">
        <f>2</f>
        <v>2</v>
      </c>
      <c r="H2999">
        <f>2</f>
        <v>2</v>
      </c>
      <c r="J2999">
        <f>2</f>
        <v>2</v>
      </c>
    </row>
    <row r="3000" spans="1:10" x14ac:dyDescent="0.25">
      <c r="A3000" t="s">
        <v>3009</v>
      </c>
      <c r="B3000" t="s">
        <v>11</v>
      </c>
      <c r="C3000">
        <v>0</v>
      </c>
      <c r="D3000">
        <f>2</f>
        <v>2</v>
      </c>
      <c r="F3000">
        <f>2</f>
        <v>2</v>
      </c>
      <c r="H3000">
        <f>2</f>
        <v>2</v>
      </c>
      <c r="J3000">
        <f>2</f>
        <v>2</v>
      </c>
    </row>
    <row r="3001" spans="1:10" x14ac:dyDescent="0.25">
      <c r="A3001" t="s">
        <v>3010</v>
      </c>
      <c r="B3001" t="s">
        <v>11</v>
      </c>
      <c r="C3001">
        <v>0</v>
      </c>
      <c r="D3001">
        <f>2</f>
        <v>2</v>
      </c>
      <c r="F3001">
        <f>2</f>
        <v>2</v>
      </c>
      <c r="H3001">
        <f>2</f>
        <v>2</v>
      </c>
      <c r="J3001">
        <f>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ComplexReportGroup.Raw_25Hz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Naresh Ram</cp:lastModifiedBy>
  <dcterms:created xsi:type="dcterms:W3CDTF">2022-06-14T05:23:18Z</dcterms:created>
  <dcterms:modified xsi:type="dcterms:W3CDTF">2022-06-17T10:28:13Z</dcterms:modified>
</cp:coreProperties>
</file>