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ctrlProps/ctrlProp3.xml" ContentType="application/vnd.ms-excel.controlproperties+xml"/>
  <Override PartName="/xl/ctrlProps/ctrlProp4.xml" ContentType="application/vnd.ms-excel.controlproperties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6.xml" ContentType="application/vnd.openxmlformats-officedocument.drawing+xml"/>
  <Override PartName="/xl/activeX/activeX110.xml" ContentType="application/vnd.ms-office.activeX+xml"/>
  <Override PartName="/xl/activeX/activeX110.bin" ContentType="application/vnd.ms-office.activeX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RESH RAM\Desktop\references\olver macros\"/>
    </mc:Choice>
  </mc:AlternateContent>
  <bookViews>
    <workbookView xWindow="0" yWindow="0" windowWidth="28800" windowHeight="12315" tabRatio="601" activeTab="3"/>
  </bookViews>
  <sheets>
    <sheet name="Settings" sheetId="1" r:id="rId1"/>
    <sheet name="Characteristic" sheetId="5" r:id="rId2"/>
    <sheet name="7SD522" sheetId="7" state="hidden" r:id="rId3"/>
    <sheet name="EF calcs" sheetId="6" r:id="rId4"/>
  </sheets>
  <externalReferences>
    <externalReference r:id="rId5"/>
  </externalReferences>
  <definedNames>
    <definedName name="_Ang1">Characteristic!$AJ$15</definedName>
    <definedName name="_Ang2">Characteristic!$AK$15</definedName>
    <definedName name="_Ang3">Characteristic!$AJ$20</definedName>
    <definedName name="_Dir1">Settings!$S$26</definedName>
    <definedName name="_Dir2">Settings!$U$26</definedName>
    <definedName name="_Dir3">Settings!$V$26</definedName>
    <definedName name="_Dir4">Settings!$W$26</definedName>
    <definedName name="_Dir5">Settings!$X$26</definedName>
    <definedName name="_OC1">'7SD522'!#REF!</definedName>
    <definedName name="_R1_Z1">'7SD522'!#REF!</definedName>
    <definedName name="_R1_Z2">'7SD522'!#REF!</definedName>
    <definedName name="_R1_Z3">'7SD522'!#REF!</definedName>
    <definedName name="_R1_Z4">'7SD522'!#REF!</definedName>
    <definedName name="_R1_Z5">'7SD522'!#REF!</definedName>
    <definedName name="_R1E_Z1">'7SD522'!#REF!</definedName>
    <definedName name="_R1E_Z2">'7SD522'!#REF!</definedName>
    <definedName name="_R1E_Z3">'7SD522'!#REF!</definedName>
    <definedName name="_R1E_Z4">'7SD522'!#REF!</definedName>
    <definedName name="_R1E_Z5">'7SD522'!#REF!</definedName>
    <definedName name="_RA1">Settings!#REF!</definedName>
    <definedName name="_RA2">Settings!#REF!</definedName>
    <definedName name="Alpha">Settings!$C$32</definedName>
    <definedName name="Ang1B">Characteristic!$AK$20</definedName>
    <definedName name="Angle">Settings!$G$2</definedName>
    <definedName name="Angle1">#REF!</definedName>
    <definedName name="AngQ2">Settings!$T$3</definedName>
    <definedName name="AngQ2E">Settings!$V$3</definedName>
    <definedName name="AngQ4">Settings!$S$3</definedName>
    <definedName name="AngQ4E">Settings!$U$3</definedName>
    <definedName name="Beta">Settings!$E$32</definedName>
    <definedName name="Blinder_1">'7SD522'!#REF!</definedName>
    <definedName name="Blinder_2">'7SD522'!#REF!</definedName>
    <definedName name="BU_HS">'7SD522'!#REF!</definedName>
    <definedName name="BU_J_HS">Settings!#REF!</definedName>
    <definedName name="BU_J_LS">Settings!#REF!</definedName>
    <definedName name="BU_Je_HS">Settings!#REF!</definedName>
    <definedName name="BU_Je_LS">Settings!#REF!</definedName>
    <definedName name="BU_LS">'7SD522'!#REF!</definedName>
    <definedName name="BU_t_J_HS">Settings!#REF!</definedName>
    <definedName name="BU_t_J_LS">Settings!#REF!</definedName>
    <definedName name="BU_t_Je_HS">Settings!#REF!</definedName>
    <definedName name="BU_t_Je_LS">Settings!#REF!</definedName>
    <definedName name="BUOC_t">'7SD522'!#REF!</definedName>
    <definedName name="CBF_I">Settings!$C$35</definedName>
    <definedName name="CBF_OC">'7SD522'!$H$11</definedName>
    <definedName name="CBF_T1">Settings!$E$35</definedName>
    <definedName name="CBF_T2">Settings!$G$35</definedName>
    <definedName name="CBF_T3">Settings!$I$35</definedName>
    <definedName name="Column">#REF!</definedName>
    <definedName name="CrossP">'7SD522'!#REF!</definedName>
    <definedName name="CT_dir">'7SD522'!$AD$5</definedName>
    <definedName name="CT_StarPoint">'7SD522'!#REF!</definedName>
    <definedName name="CTerr_1">Settings!$I$10</definedName>
    <definedName name="CTerr_1r">'7SD522'!$C$11</definedName>
    <definedName name="CTerr_2">Settings!$M$10</definedName>
    <definedName name="CTerr_2r">'7SD522'!$C$12</definedName>
    <definedName name="CTerr_Thres">Settings!$E$10</definedName>
    <definedName name="CTFactor">'7SD522'!#REF!</definedName>
    <definedName name="CTFactor1">'7SD522'!#REF!</definedName>
    <definedName name="CTFactor2">'7SD522'!#REF!</definedName>
    <definedName name="DCEF">'7SD522'!#REF!</definedName>
    <definedName name="DCEF_J">Settings!$C$31</definedName>
    <definedName name="DCEF_V">Settings!$E$31</definedName>
    <definedName name="DeadTime">Settings!#REF!</definedName>
    <definedName name="DeadTime1">Settings!$Z$2</definedName>
    <definedName name="DeadTime3">Settings!$Y$2</definedName>
    <definedName name="DEF_Ang">Settings!$T$16</definedName>
    <definedName name="Delay_time">Settings!$I$32</definedName>
    <definedName name="Delta_I">Characteristic!$AM$1</definedName>
    <definedName name="DeltaAng">Settings!$M$4</definedName>
    <definedName name="Diff_Time">Settings!$G$38</definedName>
    <definedName name="DIFG1">Settings!$Z$35</definedName>
    <definedName name="DIFI_1">Settings!$T$10</definedName>
    <definedName name="DIFI_2">Settings!$K$38</definedName>
    <definedName name="DIFIC">Settings!$AB$35</definedName>
    <definedName name="Dir1B">Settings!$T$26</definedName>
    <definedName name="DirDelta">Settings!$W$3</definedName>
    <definedName name="EF">'7SD522'!#REF!</definedName>
    <definedName name="EF_t_2">'7SD522'!#REF!</definedName>
    <definedName name="EF_t_3">'7SD522'!#REF!</definedName>
    <definedName name="EF_t_4">'7SD522'!#REF!</definedName>
    <definedName name="EF_TestV">#REF!</definedName>
    <definedName name="EFCA_U">'7SD522'!#REF!</definedName>
    <definedName name="EFI">'7SD522'!$R$12</definedName>
    <definedName name="ER_1">Settings!$U$33</definedName>
    <definedName name="ER_1B">Settings!$U$34</definedName>
    <definedName name="ER_2">Settings!$U$35</definedName>
    <definedName name="ER_3">Settings!$U$36</definedName>
    <definedName name="ER_4">Settings!$U$37</definedName>
    <definedName name="ER_5">Settings!$U$38</definedName>
    <definedName name="EX_1">Settings!$V$33</definedName>
    <definedName name="EX_1B">Settings!$V$34</definedName>
    <definedName name="EX_2">Settings!$V$35</definedName>
    <definedName name="EX_3">Settings!$V$36</definedName>
    <definedName name="EX_4">Settings!$V$37</definedName>
    <definedName name="EX_5">Settings!$V$38</definedName>
    <definedName name="F_1Bst">Settings!#REF!</definedName>
    <definedName name="F_1st">Settings!#REF!</definedName>
    <definedName name="F_2nd">Settings!#REF!</definedName>
    <definedName name="F_3rd">Settings!#REF!</definedName>
    <definedName name="F_4th">Settings!#REF!</definedName>
    <definedName name="FD_611">Settings!$W$4</definedName>
    <definedName name="FDe_611">Settings!$W$4</definedName>
    <definedName name="Feeder">Settings!$P$2</definedName>
    <definedName name="ForwardAng" localSheetId="2">#REF!</definedName>
    <definedName name="ForwardAng">Characteristic!$AJ$10</definedName>
    <definedName name="FwdAng1">Characteristic!$AJ$15</definedName>
    <definedName name="FwdERounding">#REF!</definedName>
    <definedName name="FwdRounding">#REF!</definedName>
    <definedName name="Gen_Trafo">Settings!$Q$11</definedName>
    <definedName name="I_Nom">Settings!$R$7</definedName>
    <definedName name="IDifLv1">'7SD522'!#REF!</definedName>
    <definedName name="IDifLv2">'7SD522'!#REF!</definedName>
    <definedName name="ILv1_2Cr">'7SD522'!#REF!</definedName>
    <definedName name="IMinOp">'7SD522'!#REF!</definedName>
    <definedName name="In">Settings!$Q$7</definedName>
    <definedName name="IN_2">'7SD522'!#REF!</definedName>
    <definedName name="IN_3">'7SD522'!#REF!</definedName>
    <definedName name="IN_4">'7SD522'!#REF!</definedName>
    <definedName name="IN_HS">'7SD522'!#REF!</definedName>
    <definedName name="IN_LS">'7SD522'!#REF!</definedName>
    <definedName name="Inv_EF_Setting">Settings!$I$31</definedName>
    <definedName name="IP_HS">'7SD522'!#REF!</definedName>
    <definedName name="IP_LS">'7SD522'!#REF!</definedName>
    <definedName name="Ir">'7SD522'!#REF!</definedName>
    <definedName name="Is">'7SD522'!#REF!</definedName>
    <definedName name="J_" localSheetId="2">[1]Settings!$I$17</definedName>
    <definedName name="J_">Settings!$C$12</definedName>
    <definedName name="J_HS">Settings!$C$27</definedName>
    <definedName name="J_LS">Settings!$C$28</definedName>
    <definedName name="Je_">Settings!$R$18</definedName>
    <definedName name="Je_HS">Settings!$G$27</definedName>
    <definedName name="Je_LS">Settings!$G$28</definedName>
    <definedName name="k_">Settings!#REF!</definedName>
    <definedName name="K_PSB">#REF!</definedName>
    <definedName name="K_R">'7SD522'!#REF!</definedName>
    <definedName name="K_X">'7SD522'!#REF!</definedName>
    <definedName name="Load_Ang_E">Settings!$E$13</definedName>
    <definedName name="Load_Comp">Settings!$C$21</definedName>
    <definedName name="Load_Comp_Ang">Characteristic!$AB$136</definedName>
    <definedName name="Load_comp_Ang_E">Characteristic!$AF$136</definedName>
    <definedName name="Load_Comp_Z1">Characteristic!$AC$136</definedName>
    <definedName name="Load_Comp_Z1E">Characteristic!$AG$136</definedName>
    <definedName name="LoadAng">Settings!$Q$57</definedName>
    <definedName name="M_Ze">Characteristic!#REF!</definedName>
    <definedName name="ManClose">Settings!$V$17</definedName>
    <definedName name="Max_Z">Characteristic!$AC$137</definedName>
    <definedName name="Max_Ze">Characteristic!$AG$137</definedName>
    <definedName name="Min_Op_time">'7SD522'!$AB$1</definedName>
    <definedName name="MVar">Settings!$E$82</definedName>
    <definedName name="MW">Settings!$E$81</definedName>
    <definedName name="N_Dir">#REF!</definedName>
    <definedName name="NEW">#REF!</definedName>
    <definedName name="NomVESF" localSheetId="2">#REF!</definedName>
    <definedName name="NomVESF">Characteristic!$AL$8</definedName>
    <definedName name="NomVESR">Characteristic!$AM$8</definedName>
    <definedName name="NomVPh1">Characteristic!$AJ$13</definedName>
    <definedName name="NomVPh1B">Characteristic!$AK$18</definedName>
    <definedName name="NomVPh2">Characteristic!$AK$13</definedName>
    <definedName name="NomVPh3">Characteristic!$AJ$18</definedName>
    <definedName name="NomVPhSF" localSheetId="2">#REF!</definedName>
    <definedName name="NomVPhSF">Characteristic!$AJ$8</definedName>
    <definedName name="NomVPhSR">Characteristic!$AK$8</definedName>
    <definedName name="NomVSF">#REF!</definedName>
    <definedName name="NomVSR">#REF!</definedName>
    <definedName name="NomVZ1BE">Characteristic!$AM$9</definedName>
    <definedName name="NomVZ1E">Characteristic!$AL$9</definedName>
    <definedName name="NomVZ2E">Characteristic!$AL$10</definedName>
    <definedName name="NomVZ3E">Characteristic!$AM$10</definedName>
    <definedName name="OC">'7SD522'!#REF!</definedName>
    <definedName name="OCI">'7SD522'!$P$12</definedName>
    <definedName name="open_line">Settings!$M$9</definedName>
    <definedName name="OpTime">Settings!$Q$8</definedName>
    <definedName name="Outlet">'7SD522'!$B$1</definedName>
    <definedName name="Outlet_2">'7SD522'!$F$1</definedName>
    <definedName name="Ph_TestV">#REF!</definedName>
    <definedName name="PhiA">Settings!#REF!</definedName>
    <definedName name="PhiAE">Settings!#REF!</definedName>
    <definedName name="Point_B">'7SD522'!#REF!</definedName>
    <definedName name="PointA">'7SD522'!$AB$3</definedName>
    <definedName name="PointB">'7SD522'!$AB$4</definedName>
    <definedName name="PointC">'7SD522'!$AB$5</definedName>
    <definedName name="PointD">'7SD522'!#REF!</definedName>
    <definedName name="_xlnm.Print_Area" localSheetId="2">'7SD522'!$A$4:$K$63</definedName>
    <definedName name="_xlnm.Print_Area" localSheetId="0">Settings!$A$1:$M$64</definedName>
    <definedName name="PTT_Mode">'7SD522'!#REF!</definedName>
    <definedName name="PTTMode">Settings!$T$17</definedName>
    <definedName name="PUTTMode">Settings!#REF!</definedName>
    <definedName name="R_1">Settings!$C$17</definedName>
    <definedName name="R_1B">Settings!$E$17</definedName>
    <definedName name="R_1BE">Settings!$E$19</definedName>
    <definedName name="R_1E">Settings!$C$19</definedName>
    <definedName name="R_1st">Settings!#REF!</definedName>
    <definedName name="R_2">Settings!$U$42</definedName>
    <definedName name="R_2E">Settings!$U$44</definedName>
    <definedName name="R_2nd">Settings!#REF!</definedName>
    <definedName name="R_3">Settings!$V$42</definedName>
    <definedName name="R_3E">Settings!$V$44</definedName>
    <definedName name="R_3rd">Settings!#REF!</definedName>
    <definedName name="R_4">Settings!$W$42</definedName>
    <definedName name="R_4E">Settings!$W$44</definedName>
    <definedName name="R_5">Settings!$M$17</definedName>
    <definedName name="R_5E">Settings!$M$19</definedName>
    <definedName name="R_Load">Settings!$X$11</definedName>
    <definedName name="R_Load_E">Settings!$X$10</definedName>
    <definedName name="R0_Z1">'7SD522'!#REF!</definedName>
    <definedName name="R0_Z2">'7SD522'!#REF!</definedName>
    <definedName name="R0_Z3">'7SD522'!#REF!</definedName>
    <definedName name="R0_Z4">'7SD522'!#REF!</definedName>
    <definedName name="R0_Z5">'7SD522'!#REF!</definedName>
    <definedName name="RA1E">Settings!#REF!</definedName>
    <definedName name="RA2E">Settings!#REF!</definedName>
    <definedName name="RBB_Coupler">Settings!$T$7</definedName>
    <definedName name="RE_RL">Settings!$I$9</definedName>
    <definedName name="RE_RL_Z1">Settings!$I$8</definedName>
    <definedName name="RefAng">Characteristic!$AJ$95</definedName>
    <definedName name="Rev_FD_611">Settings!#REF!</definedName>
    <definedName name="Rev_Vh_e">Settings!$W$6</definedName>
    <definedName name="Rev_Vh_e_Ang">Settings!$X$6</definedName>
    <definedName name="RevAng1">Characteristic!$AK$15</definedName>
    <definedName name="RevERounding">#REF!</definedName>
    <definedName name="ReverseAng">Characteristic!$AK$10</definedName>
    <definedName name="RevRounding">#REF!</definedName>
    <definedName name="RF_PHS">'7SD522'!#REF!</definedName>
    <definedName name="RF_PSB">'7SD522'!#REF!</definedName>
    <definedName name="RF_Z1">'7SD522'!#REF!</definedName>
    <definedName name="RF_Z2">'7SD522'!#REF!</definedName>
    <definedName name="RF_Z3">'7SD522'!#REF!</definedName>
    <definedName name="RF_Z4">'7SD522'!#REF!</definedName>
    <definedName name="RF_Z5">'7SD522'!#REF!</definedName>
    <definedName name="RFN_PHS">'7SD522'!#REF!</definedName>
    <definedName name="RFN_Z1">'7SD522'!#REF!</definedName>
    <definedName name="RFN_Z2">'7SD522'!#REF!</definedName>
    <definedName name="RFN_Z3">'7SD522'!#REF!</definedName>
    <definedName name="RFN_Z4">'7SD522'!#REF!</definedName>
    <definedName name="RFN_Z5">'7SD522'!#REF!</definedName>
    <definedName name="SEF_I">Settings!$K$28</definedName>
    <definedName name="SEF_t">Settings!$M$28</definedName>
    <definedName name="SEF_V">Settings!$M$26</definedName>
    <definedName name="SEF_Vmax">Settings!$M$27</definedName>
    <definedName name="SEF_Vmin">Settings!$K$27</definedName>
    <definedName name="SelectRelay2">'7SD522'!#REF!</definedName>
    <definedName name="ShowPhSL">'7SD522'!#REF!</definedName>
    <definedName name="ShowPSB">'7SD522'!#REF!</definedName>
    <definedName name="Slope">Settings!$E$12</definedName>
    <definedName name="SOTF">'7SD522'!#REF!</definedName>
    <definedName name="SOTF_Isc">Settings!$R$52</definedName>
    <definedName name="Starpoint" localSheetId="2">'7SD522'!$AD$4</definedName>
    <definedName name="Starpoint">Settings!$R$26</definedName>
    <definedName name="Station" localSheetId="2">'7SD522'!#REF!</definedName>
    <definedName name="Station">Settings!$P$1</definedName>
    <definedName name="t_1" localSheetId="2">'7SD522'!#REF!</definedName>
    <definedName name="T_1">Settings!$C$20</definedName>
    <definedName name="T_1B">Settings!$E$20</definedName>
    <definedName name="t_2" localSheetId="2">'7SD522'!#REF!</definedName>
    <definedName name="T_2">Settings!$U$45</definedName>
    <definedName name="t_3" localSheetId="2">'7SD522'!#REF!</definedName>
    <definedName name="T_3">Settings!$V$45</definedName>
    <definedName name="t_4" localSheetId="2">'7SD522'!#REF!</definedName>
    <definedName name="T_4">Settings!$W$45</definedName>
    <definedName name="t_5" localSheetId="2">'7SD522'!#REF!</definedName>
    <definedName name="T_5">Settings!$M$20</definedName>
    <definedName name="t_BU">'7SD522'!#REF!</definedName>
    <definedName name="t_BU_HS">'7SD522'!#REF!</definedName>
    <definedName name="t_J_HS">Settings!$E$27</definedName>
    <definedName name="t_J_LS">Settings!$E$28</definedName>
    <definedName name="t_Je_HS">Settings!$I$27</definedName>
    <definedName name="t_Je_LS">Settings!$I$28</definedName>
    <definedName name="t_N">'7SD522'!#REF!</definedName>
    <definedName name="t_P">'7SD522'!#REF!</definedName>
    <definedName name="Table">'7SD522'!$K$11:$Q$22</definedName>
    <definedName name="TBF_1">'7SD522'!$H$12</definedName>
    <definedName name="TBF_2">'7SD522'!$H$13</definedName>
    <definedName name="TDIFG">Settings!#REF!</definedName>
    <definedName name="TEF">'7SD522'!#REF!</definedName>
    <definedName name="TEFI">'7SD522'!$R$13</definedName>
    <definedName name="TestV_SOTF_E">Characteristic!$Y$32</definedName>
    <definedName name="TestV_Z1">#REF!</definedName>
    <definedName name="TestV_Z2">#REF!</definedName>
    <definedName name="TestV_Z3">#REF!</definedName>
    <definedName name="TestV_Z4">#REF!</definedName>
    <definedName name="TestV_Z5">#REF!</definedName>
    <definedName name="TestVFwd">Settings!#REF!</definedName>
    <definedName name="TestVFwdE">Settings!#REF!</definedName>
    <definedName name="TestVPh">#REF!</definedName>
    <definedName name="TestVPTT">Characteristic!$V$10</definedName>
    <definedName name="TestVPUTT">#REF!</definedName>
    <definedName name="TestVRev">Settings!#REF!</definedName>
    <definedName name="TestVRevE">Settings!#REF!</definedName>
    <definedName name="TestVSOTF">Characteristic!$Y$10</definedName>
    <definedName name="TestVSOTF2">Characteristic!#REF!</definedName>
    <definedName name="TestVZ1">Characteristic!$D$10</definedName>
    <definedName name="TestVZ1B">Characteristic!$G$10</definedName>
    <definedName name="TestVZ1BE">Characteristic!$G$32</definedName>
    <definedName name="TestVZ1E" localSheetId="2">#REF!</definedName>
    <definedName name="TestVZ1E">Characteristic!$D$32</definedName>
    <definedName name="TestVZ2">Characteristic!$J$10</definedName>
    <definedName name="TestVZ2E">Characteristic!$J$32</definedName>
    <definedName name="TestVZ3">Characteristic!$M$10</definedName>
    <definedName name="TestVZ3E">Characteristic!$M$32</definedName>
    <definedName name="TestVZ4">Characteristic!$P$10</definedName>
    <definedName name="TestVZ4E">Characteristic!$P$32</definedName>
    <definedName name="TestVZ5">Characteristic!$S$10</definedName>
    <definedName name="TestVZ5E">Characteristic!$S$32</definedName>
    <definedName name="TimesError">Settings!#REF!</definedName>
    <definedName name="TimesTest_R_V">Characteristic!$AL$73</definedName>
    <definedName name="TimesTest_R_V_E">Characteristic!$AM$73</definedName>
    <definedName name="TimesTestV">Characteristic!$AJ$73</definedName>
    <definedName name="TimesTestV_E">Characteristic!$AK$73</definedName>
    <definedName name="TimesTestV_PhF">Characteristic!$AJ$73</definedName>
    <definedName name="TimesTestVF">Characteristic!$AJ$73</definedName>
    <definedName name="TMS">'7SD522'!#REF!</definedName>
    <definedName name="TOC">'7SD522'!#REF!</definedName>
    <definedName name="TOCI">'7SD522'!$P$13</definedName>
    <definedName name="Type">#REF!</definedName>
    <definedName name="Under_V">'7SD522'!#REF!</definedName>
    <definedName name="V_Scaler">#REF!</definedName>
    <definedName name="V_Scaler_E">Characteristic!$AK$72</definedName>
    <definedName name="Ve_F">Characteristic!$C$207</definedName>
    <definedName name="Ve_R">Characteristic!$C$208</definedName>
    <definedName name="Vh">Settings!$U$5</definedName>
    <definedName name="Vh_e">Settings!$U$6</definedName>
    <definedName name="Vh_e_Ang">Settings!$V$6</definedName>
    <definedName name="Vn">Settings!$Z$34</definedName>
    <definedName name="WEI_UV">Settings!$E$24</definedName>
    <definedName name="X_1">Settings!$C$18</definedName>
    <definedName name="X_1B">Settings!$E$18</definedName>
    <definedName name="X_2">Settings!$U$43</definedName>
    <definedName name="X_3">Settings!$V$43</definedName>
    <definedName name="X_4">Settings!$W$43</definedName>
    <definedName name="X_5">Settings!$P$21</definedName>
    <definedName name="X0_PHS">'7SD522'!#REF!</definedName>
    <definedName name="X0_Z1">'7SD522'!#REF!</definedName>
    <definedName name="X0_Z2">'7SD522'!#REF!</definedName>
    <definedName name="X0_Z3">'7SD522'!#REF!</definedName>
    <definedName name="X0_Z4">'7SD522'!#REF!</definedName>
    <definedName name="X0_Z5">'7SD522'!#REF!</definedName>
    <definedName name="X1_PE">'7SD522'!#REF!</definedName>
    <definedName name="X1_PHS">'7SD522'!#REF!</definedName>
    <definedName name="X1_PSB">'7SD522'!#REF!</definedName>
    <definedName name="X1_Z1">'7SD522'!#REF!</definedName>
    <definedName name="X1_Z2">'7SD522'!#REF!</definedName>
    <definedName name="X1_Z3">'7SD522'!#REF!</definedName>
    <definedName name="X1_Z4">'7SD522'!#REF!</definedName>
    <definedName name="X1_Z5">'7SD522'!#REF!</definedName>
    <definedName name="X1E_Z1">'7SD522'!#REF!</definedName>
    <definedName name="X1E_Z2">'7SD522'!#REF!</definedName>
    <definedName name="X1E_Z3">'7SD522'!#REF!</definedName>
    <definedName name="X1E_Z4">'7SD522'!#REF!</definedName>
    <definedName name="X1E_Z5">'7SD522'!#REF!</definedName>
    <definedName name="X1Z1">'7SD522'!#REF!</definedName>
    <definedName name="XE_XL">Settings!$K$9</definedName>
    <definedName name="XE_XL_Z1">Settings!$K$8</definedName>
    <definedName name="XminusA">Settings!#REF!</definedName>
    <definedName name="XplusA">Settings!#REF!</definedName>
    <definedName name="Z1_Ang">Characteristic!$AP$2</definedName>
    <definedName name="Z1_Ang2">Characteristic!$AP$8</definedName>
    <definedName name="Z1_Ang3">Characteristic!$AP$14</definedName>
    <definedName name="Z1_Blinder1">Characteristic!$C$13</definedName>
    <definedName name="Z1_Blinder2">Characteristic!$C$23</definedName>
    <definedName name="Z1_C">Characteristic!$AP$3</definedName>
    <definedName name="Z1_C2">Characteristic!$AP$9</definedName>
    <definedName name="Z1_C3">Characteristic!$AP$15</definedName>
    <definedName name="Z1_Mag">Characteristic!$AP$7</definedName>
    <definedName name="Z1_Mag2">Characteristic!$AP$13</definedName>
    <definedName name="Z1_Mag3">Characteristic!$AP$19</definedName>
    <definedName name="Z1B_Ang">Characteristic!$AQ$2</definedName>
    <definedName name="Z1B_Ang2">Characteristic!$AQ$8</definedName>
    <definedName name="Z1B_Ang3">Characteristic!$AQ$14</definedName>
    <definedName name="Z1B_Blinder1">Characteristic!$F$13</definedName>
    <definedName name="Z1B_Blinder2">Characteristic!$F$23</definedName>
    <definedName name="Z1B_C">Characteristic!$AQ$3</definedName>
    <definedName name="Z1B_C2">Characteristic!$AQ$9</definedName>
    <definedName name="Z1B_C3">Characteristic!$AQ$15</definedName>
    <definedName name="Z1B_Mag">Characteristic!$AQ$7</definedName>
    <definedName name="Z1B_Mag2">Characteristic!$AQ$13</definedName>
    <definedName name="Z1B_Mag3">Characteristic!$AQ$19</definedName>
    <definedName name="Z1BE_Ang">Characteristic!$AW$2</definedName>
    <definedName name="Z1BE_Ang2">Characteristic!$AW$8</definedName>
    <definedName name="Z1BE_C">Characteristic!$AW$3</definedName>
    <definedName name="Z1BE_C2">Characteristic!$AW$9</definedName>
    <definedName name="Z1BE_Mag">Characteristic!$AW$7</definedName>
    <definedName name="Z1BE_Mag2">Characteristic!$AW$13</definedName>
    <definedName name="Z1E_Ang">Characteristic!$AV$2</definedName>
    <definedName name="Z1E_Ang2">Characteristic!$AV$8</definedName>
    <definedName name="Z1E_C">Characteristic!$AV$3</definedName>
    <definedName name="Z1E_C2">Characteristic!$AV$9</definedName>
    <definedName name="Z1E_Mag">Characteristic!$AV$7</definedName>
    <definedName name="Z1E_Mag2">Characteristic!$AV$13</definedName>
    <definedName name="Z2_Ang">Characteristic!$AR$2</definedName>
    <definedName name="Z2_Ang2">Characteristic!$AR$8</definedName>
    <definedName name="Z2_Ang3">Characteristic!$AR$14</definedName>
    <definedName name="Z2_Blinder1">Characteristic!$I$13</definedName>
    <definedName name="Z2_Blinder2">Characteristic!$I$23</definedName>
    <definedName name="Z2_C">Characteristic!$AR$3</definedName>
    <definedName name="Z2_C2">Characteristic!$AR$9</definedName>
    <definedName name="Z2_C3">Characteristic!$AR$15</definedName>
    <definedName name="Z2_Mag">Characteristic!$AR$7</definedName>
    <definedName name="Z2_Mag2">Characteristic!$AR$13</definedName>
    <definedName name="Z2_Mag3">Characteristic!$AR$19</definedName>
    <definedName name="Z2E_Ang">Characteristic!$AX$2</definedName>
    <definedName name="Z2E_Ang2">Characteristic!$AX$8</definedName>
    <definedName name="Z2E_C">Characteristic!$AX$3</definedName>
    <definedName name="Z2E_C2">Characteristic!$AX$9</definedName>
    <definedName name="Z2E_Mag">Characteristic!$AX$7</definedName>
    <definedName name="Z2E_Mag2">Characteristic!$AX$13</definedName>
    <definedName name="Z3_Ang">Characteristic!$AS$2</definedName>
    <definedName name="Z3_Ang2">Characteristic!$AS$8</definedName>
    <definedName name="Z3_Ang3">Characteristic!$AS$14</definedName>
    <definedName name="Z3_Blinder1">Characteristic!$L$13</definedName>
    <definedName name="Z3_Blinder2">Characteristic!$L$23</definedName>
    <definedName name="Z3_C">Characteristic!$AS$3</definedName>
    <definedName name="Z3_C2">Characteristic!$AS$9</definedName>
    <definedName name="Z3_C3">Characteristic!$AS$15</definedName>
    <definedName name="Z3_Mag">Characteristic!$AS$7</definedName>
    <definedName name="Z3_Mag2">Characteristic!$AS$13</definedName>
    <definedName name="Z3_Mag3">Characteristic!$AS$19</definedName>
    <definedName name="Z3E_Ang">Characteristic!$AY$2</definedName>
    <definedName name="Z3E_Ang2">Characteristic!$AY$8</definedName>
    <definedName name="Z3E_C">Characteristic!$AY$3</definedName>
    <definedName name="Z3E_C2">Characteristic!$AY$9</definedName>
    <definedName name="Z3E_Mag">Characteristic!$AY$7</definedName>
    <definedName name="Z3E_Mag2">Characteristic!$AY$13</definedName>
    <definedName name="Z4_Ang">Characteristic!$AT$2</definedName>
    <definedName name="Z4_Ang2">Characteristic!$AT$8</definedName>
    <definedName name="Z4_Ang3">Characteristic!$AT$14</definedName>
    <definedName name="Z4_Blinder1">Characteristic!$O$13</definedName>
    <definedName name="Z4_Blinder2">Characteristic!$O$23</definedName>
    <definedName name="Z4_C">Characteristic!$AT$3</definedName>
    <definedName name="Z4_C2">Characteristic!$AT$9</definedName>
    <definedName name="Z4_C3">Characteristic!$AT$15</definedName>
    <definedName name="Z4_Mag">Characteristic!$AT$7</definedName>
    <definedName name="Z4_Mag2">Characteristic!$AT$13</definedName>
    <definedName name="Z4_Mag3">Characteristic!$AT$19</definedName>
    <definedName name="Z4E_Ang">Characteristic!$AZ$2</definedName>
    <definedName name="Z4E_Ang2">Characteristic!$AZ$8</definedName>
    <definedName name="Z4E_C">Characteristic!$AZ$3</definedName>
    <definedName name="Z4E_C2">Characteristic!$AZ$9</definedName>
    <definedName name="Z4E_Mag">Characteristic!$AZ$7</definedName>
    <definedName name="Z4E_Mag2">Characteristic!$AZ$13</definedName>
    <definedName name="Z5_Ang">Characteristic!$AU$2</definedName>
    <definedName name="Z5_Ang2">Characteristic!$AU$8</definedName>
    <definedName name="Z5_Ang3">Characteristic!$AU$14</definedName>
    <definedName name="Z5_Blinder1">Characteristic!$R$13</definedName>
    <definedName name="Z5_Blinder2">Characteristic!$R$23</definedName>
    <definedName name="Z5_C">Characteristic!$AU$3</definedName>
    <definedName name="Z5_C2">Characteristic!$AU$9</definedName>
    <definedName name="Z5_C3">Characteristic!$AU$15</definedName>
    <definedName name="Z5_Mag">Characteristic!$AU$7</definedName>
    <definedName name="Z5_mag2">Characteristic!$AU$13</definedName>
    <definedName name="Z5_Mag3">Characteristic!$AU$19</definedName>
    <definedName name="Z5E_Ang">Characteristic!$BA$2</definedName>
    <definedName name="Z5E_Ang2">Characteristic!$BA$8</definedName>
    <definedName name="Z5E_C">Characteristic!$BA$3</definedName>
    <definedName name="Z5E_C2">Characteristic!$BA$9</definedName>
    <definedName name="Z5E_Mag">Characteristic!$BA$7</definedName>
    <definedName name="Z5E_Mag2">Characteristic!$BA$13</definedName>
  </definedNames>
  <calcPr calcId="152511"/>
</workbook>
</file>

<file path=xl/calcChain.xml><?xml version="1.0" encoding="utf-8"?>
<calcChain xmlns="http://schemas.openxmlformats.org/spreadsheetml/2006/main">
  <c r="Q6" i="1" l="1"/>
  <c r="R52" i="1"/>
  <c r="T10" i="1"/>
  <c r="B7" i="7"/>
  <c r="P21" i="1"/>
  <c r="V38" i="1"/>
  <c r="R10" i="1"/>
  <c r="Z68" i="1"/>
  <c r="I151" i="1"/>
  <c r="I143" i="1"/>
  <c r="P78" i="1"/>
  <c r="R78" i="1"/>
  <c r="P79" i="1"/>
  <c r="R79" i="1"/>
  <c r="R18" i="1"/>
  <c r="J132" i="5"/>
  <c r="H81" i="1"/>
  <c r="C77" i="1"/>
  <c r="Z55" i="1"/>
  <c r="C148" i="1"/>
  <c r="W56" i="1"/>
  <c r="B148" i="1"/>
  <c r="M77" i="1"/>
  <c r="Z64" i="1"/>
  <c r="Z57" i="1"/>
  <c r="E149" i="1"/>
  <c r="G141" i="1"/>
  <c r="Z60" i="1"/>
  <c r="Z59" i="1"/>
  <c r="E151" i="1"/>
  <c r="G143" i="1"/>
  <c r="Y65" i="1"/>
  <c r="Y58" i="1"/>
  <c r="D150" i="1"/>
  <c r="F142" i="1"/>
  <c r="F145" i="1"/>
  <c r="B139" i="1"/>
  <c r="W49" i="1"/>
  <c r="B141" i="1"/>
  <c r="C141" i="1"/>
  <c r="Y49" i="1"/>
  <c r="D141" i="1"/>
  <c r="W50" i="1"/>
  <c r="B142" i="1"/>
  <c r="C142" i="1"/>
  <c r="Y50" i="1"/>
  <c r="D142" i="1"/>
  <c r="B143" i="1"/>
  <c r="C143" i="1"/>
  <c r="Z51" i="1"/>
  <c r="E143" i="1"/>
  <c r="B144" i="1"/>
  <c r="C144" i="1"/>
  <c r="D144" i="1"/>
  <c r="B145" i="1"/>
  <c r="C145" i="1"/>
  <c r="D145" i="1"/>
  <c r="B147" i="1"/>
  <c r="W57" i="1"/>
  <c r="B149" i="1"/>
  <c r="C149" i="1"/>
  <c r="W58" i="1"/>
  <c r="B150" i="1"/>
  <c r="C150" i="1"/>
  <c r="E150" i="1"/>
  <c r="G142" i="1"/>
  <c r="B151" i="1"/>
  <c r="C151" i="1"/>
  <c r="B152" i="1"/>
  <c r="C152" i="1"/>
  <c r="B153" i="1"/>
  <c r="C153" i="1"/>
  <c r="D153" i="1"/>
  <c r="E153" i="1"/>
  <c r="G145" i="1"/>
  <c r="F147" i="1"/>
  <c r="W65" i="1"/>
  <c r="F148" i="1"/>
  <c r="G148" i="1"/>
  <c r="I148" i="1"/>
  <c r="I140" i="1"/>
  <c r="W66" i="1"/>
  <c r="F149" i="1"/>
  <c r="G149" i="1"/>
  <c r="I149" i="1"/>
  <c r="I141" i="1"/>
  <c r="W67" i="1"/>
  <c r="F150" i="1"/>
  <c r="G150" i="1"/>
  <c r="I150" i="1"/>
  <c r="I142" i="1"/>
  <c r="F151" i="1"/>
  <c r="G151" i="1"/>
  <c r="F152" i="1"/>
  <c r="G152" i="1"/>
  <c r="F153" i="1"/>
  <c r="G153" i="1"/>
  <c r="C140" i="1"/>
  <c r="Y48" i="1"/>
  <c r="D140" i="1"/>
  <c r="W48" i="1"/>
  <c r="B140" i="1"/>
  <c r="G83" i="1"/>
  <c r="S76" i="1"/>
  <c r="S75" i="1"/>
  <c r="S74" i="1"/>
  <c r="T74" i="1"/>
  <c r="R76" i="1"/>
  <c r="R74" i="1"/>
  <c r="R75" i="1"/>
  <c r="T75" i="1"/>
  <c r="L79" i="1"/>
  <c r="T76" i="1"/>
  <c r="G84" i="1"/>
  <c r="G82" i="1"/>
  <c r="Z53" i="1"/>
  <c r="E145" i="1"/>
  <c r="Z52" i="1"/>
  <c r="E144" i="1"/>
  <c r="Z50" i="1"/>
  <c r="E142" i="1"/>
  <c r="Z49" i="1"/>
  <c r="E141" i="1"/>
  <c r="Z48" i="1"/>
  <c r="E140" i="1"/>
  <c r="AF139" i="5"/>
  <c r="C8" i="1"/>
  <c r="R21" i="1"/>
  <c r="X22" i="1"/>
  <c r="X26" i="1"/>
  <c r="U38" i="1"/>
  <c r="AY84" i="5"/>
  <c r="AF141" i="5"/>
  <c r="I16" i="1"/>
  <c r="AR84" i="5"/>
  <c r="AF140" i="5"/>
  <c r="K16" i="1"/>
  <c r="W43" i="1"/>
  <c r="AB139" i="5"/>
  <c r="AB140" i="5"/>
  <c r="X11" i="1"/>
  <c r="F84" i="5"/>
  <c r="G84" i="5"/>
  <c r="C350" i="5"/>
  <c r="C349" i="5"/>
  <c r="Z38" i="1"/>
  <c r="AN2" i="5"/>
  <c r="AT95" i="5"/>
  <c r="AM72" i="5"/>
  <c r="M16" i="1"/>
  <c r="G16" i="1"/>
  <c r="U43" i="1"/>
  <c r="J21" i="5"/>
  <c r="C16" i="1"/>
  <c r="X10" i="1"/>
  <c r="AS83" i="5"/>
  <c r="T22" i="1"/>
  <c r="T26" i="1"/>
  <c r="S22" i="1"/>
  <c r="S26" i="1"/>
  <c r="C4" i="7"/>
  <c r="J159" i="7"/>
  <c r="I162" i="7"/>
  <c r="C3" i="7"/>
  <c r="G3" i="7"/>
  <c r="J170" i="7"/>
  <c r="AD4" i="7"/>
  <c r="AB9" i="7"/>
  <c r="J162" i="7"/>
  <c r="J163" i="7"/>
  <c r="J164" i="7"/>
  <c r="AR97" i="5"/>
  <c r="AR96" i="5"/>
  <c r="AR95" i="5"/>
  <c r="AK72" i="5"/>
  <c r="V33" i="1"/>
  <c r="D43" i="5"/>
  <c r="AS95" i="5"/>
  <c r="AW108" i="5"/>
  <c r="AV108" i="5"/>
  <c r="AQ108" i="5"/>
  <c r="AP108" i="5"/>
  <c r="R26" i="1"/>
  <c r="AC26" i="7"/>
  <c r="J175" i="7"/>
  <c r="C715" i="5"/>
  <c r="AC23" i="7"/>
  <c r="AL72" i="5"/>
  <c r="AJ68" i="5"/>
  <c r="AJ57" i="5"/>
  <c r="C54" i="5"/>
  <c r="E54" i="5"/>
  <c r="E55" i="5"/>
  <c r="D54" i="5"/>
  <c r="D55" i="5"/>
  <c r="V34" i="1"/>
  <c r="D58" i="5"/>
  <c r="D59" i="5"/>
  <c r="D21" i="5"/>
  <c r="C538" i="5"/>
  <c r="AJ72" i="5"/>
  <c r="G21" i="5"/>
  <c r="C58" i="5"/>
  <c r="C59" i="5"/>
  <c r="B59" i="5"/>
  <c r="E16" i="1"/>
  <c r="C47" i="5"/>
  <c r="C11" i="6"/>
  <c r="F11" i="6"/>
  <c r="C716" i="5"/>
  <c r="AW109" i="5"/>
  <c r="AV109" i="5"/>
  <c r="AQ109" i="5"/>
  <c r="AP109" i="5"/>
  <c r="AC24" i="7"/>
  <c r="AC25" i="7"/>
  <c r="AL26" i="7"/>
  <c r="AL23" i="7"/>
  <c r="AD24" i="7"/>
  <c r="AL24" i="7"/>
  <c r="AD26" i="7"/>
  <c r="V34" i="7"/>
  <c r="AG35" i="7"/>
  <c r="AD35" i="7"/>
  <c r="U34" i="7"/>
  <c r="V33" i="7"/>
  <c r="AD34" i="7"/>
  <c r="H31" i="7"/>
  <c r="I31" i="7"/>
  <c r="H33" i="7"/>
  <c r="H32" i="7"/>
  <c r="I33" i="7"/>
  <c r="I34" i="7"/>
  <c r="U33" i="7"/>
  <c r="B9" i="7"/>
  <c r="D9" i="7"/>
  <c r="C9" i="7"/>
  <c r="A8" i="7"/>
  <c r="B8" i="7"/>
  <c r="C717" i="5"/>
  <c r="C718" i="5"/>
  <c r="C389" i="5"/>
  <c r="C388" i="5"/>
  <c r="A12" i="7"/>
  <c r="A11" i="7"/>
  <c r="A10" i="7"/>
  <c r="G4" i="7"/>
  <c r="Z34" i="1"/>
  <c r="C720" i="5"/>
  <c r="B12" i="7"/>
  <c r="B11" i="7"/>
  <c r="B10" i="7"/>
  <c r="A7" i="7"/>
  <c r="I19" i="7"/>
  <c r="M19" i="7"/>
  <c r="Q19" i="7"/>
  <c r="U19" i="7"/>
  <c r="A13" i="7"/>
  <c r="A14" i="7"/>
  <c r="B1" i="7"/>
  <c r="G6" i="7"/>
  <c r="A1" i="7"/>
  <c r="E1" i="7"/>
  <c r="AD2" i="7"/>
  <c r="D6" i="7"/>
  <c r="I6" i="7"/>
  <c r="AF11" i="7"/>
  <c r="AF17" i="7"/>
  <c r="R42" i="7"/>
  <c r="AG11" i="7"/>
  <c r="AF18" i="7"/>
  <c r="R43" i="7"/>
  <c r="AF12" i="7"/>
  <c r="AH16" i="7"/>
  <c r="T41" i="7"/>
  <c r="W44" i="7"/>
  <c r="X44" i="7"/>
  <c r="AG12" i="7"/>
  <c r="AA13" i="7"/>
  <c r="AE16" i="7"/>
  <c r="AG16" i="7"/>
  <c r="Y44" i="7"/>
  <c r="AE17" i="7"/>
  <c r="AG17" i="7"/>
  <c r="S42" i="7"/>
  <c r="V43" i="7"/>
  <c r="D18" i="7"/>
  <c r="AE18" i="7"/>
  <c r="Q43" i="7"/>
  <c r="AG18" i="7"/>
  <c r="S43" i="7"/>
  <c r="V42" i="7"/>
  <c r="AE19" i="7"/>
  <c r="Q44" i="7"/>
  <c r="AG19" i="7"/>
  <c r="S44" i="7"/>
  <c r="V41" i="7"/>
  <c r="I20" i="7"/>
  <c r="M20" i="7"/>
  <c r="M21" i="7"/>
  <c r="E21" i="7"/>
  <c r="E26" i="7"/>
  <c r="E27" i="7"/>
  <c r="I26" i="7"/>
  <c r="I27" i="7"/>
  <c r="M26" i="7"/>
  <c r="M27" i="7"/>
  <c r="Q26" i="7"/>
  <c r="Q27" i="7"/>
  <c r="U26" i="7"/>
  <c r="U27" i="7"/>
  <c r="S41" i="7"/>
  <c r="V44" i="7"/>
  <c r="Q42" i="7"/>
  <c r="E148" i="7"/>
  <c r="E149" i="7"/>
  <c r="E150" i="7"/>
  <c r="E151" i="7"/>
  <c r="I148" i="7"/>
  <c r="M148" i="7"/>
  <c r="M149" i="7"/>
  <c r="M150" i="7"/>
  <c r="M151" i="7"/>
  <c r="Q148" i="7"/>
  <c r="U148" i="7"/>
  <c r="U149" i="7"/>
  <c r="U150" i="7"/>
  <c r="U151" i="7"/>
  <c r="A149" i="7"/>
  <c r="A150" i="7"/>
  <c r="A151" i="7"/>
  <c r="B149" i="7"/>
  <c r="B150" i="7"/>
  <c r="B151" i="7"/>
  <c r="D149" i="7"/>
  <c r="F149" i="7"/>
  <c r="J149" i="7"/>
  <c r="H149" i="7"/>
  <c r="G149" i="7"/>
  <c r="K149" i="7"/>
  <c r="O149" i="7"/>
  <c r="S149" i="7"/>
  <c r="I149" i="7"/>
  <c r="Q149" i="7"/>
  <c r="Q150" i="7"/>
  <c r="C150" i="7"/>
  <c r="D150" i="7"/>
  <c r="F150" i="7"/>
  <c r="I150" i="7"/>
  <c r="I151" i="7"/>
  <c r="Q151" i="7"/>
  <c r="D151" i="7"/>
  <c r="F151" i="7"/>
  <c r="A152" i="7"/>
  <c r="C152" i="7"/>
  <c r="E152" i="7"/>
  <c r="G152" i="7"/>
  <c r="I152" i="7"/>
  <c r="K152" i="7"/>
  <c r="M152" i="7"/>
  <c r="O152" i="7"/>
  <c r="Q152" i="7"/>
  <c r="S152" i="7"/>
  <c r="U152" i="7"/>
  <c r="D152" i="7"/>
  <c r="F152" i="7"/>
  <c r="H152" i="7"/>
  <c r="J152" i="7"/>
  <c r="L152" i="7"/>
  <c r="N152" i="7"/>
  <c r="P152" i="7"/>
  <c r="R152" i="7"/>
  <c r="T152" i="7"/>
  <c r="V152" i="7"/>
  <c r="D153" i="7"/>
  <c r="F153" i="7"/>
  <c r="H153" i="7"/>
  <c r="J153" i="7"/>
  <c r="L153" i="7"/>
  <c r="N153" i="7"/>
  <c r="P153" i="7"/>
  <c r="R153" i="7"/>
  <c r="T153" i="7"/>
  <c r="V153" i="7"/>
  <c r="D154" i="7"/>
  <c r="F154" i="7"/>
  <c r="H154" i="7"/>
  <c r="J154" i="7"/>
  <c r="L154" i="7"/>
  <c r="N154" i="7"/>
  <c r="P154" i="7"/>
  <c r="R154" i="7"/>
  <c r="T154" i="7"/>
  <c r="V154" i="7"/>
  <c r="E163" i="7"/>
  <c r="D164" i="7"/>
  <c r="I165" i="7"/>
  <c r="I166" i="7"/>
  <c r="I167" i="7"/>
  <c r="D166" i="7"/>
  <c r="D167" i="7"/>
  <c r="D170" i="7"/>
  <c r="S9" i="5"/>
  <c r="C518" i="5"/>
  <c r="V45" i="1"/>
  <c r="M9" i="5"/>
  <c r="C400" i="5"/>
  <c r="C383" i="5"/>
  <c r="U45" i="1"/>
  <c r="J9" i="5"/>
  <c r="C397" i="5"/>
  <c r="C382" i="5"/>
  <c r="G9" i="5"/>
  <c r="C394" i="5"/>
  <c r="C381" i="5"/>
  <c r="D9" i="5"/>
  <c r="C391" i="5"/>
  <c r="W4" i="1"/>
  <c r="R49" i="1"/>
  <c r="AL84" i="5"/>
  <c r="M59" i="5"/>
  <c r="L59" i="5"/>
  <c r="AN6" i="5"/>
  <c r="AW25" i="5"/>
  <c r="F29" i="1"/>
  <c r="C714" i="5"/>
  <c r="Q39" i="1"/>
  <c r="AP65" i="5"/>
  <c r="Q40" i="1"/>
  <c r="AP66" i="5"/>
  <c r="Q41" i="1"/>
  <c r="AP67" i="5"/>
  <c r="Q42" i="1"/>
  <c r="AP68" i="5"/>
  <c r="Q43" i="1"/>
  <c r="AP69" i="5"/>
  <c r="Q44" i="1"/>
  <c r="AP70" i="5"/>
  <c r="Q38" i="1"/>
  <c r="AP64" i="5"/>
  <c r="AJ56" i="5"/>
  <c r="AC130" i="5"/>
  <c r="AC129" i="5"/>
  <c r="U33" i="1"/>
  <c r="AG130" i="5"/>
  <c r="U34" i="1"/>
  <c r="G37" i="5"/>
  <c r="AQ3" i="5"/>
  <c r="G18" i="5"/>
  <c r="V42" i="1"/>
  <c r="K84" i="5"/>
  <c r="K86" i="5"/>
  <c r="U42" i="1"/>
  <c r="J83" i="5"/>
  <c r="D132" i="5"/>
  <c r="C713" i="5"/>
  <c r="AJ58" i="5"/>
  <c r="AJ60" i="5"/>
  <c r="AJ61" i="5"/>
  <c r="AR27" i="5"/>
  <c r="AQ9" i="5"/>
  <c r="AP49" i="5"/>
  <c r="AK49" i="5"/>
  <c r="I84" i="5"/>
  <c r="I86" i="5"/>
  <c r="AP47" i="5"/>
  <c r="AP52" i="5"/>
  <c r="AK52" i="5"/>
  <c r="AQ8" i="5"/>
  <c r="F22" i="5"/>
  <c r="D216" i="5"/>
  <c r="I4" i="5"/>
  <c r="C162" i="5"/>
  <c r="C164" i="5"/>
  <c r="C161" i="5"/>
  <c r="C160" i="5"/>
  <c r="C168" i="5"/>
  <c r="C167" i="5"/>
  <c r="C166" i="5"/>
  <c r="B29" i="1"/>
  <c r="F43" i="5"/>
  <c r="O4" i="5"/>
  <c r="O26" i="5"/>
  <c r="R4" i="5"/>
  <c r="C171" i="5"/>
  <c r="C170" i="5"/>
  <c r="C165" i="5"/>
  <c r="AV27" i="5"/>
  <c r="AM53" i="5"/>
  <c r="V24" i="5"/>
  <c r="C444" i="5"/>
  <c r="AN51" i="5"/>
  <c r="V44" i="5"/>
  <c r="AN52" i="5"/>
  <c r="V45" i="5"/>
  <c r="H25" i="5"/>
  <c r="AO49" i="5"/>
  <c r="AM49" i="5"/>
  <c r="V20" i="5"/>
  <c r="C440" i="5"/>
  <c r="AM51" i="5"/>
  <c r="V22" i="5"/>
  <c r="C442" i="5"/>
  <c r="M84" i="5"/>
  <c r="M86" i="5"/>
  <c r="R15" i="5"/>
  <c r="AP9" i="5"/>
  <c r="H84" i="5"/>
  <c r="H86" i="5"/>
  <c r="AP2" i="5"/>
  <c r="C19" i="5"/>
  <c r="D19" i="5"/>
  <c r="AC125" i="5"/>
  <c r="AB125" i="5"/>
  <c r="AB134" i="5"/>
  <c r="H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65" i="5"/>
  <c r="D166" i="5"/>
  <c r="E166" i="5"/>
  <c r="F166" i="5"/>
  <c r="D167" i="5"/>
  <c r="E167" i="5"/>
  <c r="F167" i="5"/>
  <c r="C169" i="5"/>
  <c r="C282" i="5"/>
  <c r="D171" i="5"/>
  <c r="E171" i="5"/>
  <c r="F171" i="5"/>
  <c r="C176" i="5"/>
  <c r="D176" i="5"/>
  <c r="E176" i="5"/>
  <c r="F176" i="5"/>
  <c r="C177" i="5"/>
  <c r="D177" i="5"/>
  <c r="E177" i="5"/>
  <c r="F177" i="5"/>
  <c r="C178" i="5"/>
  <c r="D178" i="5"/>
  <c r="E178" i="5"/>
  <c r="F178" i="5"/>
  <c r="C179" i="5"/>
  <c r="D179" i="5"/>
  <c r="E179" i="5"/>
  <c r="F179" i="5"/>
  <c r="C180" i="5"/>
  <c r="D180" i="5"/>
  <c r="E180" i="5"/>
  <c r="F180" i="5"/>
  <c r="C181" i="5"/>
  <c r="E181" i="5"/>
  <c r="C182" i="5"/>
  <c r="D182" i="5"/>
  <c r="E182" i="5"/>
  <c r="F182" i="5"/>
  <c r="C183" i="5"/>
  <c r="D183" i="5"/>
  <c r="E183" i="5"/>
  <c r="F183" i="5"/>
  <c r="C184" i="5"/>
  <c r="D184" i="5"/>
  <c r="E184" i="5"/>
  <c r="F184" i="5"/>
  <c r="C185" i="5"/>
  <c r="D185" i="5"/>
  <c r="E185" i="5"/>
  <c r="F185" i="5"/>
  <c r="C186" i="5"/>
  <c r="D186" i="5"/>
  <c r="E186" i="5"/>
  <c r="F186" i="5"/>
  <c r="C187" i="5"/>
  <c r="D187" i="5"/>
  <c r="E187" i="5"/>
  <c r="F187" i="5"/>
  <c r="C201" i="5"/>
  <c r="C202" i="5"/>
  <c r="D202" i="5"/>
  <c r="C203" i="5"/>
  <c r="D203" i="5"/>
  <c r="C206" i="5"/>
  <c r="D206" i="5"/>
  <c r="C209" i="5"/>
  <c r="C210" i="5"/>
  <c r="C271" i="5"/>
  <c r="C272" i="5"/>
  <c r="C273" i="5"/>
  <c r="C276" i="5"/>
  <c r="C279" i="5"/>
  <c r="C280" i="5"/>
  <c r="C281" i="5"/>
  <c r="C283" i="5"/>
  <c r="C284" i="5"/>
  <c r="AZ27" i="5"/>
  <c r="C323" i="5"/>
  <c r="AT51" i="5"/>
  <c r="C346" i="5"/>
  <c r="C351" i="5"/>
  <c r="C352" i="5"/>
  <c r="C354" i="5"/>
  <c r="C369" i="5"/>
  <c r="C370" i="5"/>
  <c r="C371" i="5"/>
  <c r="C372" i="5"/>
  <c r="C375" i="5"/>
  <c r="C376" i="5"/>
  <c r="C377" i="5"/>
  <c r="C378" i="5"/>
  <c r="C379" i="5"/>
  <c r="C386" i="5"/>
  <c r="C387" i="5"/>
  <c r="K51" i="5"/>
  <c r="C419" i="5"/>
  <c r="C420" i="5"/>
  <c r="AF138" i="5"/>
  <c r="AF117" i="5"/>
  <c r="AE116" i="5"/>
  <c r="AE118" i="5"/>
  <c r="AG116" i="5"/>
  <c r="AG115" i="5"/>
  <c r="AB138" i="5"/>
  <c r="AB117" i="5"/>
  <c r="AA116" i="5"/>
  <c r="AB141" i="5"/>
  <c r="AG137" i="5"/>
  <c r="AG153" i="5"/>
  <c r="AG166" i="5"/>
  <c r="AF137" i="5"/>
  <c r="AB137" i="5"/>
  <c r="AB142" i="5"/>
  <c r="AB166" i="5"/>
  <c r="AC137" i="5"/>
  <c r="AB163" i="5"/>
  <c r="AB164" i="5"/>
  <c r="AC161" i="5"/>
  <c r="AB159" i="5"/>
  <c r="AC156" i="5"/>
  <c r="AB156" i="5"/>
  <c r="AB151" i="5"/>
  <c r="AC149" i="5"/>
  <c r="AB149" i="5"/>
  <c r="AC147" i="5"/>
  <c r="AB147" i="5"/>
  <c r="AC144" i="5"/>
  <c r="AB144" i="5"/>
  <c r="AC143" i="5"/>
  <c r="AB143" i="5"/>
  <c r="AC142" i="5"/>
  <c r="C615" i="5"/>
  <c r="C29" i="6"/>
  <c r="G29" i="6"/>
  <c r="F29" i="6"/>
  <c r="G30" i="6"/>
  <c r="G37" i="6"/>
  <c r="F37" i="6"/>
  <c r="G19" i="6"/>
  <c r="F19" i="6"/>
  <c r="F12" i="6"/>
  <c r="G38" i="6"/>
  <c r="F38" i="6"/>
  <c r="G32" i="6"/>
  <c r="AJ18" i="5"/>
  <c r="AU24" i="5"/>
  <c r="L6" i="5"/>
  <c r="AK18" i="5"/>
  <c r="AK13" i="5"/>
  <c r="AJ13" i="5"/>
  <c r="AK8" i="5"/>
  <c r="AM24" i="5"/>
  <c r="R6" i="5"/>
  <c r="AJ8" i="5"/>
  <c r="AK24" i="5"/>
  <c r="O7" i="5"/>
  <c r="M83" i="5"/>
  <c r="H83" i="5"/>
  <c r="I83" i="5"/>
  <c r="G4" i="6"/>
  <c r="K4" i="6"/>
  <c r="F14" i="6"/>
  <c r="F20" i="6"/>
  <c r="G20" i="6"/>
  <c r="AG118" i="5"/>
  <c r="AG123" i="5"/>
  <c r="AG122" i="5"/>
  <c r="AG121" i="5"/>
  <c r="AC122" i="5"/>
  <c r="AA118" i="5"/>
  <c r="AI70" i="5"/>
  <c r="B64" i="5"/>
  <c r="C635" i="5"/>
  <c r="AP3" i="5"/>
  <c r="AN39" i="5"/>
  <c r="AN40" i="5"/>
  <c r="AN41" i="5"/>
  <c r="AM39" i="5"/>
  <c r="AM40" i="5"/>
  <c r="AM66" i="5"/>
  <c r="AM41" i="5"/>
  <c r="AM67" i="5"/>
  <c r="B96" i="1"/>
  <c r="B95" i="1"/>
  <c r="AE95" i="5"/>
  <c r="AE24" i="5"/>
  <c r="Q57" i="1"/>
  <c r="Q58" i="1"/>
  <c r="Q59" i="1"/>
  <c r="Q36" i="1"/>
  <c r="R36" i="1"/>
  <c r="C1" i="5"/>
  <c r="H1" i="5"/>
  <c r="C4" i="5"/>
  <c r="F4" i="5"/>
  <c r="V4" i="5"/>
  <c r="V26" i="5"/>
  <c r="Y4" i="5"/>
  <c r="Y26" i="5"/>
  <c r="AY24" i="5"/>
  <c r="U5" i="5"/>
  <c r="V5" i="5"/>
  <c r="AQ24" i="5"/>
  <c r="F6" i="5"/>
  <c r="G6" i="5"/>
  <c r="AS24" i="5"/>
  <c r="M6" i="5"/>
  <c r="S6" i="5"/>
  <c r="AO24" i="5"/>
  <c r="C7" i="5"/>
  <c r="D7" i="5"/>
  <c r="P7" i="5"/>
  <c r="BA24" i="5"/>
  <c r="X7" i="5"/>
  <c r="Y7" i="5"/>
  <c r="BE17" i="5"/>
  <c r="BE23" i="5"/>
  <c r="BF17" i="5"/>
  <c r="BF23" i="5"/>
  <c r="BG23" i="5"/>
  <c r="AW24" i="5"/>
  <c r="I59" i="5"/>
  <c r="AX24" i="5"/>
  <c r="J59" i="5"/>
  <c r="C26" i="5"/>
  <c r="F26" i="5"/>
  <c r="R26" i="5"/>
  <c r="U26" i="5"/>
  <c r="X26" i="5"/>
  <c r="AP27" i="5"/>
  <c r="AT27" i="5"/>
  <c r="AX27" i="5"/>
  <c r="D31" i="5"/>
  <c r="G31" i="5"/>
  <c r="S31" i="5"/>
  <c r="BD31" i="5"/>
  <c r="BD37" i="5"/>
  <c r="BD43" i="5"/>
  <c r="BD49" i="5"/>
  <c r="B50" i="5"/>
  <c r="L51" i="5"/>
  <c r="K52" i="5"/>
  <c r="L52" i="5"/>
  <c r="AV58" i="5"/>
  <c r="AW58" i="5"/>
  <c r="AX58" i="5"/>
  <c r="AY58" i="5"/>
  <c r="AV59" i="5"/>
  <c r="AW59" i="5"/>
  <c r="AX59" i="5"/>
  <c r="AY59" i="5"/>
  <c r="AV60" i="5"/>
  <c r="AW60" i="5"/>
  <c r="AX60" i="5"/>
  <c r="AY60" i="5"/>
  <c r="AV61" i="5"/>
  <c r="AW61" i="5"/>
  <c r="AX61" i="5"/>
  <c r="AY61" i="5"/>
  <c r="AV62" i="5"/>
  <c r="AW62" i="5"/>
  <c r="AX62" i="5"/>
  <c r="AY62" i="5"/>
  <c r="AV63" i="5"/>
  <c r="AW63" i="5"/>
  <c r="AX63" i="5"/>
  <c r="AY63" i="5"/>
  <c r="B65" i="5"/>
  <c r="AV64" i="5"/>
  <c r="AW64" i="5"/>
  <c r="AX64" i="5"/>
  <c r="AY64" i="5"/>
  <c r="AV65" i="5"/>
  <c r="AW65" i="5"/>
  <c r="AX65" i="5"/>
  <c r="AY65" i="5"/>
  <c r="AV66" i="5"/>
  <c r="AW66" i="5"/>
  <c r="AX66" i="5"/>
  <c r="AY66" i="5"/>
  <c r="AV67" i="5"/>
  <c r="AW67" i="5"/>
  <c r="AX67" i="5"/>
  <c r="AY67" i="5"/>
  <c r="AV68" i="5"/>
  <c r="AW68" i="5"/>
  <c r="AX68" i="5"/>
  <c r="AY68" i="5"/>
  <c r="AV69" i="5"/>
  <c r="AW69" i="5"/>
  <c r="AX69" i="5"/>
  <c r="AY69" i="5"/>
  <c r="AJ98" i="5"/>
  <c r="AJ99" i="5"/>
  <c r="AI101" i="5"/>
  <c r="AJ101" i="5"/>
  <c r="AI103" i="5"/>
  <c r="AJ103" i="5"/>
  <c r="AI104" i="5"/>
  <c r="AJ104" i="5"/>
  <c r="AI107" i="5"/>
  <c r="AJ107" i="5"/>
  <c r="AI109" i="5"/>
  <c r="AJ109" i="5"/>
  <c r="AI110" i="5"/>
  <c r="AJ110" i="5"/>
  <c r="AI11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65" i="5"/>
  <c r="F181" i="5"/>
  <c r="I182" i="5"/>
  <c r="B201" i="5"/>
  <c r="Q1" i="1"/>
  <c r="U39" i="1"/>
  <c r="Q45" i="1"/>
  <c r="P61" i="1"/>
  <c r="P62" i="1"/>
  <c r="B92" i="1"/>
  <c r="B93" i="1"/>
  <c r="B94" i="1"/>
  <c r="B97" i="1"/>
  <c r="B98" i="1"/>
  <c r="B124" i="1"/>
  <c r="B126" i="1"/>
  <c r="B127" i="1"/>
  <c r="B128" i="1"/>
  <c r="B129" i="1"/>
  <c r="I5" i="5"/>
  <c r="J5" i="5"/>
  <c r="I26" i="5"/>
  <c r="J31" i="5"/>
  <c r="K83" i="5"/>
  <c r="L4" i="5"/>
  <c r="L26" i="5"/>
  <c r="J174" i="7"/>
  <c r="AG125" i="5"/>
  <c r="AF134" i="5"/>
  <c r="U30" i="1"/>
  <c r="S29" i="1"/>
  <c r="AI82" i="5"/>
  <c r="AJ82" i="5"/>
  <c r="C285" i="5"/>
  <c r="R48" i="1"/>
  <c r="C380" i="5"/>
  <c r="P14" i="1"/>
  <c r="B18" i="1"/>
  <c r="B103" i="1"/>
  <c r="D201" i="5"/>
  <c r="Q14" i="1"/>
  <c r="L12" i="1"/>
  <c r="J64" i="5"/>
  <c r="U3" i="1"/>
  <c r="C35" i="5"/>
  <c r="V3" i="1"/>
  <c r="F45" i="5"/>
  <c r="R45" i="5"/>
  <c r="M64" i="5"/>
  <c r="T3" i="1"/>
  <c r="G31" i="6"/>
  <c r="G35" i="6"/>
  <c r="G33" i="6"/>
  <c r="F30" i="6"/>
  <c r="F32" i="6"/>
  <c r="C4" i="6"/>
  <c r="AG142" i="5"/>
  <c r="AG143" i="5"/>
  <c r="AG145" i="5"/>
  <c r="AG146" i="5"/>
  <c r="AG147" i="5"/>
  <c r="AG148" i="5"/>
  <c r="AG149" i="5"/>
  <c r="AG150" i="5"/>
  <c r="AG151" i="5"/>
  <c r="AB153" i="5"/>
  <c r="AC154" i="5"/>
  <c r="AG155" i="5"/>
  <c r="AB157" i="5"/>
  <c r="AC158" i="5"/>
  <c r="AG159" i="5"/>
  <c r="AB161" i="5"/>
  <c r="AC162" i="5"/>
  <c r="AB165" i="5"/>
  <c r="AC166" i="5"/>
  <c r="F13" i="6"/>
  <c r="F17" i="6"/>
  <c r="F15" i="6"/>
  <c r="AF165" i="5"/>
  <c r="AF164" i="5"/>
  <c r="AF162" i="5"/>
  <c r="AF161" i="5"/>
  <c r="AF160" i="5"/>
  <c r="AF159" i="5"/>
  <c r="AF158" i="5"/>
  <c r="AF157" i="5"/>
  <c r="AF156" i="5"/>
  <c r="AF154" i="5"/>
  <c r="AF153" i="5"/>
  <c r="AF152" i="5"/>
  <c r="AF146" i="5"/>
  <c r="AF147" i="5"/>
  <c r="AF148" i="5"/>
  <c r="AF149" i="5"/>
  <c r="AF151" i="5"/>
  <c r="AG152" i="5"/>
  <c r="AB154" i="5"/>
  <c r="AC155" i="5"/>
  <c r="AG156" i="5"/>
  <c r="AB158" i="5"/>
  <c r="AC159" i="5"/>
  <c r="AB162" i="5"/>
  <c r="AC163" i="5"/>
  <c r="AG164" i="5"/>
  <c r="AF166" i="5"/>
  <c r="H151" i="7"/>
  <c r="J151" i="7"/>
  <c r="Q20" i="7"/>
  <c r="H34" i="7"/>
  <c r="I32" i="7"/>
  <c r="Y32" i="7"/>
  <c r="H35" i="7"/>
  <c r="AG34" i="7"/>
  <c r="AG36" i="7"/>
  <c r="AM23" i="7"/>
  <c r="AH23" i="7"/>
  <c r="V37" i="1"/>
  <c r="P21" i="5"/>
  <c r="R37" i="5"/>
  <c r="R43" i="5"/>
  <c r="I21" i="7"/>
  <c r="AI24" i="7"/>
  <c r="J32" i="7"/>
  <c r="K32" i="7"/>
  <c r="A153" i="7"/>
  <c r="AF19" i="7"/>
  <c r="R44" i="7"/>
  <c r="Z36" i="1"/>
  <c r="B13" i="7"/>
  <c r="AH34" i="7"/>
  <c r="AM26" i="7"/>
  <c r="AH26" i="7"/>
  <c r="O20" i="7"/>
  <c r="G20" i="7"/>
  <c r="AD27" i="7"/>
  <c r="W19" i="1"/>
  <c r="W21" i="1"/>
  <c r="W22" i="1"/>
  <c r="W26" i="1"/>
  <c r="O21" i="5"/>
  <c r="W44" i="1"/>
  <c r="U37" i="1"/>
  <c r="W42" i="1"/>
  <c r="P15" i="5"/>
  <c r="V19" i="1"/>
  <c r="V21" i="1"/>
  <c r="V22" i="1"/>
  <c r="V26" i="1"/>
  <c r="L37" i="5"/>
  <c r="AE40" i="5"/>
  <c r="V44" i="1"/>
  <c r="U36" i="1"/>
  <c r="V43" i="1"/>
  <c r="AS9" i="5"/>
  <c r="G83" i="5"/>
  <c r="AS84" i="5"/>
  <c r="T78" i="1"/>
  <c r="W75" i="1"/>
  <c r="W74" i="1"/>
  <c r="E152" i="1"/>
  <c r="G144" i="1"/>
  <c r="H148" i="1"/>
  <c r="H140" i="1"/>
  <c r="Y66" i="1"/>
  <c r="H149" i="1"/>
  <c r="H141" i="1"/>
  <c r="Y67" i="1"/>
  <c r="H150" i="1"/>
  <c r="H142" i="1"/>
  <c r="Z56" i="1"/>
  <c r="E148" i="1"/>
  <c r="G140" i="1"/>
  <c r="S79" i="1"/>
  <c r="T79" i="1"/>
  <c r="Y83" i="1"/>
  <c r="S78" i="1"/>
  <c r="AU3" i="5"/>
  <c r="S18" i="5"/>
  <c r="J12" i="1"/>
  <c r="D13" i="1"/>
  <c r="H13" i="1"/>
  <c r="F13" i="1"/>
  <c r="B13" i="1"/>
  <c r="F12" i="1"/>
  <c r="B101" i="1"/>
  <c r="C45" i="5"/>
  <c r="AE15" i="5"/>
  <c r="J18" i="1"/>
  <c r="F18" i="1"/>
  <c r="F17" i="1"/>
  <c r="L15" i="5"/>
  <c r="AA40" i="5"/>
  <c r="C699" i="5"/>
  <c r="O37" i="5"/>
  <c r="AW31" i="5"/>
  <c r="O45" i="5"/>
  <c r="O15" i="5"/>
  <c r="AD28" i="7"/>
  <c r="AD29" i="7"/>
  <c r="AL27" i="7"/>
  <c r="AH27" i="7"/>
  <c r="C153" i="7"/>
  <c r="E153" i="7"/>
  <c r="G153" i="7"/>
  <c r="I153" i="7"/>
  <c r="K153" i="7"/>
  <c r="M153" i="7"/>
  <c r="O153" i="7"/>
  <c r="Q153" i="7"/>
  <c r="S153" i="7"/>
  <c r="U153" i="7"/>
  <c r="A154" i="7"/>
  <c r="C154" i="7"/>
  <c r="E154" i="7"/>
  <c r="G154" i="7"/>
  <c r="I154" i="7"/>
  <c r="K154" i="7"/>
  <c r="M154" i="7"/>
  <c r="O154" i="7"/>
  <c r="Q154" i="7"/>
  <c r="S154" i="7"/>
  <c r="U154" i="7"/>
  <c r="AE24" i="7"/>
  <c r="AF24" i="7"/>
  <c r="W76" i="1"/>
  <c r="M15" i="5"/>
  <c r="AC40" i="5"/>
  <c r="S15" i="5"/>
  <c r="C361" i="5"/>
  <c r="D15" i="5"/>
  <c r="G15" i="5"/>
  <c r="BF14" i="5"/>
  <c r="BF20" i="5"/>
  <c r="BG20" i="5"/>
  <c r="C693" i="5"/>
  <c r="AE62" i="5"/>
  <c r="BD33" i="5"/>
  <c r="AW38" i="5"/>
  <c r="C360" i="5"/>
  <c r="F31" i="6"/>
  <c r="F35" i="6"/>
  <c r="C35" i="6"/>
  <c r="W6" i="1"/>
  <c r="F33" i="6"/>
  <c r="C33" i="6"/>
  <c r="L151" i="7"/>
  <c r="N151" i="7"/>
  <c r="P151" i="7"/>
  <c r="X79" i="1"/>
  <c r="R151" i="7"/>
  <c r="T151" i="7"/>
  <c r="AM27" i="7"/>
  <c r="AL28" i="7"/>
  <c r="AA57" i="5"/>
  <c r="V6" i="1"/>
  <c r="D35" i="6"/>
  <c r="X6" i="1"/>
  <c r="AE51" i="5"/>
  <c r="BD27" i="5"/>
  <c r="AQ31" i="5"/>
  <c r="AA51" i="5"/>
  <c r="BD3" i="5"/>
  <c r="Z86" i="1"/>
  <c r="U6" i="1"/>
  <c r="V151" i="7"/>
  <c r="J66" i="5"/>
  <c r="J65" i="5"/>
  <c r="AP94" i="5"/>
  <c r="AP97" i="5"/>
  <c r="I66" i="5"/>
  <c r="AQ94" i="5"/>
  <c r="AQ97" i="5"/>
  <c r="L66" i="5"/>
  <c r="M66" i="5"/>
  <c r="M65" i="5"/>
  <c r="C663" i="5"/>
  <c r="AC134" i="5"/>
  <c r="M31" i="5"/>
  <c r="C629" i="5"/>
  <c r="AT45" i="5"/>
  <c r="C340" i="5"/>
  <c r="F14" i="5"/>
  <c r="AP30" i="5"/>
  <c r="AB116" i="5"/>
  <c r="AB121" i="5"/>
  <c r="AB122" i="5"/>
  <c r="AC116" i="5"/>
  <c r="S21" i="5"/>
  <c r="C688" i="5"/>
  <c r="V35" i="1"/>
  <c r="BG17" i="5"/>
  <c r="AP42" i="5"/>
  <c r="AK42" i="5"/>
  <c r="AF142" i="5"/>
  <c r="AG161" i="5"/>
  <c r="AF144" i="5"/>
  <c r="AB146" i="5"/>
  <c r="AB148" i="5"/>
  <c r="AB150" i="5"/>
  <c r="AB152" i="5"/>
  <c r="AG154" i="5"/>
  <c r="AC157" i="5"/>
  <c r="AB160" i="5"/>
  <c r="AG162" i="5"/>
  <c r="AC165" i="5"/>
  <c r="AF143" i="5"/>
  <c r="AC146" i="5"/>
  <c r="AC148" i="5"/>
  <c r="AC150" i="5"/>
  <c r="AC152" i="5"/>
  <c r="AB155" i="5"/>
  <c r="AG157" i="5"/>
  <c r="AC160" i="5"/>
  <c r="AG165" i="5"/>
  <c r="AG158" i="5"/>
  <c r="D17" i="1"/>
  <c r="B112" i="1"/>
  <c r="D18" i="1"/>
  <c r="F19" i="1"/>
  <c r="O35" i="5"/>
  <c r="L35" i="5"/>
  <c r="L19" i="1"/>
  <c r="L20" i="1"/>
  <c r="F20" i="1"/>
  <c r="R35" i="5"/>
  <c r="H16" i="1"/>
  <c r="B21" i="1"/>
  <c r="B17" i="1"/>
  <c r="F35" i="5"/>
  <c r="AZ34" i="5"/>
  <c r="AE70" i="5"/>
  <c r="AW41" i="5"/>
  <c r="C701" i="5"/>
  <c r="J19" i="1"/>
  <c r="J16" i="1"/>
  <c r="F16" i="1"/>
  <c r="H18" i="1"/>
  <c r="L18" i="1"/>
  <c r="L17" i="1"/>
  <c r="B20" i="1"/>
  <c r="J20" i="1"/>
  <c r="H20" i="1"/>
  <c r="L16" i="1"/>
  <c r="D19" i="1"/>
  <c r="L21" i="1"/>
  <c r="B19" i="1"/>
  <c r="H17" i="1"/>
  <c r="B16" i="1"/>
  <c r="B104" i="1"/>
  <c r="D16" i="1"/>
  <c r="J17" i="1"/>
  <c r="D20" i="1"/>
  <c r="H19" i="1"/>
  <c r="B12" i="1"/>
  <c r="B115" i="1"/>
  <c r="D12" i="1"/>
  <c r="O1" i="5"/>
  <c r="Q55" i="1"/>
  <c r="B122" i="1"/>
  <c r="AM68" i="5"/>
  <c r="C385" i="5"/>
  <c r="Q8" i="1"/>
  <c r="R43" i="1"/>
  <c r="S3" i="1"/>
  <c r="L13" i="5"/>
  <c r="AB118" i="5"/>
  <c r="AB123" i="5"/>
  <c r="AB115" i="5"/>
  <c r="AC118" i="5"/>
  <c r="AC123" i="5"/>
  <c r="AC121" i="5"/>
  <c r="AC115" i="5"/>
  <c r="C638" i="5"/>
  <c r="C305" i="5"/>
  <c r="C691" i="5"/>
  <c r="C13" i="5"/>
  <c r="O13" i="5"/>
  <c r="AQ30" i="5"/>
  <c r="R13" i="5"/>
  <c r="AQ37" i="5"/>
  <c r="F13" i="5"/>
  <c r="AT34" i="5"/>
  <c r="C324" i="5"/>
  <c r="R41" i="1"/>
  <c r="C390" i="5"/>
  <c r="D160" i="5"/>
  <c r="D168" i="5"/>
  <c r="R42" i="1"/>
  <c r="AB120" i="5"/>
  <c r="AB119" i="5"/>
  <c r="AB124" i="5"/>
  <c r="AO30" i="5"/>
  <c r="AM30" i="5"/>
  <c r="AQ10" i="5"/>
  <c r="AQ12" i="5"/>
  <c r="C616" i="5"/>
  <c r="C669" i="5"/>
  <c r="F85" i="5"/>
  <c r="I85" i="5"/>
  <c r="BD8" i="5"/>
  <c r="H85" i="5"/>
  <c r="K85" i="5"/>
  <c r="G85" i="5"/>
  <c r="AU2" i="5"/>
  <c r="R18" i="5"/>
  <c r="AQ39" i="5"/>
  <c r="AU8" i="5"/>
  <c r="R14" i="5"/>
  <c r="S14" i="5"/>
  <c r="AU9" i="5"/>
  <c r="AW2" i="5"/>
  <c r="F40" i="5"/>
  <c r="AP45" i="5"/>
  <c r="AK45" i="5"/>
  <c r="AC131" i="5"/>
  <c r="AC132" i="5"/>
  <c r="C532" i="5"/>
  <c r="BE14" i="5"/>
  <c r="BE20" i="5"/>
  <c r="AQ47" i="5"/>
  <c r="AI60" i="5"/>
  <c r="AJ59" i="5"/>
  <c r="AJ76" i="5"/>
  <c r="AJ73" i="5"/>
  <c r="AK76" i="5"/>
  <c r="J43" i="5"/>
  <c r="AW8" i="5"/>
  <c r="AV30" i="5"/>
  <c r="D33" i="7"/>
  <c r="D34" i="7"/>
  <c r="D163" i="7"/>
  <c r="AC57" i="5"/>
  <c r="BD18" i="5"/>
  <c r="M21" i="5"/>
  <c r="C562" i="5"/>
  <c r="C651" i="5"/>
  <c r="AV43" i="5"/>
  <c r="AL43" i="5"/>
  <c r="BF38" i="5"/>
  <c r="AZ45" i="5"/>
  <c r="C315" i="5"/>
  <c r="BG14" i="5"/>
  <c r="AF125" i="5"/>
  <c r="AG134" i="5"/>
  <c r="AW3" i="5"/>
  <c r="G40" i="5"/>
  <c r="C654" i="5"/>
  <c r="G43" i="5"/>
  <c r="G21" i="7"/>
  <c r="K20" i="7"/>
  <c r="K21" i="7"/>
  <c r="C20" i="7"/>
  <c r="C21" i="7"/>
  <c r="W20" i="7"/>
  <c r="W21" i="7"/>
  <c r="S20" i="7"/>
  <c r="S21" i="7"/>
  <c r="O21" i="7"/>
  <c r="AI23" i="7"/>
  <c r="AE23" i="7"/>
  <c r="AB17" i="7"/>
  <c r="D7" i="7"/>
  <c r="AB16" i="7"/>
  <c r="AJ24" i="7"/>
  <c r="AK24" i="7"/>
  <c r="AG24" i="7"/>
  <c r="C8" i="7"/>
  <c r="C14" i="7"/>
  <c r="C7" i="7"/>
  <c r="C25" i="7"/>
  <c r="G25" i="7"/>
  <c r="K25" i="7"/>
  <c r="O25" i="7"/>
  <c r="S25" i="7"/>
  <c r="W25" i="7"/>
  <c r="D8" i="7"/>
  <c r="D14" i="7"/>
  <c r="P43" i="5"/>
  <c r="BD42" i="5"/>
  <c r="AW9" i="5"/>
  <c r="AP43" i="5"/>
  <c r="AG129" i="5"/>
  <c r="AT83" i="5"/>
  <c r="U74" i="1"/>
  <c r="Y74" i="1"/>
  <c r="R73" i="1"/>
  <c r="H79" i="1"/>
  <c r="I79" i="1"/>
  <c r="Z69" i="1"/>
  <c r="I152" i="1"/>
  <c r="I144" i="1"/>
  <c r="Z70" i="1"/>
  <c r="I153" i="1"/>
  <c r="I145" i="1"/>
  <c r="AQ52" i="5"/>
  <c r="D49" i="5"/>
  <c r="C362" i="5"/>
  <c r="AV45" i="5"/>
  <c r="AL45" i="5"/>
  <c r="J172" i="7"/>
  <c r="C6" i="7"/>
  <c r="R22" i="5"/>
  <c r="BD13" i="5"/>
  <c r="S37" i="5"/>
  <c r="AW50" i="5"/>
  <c r="AY83" i="5"/>
  <c r="C685" i="5"/>
  <c r="AQ51" i="5"/>
  <c r="AA61" i="5"/>
  <c r="AU43" i="5"/>
  <c r="AN43" i="5"/>
  <c r="V36" i="5"/>
  <c r="AZ48" i="5"/>
  <c r="C318" i="5"/>
  <c r="AU46" i="5"/>
  <c r="AN46" i="5"/>
  <c r="V39" i="5"/>
  <c r="AA25" i="5"/>
  <c r="BE4" i="5"/>
  <c r="BE6" i="5"/>
  <c r="BE12" i="5"/>
  <c r="C467" i="5"/>
  <c r="U45" i="5"/>
  <c r="AE81" i="5"/>
  <c r="I164" i="7"/>
  <c r="J171" i="7"/>
  <c r="I163" i="7"/>
  <c r="AF62" i="5"/>
  <c r="J169" i="7"/>
  <c r="J168" i="7"/>
  <c r="BD45" i="5"/>
  <c r="BA3" i="5"/>
  <c r="S40" i="5"/>
  <c r="AG65" i="5"/>
  <c r="BA8" i="5"/>
  <c r="R36" i="5"/>
  <c r="S43" i="5"/>
  <c r="BA2" i="5"/>
  <c r="R40" i="5"/>
  <c r="AW39" i="5"/>
  <c r="BA9" i="5"/>
  <c r="BA10" i="5"/>
  <c r="BA12" i="5"/>
  <c r="AA69" i="5"/>
  <c r="BD24" i="5"/>
  <c r="C670" i="5"/>
  <c r="C681" i="5"/>
  <c r="AU11" i="5"/>
  <c r="AB65" i="5"/>
  <c r="C674" i="5"/>
  <c r="AP96" i="5"/>
  <c r="I65" i="5"/>
  <c r="C660" i="5"/>
  <c r="L85" i="5"/>
  <c r="AT2" i="5"/>
  <c r="AT8" i="5"/>
  <c r="C545" i="5"/>
  <c r="C661" i="5"/>
  <c r="J84" i="5"/>
  <c r="J86" i="5"/>
  <c r="J15" i="5"/>
  <c r="AR3" i="5"/>
  <c r="J18" i="5"/>
  <c r="J85" i="5"/>
  <c r="AR9" i="5"/>
  <c r="AV50" i="5"/>
  <c r="AL50" i="5"/>
  <c r="F36" i="5"/>
  <c r="AK47" i="5"/>
  <c r="AP51" i="5"/>
  <c r="AK51" i="5"/>
  <c r="U22" i="5"/>
  <c r="C430" i="5"/>
  <c r="BP20" i="5"/>
  <c r="AE65" i="5"/>
  <c r="R41" i="5"/>
  <c r="R42" i="5"/>
  <c r="R17" i="5"/>
  <c r="R16" i="5"/>
  <c r="S16" i="5"/>
  <c r="S17" i="5"/>
  <c r="AU10" i="5"/>
  <c r="AU12" i="5"/>
  <c r="AU13" i="5"/>
  <c r="S13" i="5"/>
  <c r="BD21" i="5"/>
  <c r="AC62" i="5"/>
  <c r="C682" i="5"/>
  <c r="AQ50" i="5"/>
  <c r="AB62" i="5"/>
  <c r="AZ3" i="5"/>
  <c r="P40" i="5"/>
  <c r="AX84" i="5"/>
  <c r="AX86" i="5"/>
  <c r="P37" i="5"/>
  <c r="AZ9" i="5"/>
  <c r="AX83" i="5"/>
  <c r="AZ8" i="5"/>
  <c r="O44" i="5"/>
  <c r="AE58" i="5"/>
  <c r="AZ2" i="5"/>
  <c r="O39" i="5"/>
  <c r="C455" i="5"/>
  <c r="AZ10" i="5"/>
  <c r="AZ12" i="5"/>
  <c r="C359" i="5"/>
  <c r="C357" i="5"/>
  <c r="C358" i="5"/>
  <c r="AC51" i="5"/>
  <c r="AJ77" i="5"/>
  <c r="BD15" i="5"/>
  <c r="AB51" i="5"/>
  <c r="AQ43" i="5"/>
  <c r="L84" i="5"/>
  <c r="L86" i="5"/>
  <c r="AT3" i="5"/>
  <c r="P18" i="5"/>
  <c r="AQ45" i="5"/>
  <c r="AT9" i="5"/>
  <c r="L83" i="5"/>
  <c r="U24" i="5"/>
  <c r="M37" i="5"/>
  <c r="AW84" i="5"/>
  <c r="AW86" i="5"/>
  <c r="AW83" i="5"/>
  <c r="AS2" i="5"/>
  <c r="L18" i="5"/>
  <c r="AS8" i="5"/>
  <c r="L14" i="5"/>
  <c r="M14" i="5"/>
  <c r="V36" i="1"/>
  <c r="AS3" i="5"/>
  <c r="M18" i="5"/>
  <c r="AL76" i="5"/>
  <c r="AL73" i="5"/>
  <c r="C70" i="5"/>
  <c r="C71" i="5"/>
  <c r="C138" i="5"/>
  <c r="AL77" i="5"/>
  <c r="B109" i="1"/>
  <c r="C556" i="5"/>
  <c r="AB40" i="5"/>
  <c r="AU34" i="5"/>
  <c r="AN34" i="5"/>
  <c r="U39" i="5"/>
  <c r="AV33" i="5"/>
  <c r="AE21" i="5"/>
  <c r="C643" i="5"/>
  <c r="AZ38" i="5"/>
  <c r="C309" i="5"/>
  <c r="AG21" i="5"/>
  <c r="C466" i="5"/>
  <c r="U44" i="5"/>
  <c r="F41" i="5"/>
  <c r="F44" i="5"/>
  <c r="AW10" i="5"/>
  <c r="AW12" i="5"/>
  <c r="AV37" i="5"/>
  <c r="AL37" i="5"/>
  <c r="X42" i="5"/>
  <c r="AL30" i="5"/>
  <c r="X35" i="5"/>
  <c r="C493" i="5"/>
  <c r="AW11" i="5"/>
  <c r="AW13" i="5"/>
  <c r="AF21" i="5"/>
  <c r="AA17" i="5"/>
  <c r="AV42" i="5"/>
  <c r="AV51" i="5"/>
  <c r="AL51" i="5"/>
  <c r="AP37" i="5"/>
  <c r="AK37" i="5"/>
  <c r="X20" i="5"/>
  <c r="AK30" i="5"/>
  <c r="X13" i="5"/>
  <c r="C469" i="5"/>
  <c r="C632" i="5"/>
  <c r="AO46" i="5"/>
  <c r="AM46" i="5"/>
  <c r="V17" i="5"/>
  <c r="C437" i="5"/>
  <c r="AT48" i="5"/>
  <c r="C343" i="5"/>
  <c r="AM65" i="5"/>
  <c r="AV3" i="5"/>
  <c r="AV9" i="5"/>
  <c r="AT84" i="5"/>
  <c r="AT86" i="5"/>
  <c r="AG131" i="5"/>
  <c r="AG132" i="5"/>
  <c r="AV8" i="5"/>
  <c r="AV2" i="5"/>
  <c r="C41" i="5"/>
  <c r="AE11" i="5"/>
  <c r="D37" i="5"/>
  <c r="BE41" i="5"/>
  <c r="BE47" i="5"/>
  <c r="C586" i="5"/>
  <c r="B55" i="5"/>
  <c r="AK73" i="5"/>
  <c r="D53" i="5"/>
  <c r="AQ96" i="5"/>
  <c r="L65" i="5"/>
  <c r="C662" i="5"/>
  <c r="C17" i="5"/>
  <c r="BE3" i="5"/>
  <c r="C525" i="5"/>
  <c r="AC11" i="5"/>
  <c r="BE16" i="5"/>
  <c r="C536" i="5"/>
  <c r="AB11" i="5"/>
  <c r="BE10" i="5"/>
  <c r="AA11" i="5"/>
  <c r="AC133" i="5"/>
  <c r="AB126" i="5"/>
  <c r="AC126" i="5"/>
  <c r="C56" i="5"/>
  <c r="AJ74" i="5"/>
  <c r="C53" i="5"/>
  <c r="C122" i="5"/>
  <c r="C204" i="5"/>
  <c r="C52" i="5"/>
  <c r="C121" i="5"/>
  <c r="C63" i="5"/>
  <c r="C127" i="5"/>
  <c r="I128" i="5"/>
  <c r="C128" i="5"/>
  <c r="I127" i="5"/>
  <c r="E58" i="5"/>
  <c r="E59" i="5"/>
  <c r="C55" i="5"/>
  <c r="C458" i="5"/>
  <c r="C461" i="5"/>
  <c r="AF23" i="7"/>
  <c r="C657" i="5"/>
  <c r="AV47" i="5"/>
  <c r="AU49" i="5"/>
  <c r="AN49" i="5"/>
  <c r="V42" i="5"/>
  <c r="AZ51" i="5"/>
  <c r="C335" i="5"/>
  <c r="BF41" i="5"/>
  <c r="AF24" i="5"/>
  <c r="AG24" i="5"/>
  <c r="AL29" i="7"/>
  <c r="AD30" i="7"/>
  <c r="AL30" i="7"/>
  <c r="C367" i="5"/>
  <c r="AG133" i="5"/>
  <c r="AG68" i="5"/>
  <c r="C368" i="5"/>
  <c r="AF68" i="5"/>
  <c r="AG62" i="5"/>
  <c r="AL90" i="5"/>
  <c r="C704" i="5"/>
  <c r="R44" i="5"/>
  <c r="AK43" i="5"/>
  <c r="AP50" i="5"/>
  <c r="AK50" i="5"/>
  <c r="C365" i="5"/>
  <c r="AF51" i="5"/>
  <c r="AG51" i="5"/>
  <c r="BF44" i="5"/>
  <c r="BG44" i="5"/>
  <c r="BG38" i="5"/>
  <c r="AA65" i="5"/>
  <c r="AC65" i="5"/>
  <c r="AW47" i="5"/>
  <c r="AJ23" i="7"/>
  <c r="AK23" i="7"/>
  <c r="AG23" i="7"/>
  <c r="D161" i="5"/>
  <c r="E161" i="5"/>
  <c r="F161" i="5"/>
  <c r="Y84" i="1"/>
  <c r="Z84" i="1"/>
  <c r="Y86" i="1"/>
  <c r="AW30" i="5"/>
  <c r="BD26" i="5"/>
  <c r="AW36" i="5"/>
  <c r="AE59" i="5"/>
  <c r="AZ42" i="5"/>
  <c r="C313" i="5"/>
  <c r="C648" i="5"/>
  <c r="AV36" i="5"/>
  <c r="AS10" i="5"/>
  <c r="AS12" i="5"/>
  <c r="R19" i="5"/>
  <c r="C366" i="5"/>
  <c r="J31" i="7"/>
  <c r="K31" i="7"/>
  <c r="O19" i="5"/>
  <c r="O18" i="5"/>
  <c r="BD2" i="5"/>
  <c r="AE26" i="5"/>
  <c r="AB57" i="5"/>
  <c r="AQ35" i="5"/>
  <c r="BD6" i="5"/>
  <c r="Q65" i="1"/>
  <c r="P63" i="1"/>
  <c r="AU38" i="5"/>
  <c r="AN38" i="5"/>
  <c r="D162" i="5"/>
  <c r="AW37" i="5"/>
  <c r="BD32" i="5"/>
  <c r="AR85" i="5"/>
  <c r="D33" i="6"/>
  <c r="E52" i="5"/>
  <c r="D164" i="5"/>
  <c r="E164" i="5"/>
  <c r="F164" i="5"/>
  <c r="D169" i="5"/>
  <c r="E169" i="5"/>
  <c r="F169" i="5"/>
  <c r="R38" i="1"/>
  <c r="R40" i="1"/>
  <c r="R39" i="1"/>
  <c r="D170" i="5"/>
  <c r="E170" i="5"/>
  <c r="F170" i="5"/>
  <c r="D163" i="5"/>
  <c r="E163" i="5"/>
  <c r="F163" i="5"/>
  <c r="R44" i="1"/>
  <c r="AM28" i="7"/>
  <c r="AH28" i="7"/>
  <c r="F23" i="6"/>
  <c r="C286" i="5"/>
  <c r="E168" i="5"/>
  <c r="F168" i="5"/>
  <c r="AC119" i="5"/>
  <c r="AC124" i="5"/>
  <c r="AC120" i="5"/>
  <c r="Q21" i="7"/>
  <c r="U20" i="7"/>
  <c r="U21" i="7"/>
  <c r="L23" i="5"/>
  <c r="O23" i="5"/>
  <c r="C23" i="5"/>
  <c r="F23" i="5"/>
  <c r="C277" i="5"/>
  <c r="E160" i="5"/>
  <c r="F160" i="5"/>
  <c r="W77" i="1"/>
  <c r="X77" i="1"/>
  <c r="W79" i="1"/>
  <c r="AW40" i="5"/>
  <c r="AE68" i="5"/>
  <c r="BD36" i="5"/>
  <c r="G14" i="5"/>
  <c r="AQ11" i="5"/>
  <c r="AQ13" i="5"/>
  <c r="G13" i="5"/>
  <c r="AU30" i="5"/>
  <c r="AN30" i="5"/>
  <c r="AO43" i="5"/>
  <c r="AM43" i="5"/>
  <c r="V14" i="5"/>
  <c r="W83" i="1"/>
  <c r="L43" i="5"/>
  <c r="AG119" i="5"/>
  <c r="AG124" i="5"/>
  <c r="AG120" i="5"/>
  <c r="AU37" i="5"/>
  <c r="AN37" i="5"/>
  <c r="BF29" i="5"/>
  <c r="AV35" i="5"/>
  <c r="AZ41" i="5"/>
  <c r="C312" i="5"/>
  <c r="C646" i="5"/>
  <c r="N149" i="7"/>
  <c r="L149" i="7"/>
  <c r="F21" i="5"/>
  <c r="F37" i="5"/>
  <c r="AQ2" i="5"/>
  <c r="F15" i="5"/>
  <c r="AU84" i="5"/>
  <c r="AU86" i="5"/>
  <c r="AU83" i="5"/>
  <c r="M85" i="5"/>
  <c r="U18" i="1"/>
  <c r="O43" i="5"/>
  <c r="L45" i="5"/>
  <c r="AH19" i="7"/>
  <c r="T44" i="7"/>
  <c r="W41" i="7"/>
  <c r="X41" i="7"/>
  <c r="Y41" i="7"/>
  <c r="AG144" i="5"/>
  <c r="AG163" i="5"/>
  <c r="AF163" i="5"/>
  <c r="AF155" i="5"/>
  <c r="AF150" i="5"/>
  <c r="AG160" i="5"/>
  <c r="AF116" i="5"/>
  <c r="AF122" i="5"/>
  <c r="H150" i="7"/>
  <c r="J150" i="7"/>
  <c r="G150" i="7"/>
  <c r="K150" i="7"/>
  <c r="O150" i="7"/>
  <c r="S150" i="7"/>
  <c r="C151" i="7"/>
  <c r="G151" i="7"/>
  <c r="K151" i="7"/>
  <c r="O151" i="7"/>
  <c r="S151" i="7"/>
  <c r="AM24" i="7"/>
  <c r="AH24" i="7"/>
  <c r="AT1" i="5"/>
  <c r="L21" i="5"/>
  <c r="Q41" i="7"/>
  <c r="AF16" i="7"/>
  <c r="R41" i="7"/>
  <c r="AY86" i="5"/>
  <c r="C48" i="5"/>
  <c r="AL2" i="5"/>
  <c r="C671" i="5"/>
  <c r="AQ38" i="5"/>
  <c r="BD9" i="5"/>
  <c r="AA62" i="5"/>
  <c r="C163" i="5"/>
  <c r="C274" i="5"/>
  <c r="C275" i="5"/>
  <c r="C37" i="5"/>
  <c r="C21" i="5"/>
  <c r="C43" i="5"/>
  <c r="C15" i="5"/>
  <c r="BM4" i="5"/>
  <c r="AP8" i="5"/>
  <c r="R23" i="5"/>
  <c r="R21" i="5"/>
  <c r="AF145" i="5"/>
  <c r="AH35" i="7"/>
  <c r="AH36" i="7"/>
  <c r="AI26" i="7"/>
  <c r="U22" i="1"/>
  <c r="U26" i="1"/>
  <c r="AM52" i="5"/>
  <c r="V23" i="5"/>
  <c r="AN53" i="5"/>
  <c r="V46" i="5"/>
  <c r="AJ62" i="5"/>
  <c r="U44" i="1"/>
  <c r="U19" i="1"/>
  <c r="U21" i="1"/>
  <c r="AC27" i="7"/>
  <c r="F4" i="6"/>
  <c r="W45" i="1"/>
  <c r="AH18" i="7"/>
  <c r="T43" i="7"/>
  <c r="W42" i="7"/>
  <c r="X42" i="7"/>
  <c r="Y42" i="7"/>
  <c r="AD25" i="7"/>
  <c r="AD5" i="7"/>
  <c r="D20" i="7"/>
  <c r="G11" i="6"/>
  <c r="AB145" i="5"/>
  <c r="AC151" i="5"/>
  <c r="AC164" i="5"/>
  <c r="AH17" i="7"/>
  <c r="T42" i="7"/>
  <c r="W43" i="7"/>
  <c r="X43" i="7"/>
  <c r="Y43" i="7"/>
  <c r="Y56" i="1"/>
  <c r="P77" i="1"/>
  <c r="AC145" i="5"/>
  <c r="AC153" i="5"/>
  <c r="BD35" i="5"/>
  <c r="C697" i="5"/>
  <c r="C673" i="5"/>
  <c r="BP19" i="5"/>
  <c r="BP21" i="5"/>
  <c r="BP22" i="5"/>
  <c r="BA11" i="5"/>
  <c r="BA13" i="5"/>
  <c r="AA64" i="5"/>
  <c r="BD48" i="5"/>
  <c r="C710" i="5"/>
  <c r="AW52" i="5"/>
  <c r="C696" i="5"/>
  <c r="AE61" i="5"/>
  <c r="S36" i="5"/>
  <c r="AW51" i="5"/>
  <c r="AF65" i="5"/>
  <c r="C707" i="5"/>
  <c r="O14" i="5"/>
  <c r="O22" i="5"/>
  <c r="AA80" i="5"/>
  <c r="AS11" i="5"/>
  <c r="AS13" i="5"/>
  <c r="M13" i="5"/>
  <c r="C554" i="5"/>
  <c r="L22" i="5"/>
  <c r="AA47" i="5"/>
  <c r="AA39" i="5"/>
  <c r="L19" i="5"/>
  <c r="L17" i="5"/>
  <c r="AE17" i="5"/>
  <c r="G36" i="5"/>
  <c r="AF126" i="5"/>
  <c r="AG126" i="5"/>
  <c r="BD10" i="5"/>
  <c r="AE66" i="5"/>
  <c r="S41" i="5"/>
  <c r="AB60" i="5"/>
  <c r="AQ49" i="5"/>
  <c r="AC60" i="5"/>
  <c r="C680" i="5"/>
  <c r="AB64" i="5"/>
  <c r="AC64" i="5"/>
  <c r="BD22" i="5"/>
  <c r="C684" i="5"/>
  <c r="BD20" i="5"/>
  <c r="C672" i="5"/>
  <c r="AA63" i="5"/>
  <c r="AZ11" i="5"/>
  <c r="AZ13" i="5"/>
  <c r="O36" i="5"/>
  <c r="AW43" i="5"/>
  <c r="BD39" i="5"/>
  <c r="P44" i="5"/>
  <c r="O41" i="5"/>
  <c r="O40" i="5"/>
  <c r="AW45" i="5"/>
  <c r="BD28" i="5"/>
  <c r="O38" i="5"/>
  <c r="P39" i="5"/>
  <c r="AE53" i="5"/>
  <c r="AE50" i="5"/>
  <c r="P36" i="5"/>
  <c r="AW32" i="5"/>
  <c r="AT11" i="5"/>
  <c r="AT10" i="5"/>
  <c r="AT12" i="5"/>
  <c r="O17" i="5"/>
  <c r="C432" i="5"/>
  <c r="AA82" i="5"/>
  <c r="AG40" i="5"/>
  <c r="C604" i="5"/>
  <c r="AF40" i="5"/>
  <c r="AM77" i="5"/>
  <c r="AM78" i="5"/>
  <c r="C593" i="5"/>
  <c r="C67" i="5"/>
  <c r="E67" i="5"/>
  <c r="E68" i="5"/>
  <c r="C559" i="5"/>
  <c r="C75" i="1"/>
  <c r="AL74" i="5"/>
  <c r="AL75" i="5"/>
  <c r="M43" i="5"/>
  <c r="C610" i="5"/>
  <c r="AM76" i="5"/>
  <c r="AM73" i="5"/>
  <c r="AT100" i="5"/>
  <c r="AW100" i="5"/>
  <c r="AY8" i="5"/>
  <c r="AY3" i="5"/>
  <c r="M40" i="5"/>
  <c r="AY2" i="5"/>
  <c r="AY9" i="5"/>
  <c r="C72" i="5"/>
  <c r="C205" i="5"/>
  <c r="D63" i="5"/>
  <c r="D56" i="5"/>
  <c r="D57" i="5"/>
  <c r="AN100" i="5"/>
  <c r="AQ100" i="5"/>
  <c r="AE80" i="5"/>
  <c r="C454" i="5"/>
  <c r="G44" i="5"/>
  <c r="AE25" i="5"/>
  <c r="AV39" i="5"/>
  <c r="AL39" i="5"/>
  <c r="X44" i="5"/>
  <c r="AL33" i="5"/>
  <c r="X38" i="5"/>
  <c r="AE22" i="5"/>
  <c r="AU35" i="5"/>
  <c r="AN35" i="5"/>
  <c r="G41" i="5"/>
  <c r="F42" i="5"/>
  <c r="BF28" i="5"/>
  <c r="AV34" i="5"/>
  <c r="AL34" i="5"/>
  <c r="X39" i="5"/>
  <c r="C644" i="5"/>
  <c r="AZ39" i="5"/>
  <c r="C310" i="5"/>
  <c r="C500" i="5"/>
  <c r="AE90" i="5"/>
  <c r="C124" i="5"/>
  <c r="C214" i="5"/>
  <c r="AV49" i="5"/>
  <c r="AL49" i="5"/>
  <c r="AL42" i="5"/>
  <c r="C476" i="5"/>
  <c r="AA90" i="5"/>
  <c r="D41" i="5"/>
  <c r="BE28" i="5"/>
  <c r="C580" i="5"/>
  <c r="BE38" i="5"/>
  <c r="BE44" i="5"/>
  <c r="C36" i="5"/>
  <c r="C44" i="5"/>
  <c r="AV11" i="5"/>
  <c r="AV10" i="5"/>
  <c r="AV12" i="5"/>
  <c r="D17" i="5"/>
  <c r="BE15" i="5"/>
  <c r="C207" i="5"/>
  <c r="D52" i="5"/>
  <c r="I121" i="5"/>
  <c r="J121" i="5"/>
  <c r="AA9" i="5"/>
  <c r="I123" i="5"/>
  <c r="I124" i="5"/>
  <c r="C123" i="5"/>
  <c r="C213" i="5"/>
  <c r="AB9" i="5"/>
  <c r="AC9" i="5"/>
  <c r="BE7" i="5"/>
  <c r="BE13" i="5"/>
  <c r="BE9" i="5"/>
  <c r="AB136" i="5"/>
  <c r="AC136" i="5"/>
  <c r="D18" i="5"/>
  <c r="BE18" i="5"/>
  <c r="BE22" i="5"/>
  <c r="BE24" i="5"/>
  <c r="C217" i="5"/>
  <c r="D127" i="5"/>
  <c r="M22" i="5"/>
  <c r="C563" i="5"/>
  <c r="C248" i="5"/>
  <c r="J128" i="5"/>
  <c r="J127" i="5"/>
  <c r="C247" i="5"/>
  <c r="AJ75" i="5"/>
  <c r="AW22" i="5"/>
  <c r="AX22" i="5"/>
  <c r="J57" i="5"/>
  <c r="AX23" i="5"/>
  <c r="J58" i="5"/>
  <c r="D128" i="5"/>
  <c r="C218" i="5"/>
  <c r="C57" i="5"/>
  <c r="C60" i="5"/>
  <c r="E60" i="5"/>
  <c r="E61" i="5"/>
  <c r="E56" i="5"/>
  <c r="E57" i="5"/>
  <c r="C544" i="5"/>
  <c r="C555" i="5"/>
  <c r="AH37" i="7"/>
  <c r="AG37" i="7"/>
  <c r="P31" i="5"/>
  <c r="P9" i="5"/>
  <c r="C517" i="5"/>
  <c r="C384" i="5"/>
  <c r="V18" i="1"/>
  <c r="I15" i="5"/>
  <c r="I21" i="5"/>
  <c r="I37" i="5"/>
  <c r="AE29" i="5"/>
  <c r="I43" i="5"/>
  <c r="I45" i="5"/>
  <c r="AE37" i="5"/>
  <c r="I35" i="5"/>
  <c r="I23" i="5"/>
  <c r="I13" i="5"/>
  <c r="AR8" i="5"/>
  <c r="AR2" i="5"/>
  <c r="AA7" i="5"/>
  <c r="BE2" i="5"/>
  <c r="BE8" i="5"/>
  <c r="C521" i="5"/>
  <c r="C16" i="5"/>
  <c r="AC7" i="5"/>
  <c r="AB7" i="5"/>
  <c r="AC46" i="5"/>
  <c r="C551" i="5"/>
  <c r="AA46" i="5"/>
  <c r="L20" i="5"/>
  <c r="AB46" i="5"/>
  <c r="F19" i="5"/>
  <c r="F20" i="5"/>
  <c r="F18" i="5"/>
  <c r="F17" i="5"/>
  <c r="BG29" i="5"/>
  <c r="BF35" i="5"/>
  <c r="BG35" i="5"/>
  <c r="BI40" i="5"/>
  <c r="M17" i="5"/>
  <c r="L16" i="5"/>
  <c r="AA42" i="5"/>
  <c r="AV52" i="5"/>
  <c r="AL52" i="5"/>
  <c r="AL47" i="5"/>
  <c r="BI11" i="5"/>
  <c r="B4" i="6"/>
  <c r="J4" i="6"/>
  <c r="O4" i="6"/>
  <c r="O7" i="6"/>
  <c r="AJ26" i="7"/>
  <c r="AK26" i="7"/>
  <c r="AE26" i="7"/>
  <c r="J34" i="7"/>
  <c r="K34" i="7"/>
  <c r="AE13" i="5"/>
  <c r="BE29" i="5"/>
  <c r="BE35" i="5"/>
  <c r="AF13" i="5"/>
  <c r="AG13" i="5"/>
  <c r="C42" i="5"/>
  <c r="C575" i="5"/>
  <c r="AF121" i="5"/>
  <c r="AF115" i="5"/>
  <c r="AF118" i="5"/>
  <c r="AF123" i="5"/>
  <c r="AE48" i="5"/>
  <c r="AE18" i="5"/>
  <c r="AU31" i="5"/>
  <c r="AN31" i="5"/>
  <c r="U36" i="5"/>
  <c r="AV31" i="5"/>
  <c r="AZ35" i="5"/>
  <c r="C306" i="5"/>
  <c r="BF26" i="5"/>
  <c r="C640" i="5"/>
  <c r="AF18" i="5"/>
  <c r="C627" i="5"/>
  <c r="AT44" i="5"/>
  <c r="C339" i="5"/>
  <c r="AO42" i="5"/>
  <c r="AM42" i="5"/>
  <c r="V13" i="5"/>
  <c r="AB16" i="5"/>
  <c r="AB17" i="5"/>
  <c r="AC16" i="5"/>
  <c r="AC17" i="5"/>
  <c r="BI57" i="5"/>
  <c r="AE67" i="5"/>
  <c r="S42" i="5"/>
  <c r="C698" i="5"/>
  <c r="AA44" i="5"/>
  <c r="M19" i="5"/>
  <c r="AM30" i="7"/>
  <c r="AH30" i="7"/>
  <c r="BJ60" i="5"/>
  <c r="AC28" i="7"/>
  <c r="AE27" i="7"/>
  <c r="AI27" i="7"/>
  <c r="BE5" i="5"/>
  <c r="BE11" i="5"/>
  <c r="AC13" i="5"/>
  <c r="AB13" i="5"/>
  <c r="AA13" i="5"/>
  <c r="C527" i="5"/>
  <c r="C20" i="5"/>
  <c r="AW35" i="5"/>
  <c r="AE57" i="5"/>
  <c r="BD30" i="5"/>
  <c r="AF57" i="5"/>
  <c r="AB24" i="5"/>
  <c r="C624" i="5"/>
  <c r="BF5" i="5"/>
  <c r="AP35" i="5"/>
  <c r="AA24" i="5"/>
  <c r="AO37" i="5"/>
  <c r="AM37" i="5"/>
  <c r="AC24" i="5"/>
  <c r="AT41" i="5"/>
  <c r="C331" i="5"/>
  <c r="C617" i="5"/>
  <c r="C628" i="5"/>
  <c r="E162" i="5"/>
  <c r="F162" i="5"/>
  <c r="C278" i="5"/>
  <c r="AA66" i="5"/>
  <c r="BD11" i="5"/>
  <c r="C675" i="5"/>
  <c r="S19" i="5"/>
  <c r="C363" i="5"/>
  <c r="C364" i="5"/>
  <c r="AH29" i="7"/>
  <c r="AM29" i="7"/>
  <c r="AE7" i="5"/>
  <c r="BE26" i="5"/>
  <c r="BE32" i="5"/>
  <c r="AG7" i="5"/>
  <c r="C569" i="5"/>
  <c r="AF7" i="5"/>
  <c r="AW17" i="5"/>
  <c r="AW18" i="5"/>
  <c r="AQ17" i="5"/>
  <c r="AQ18" i="5"/>
  <c r="AT42" i="5"/>
  <c r="C332" i="5"/>
  <c r="AQ16" i="5"/>
  <c r="AW16" i="5"/>
  <c r="AP36" i="5"/>
  <c r="AO38" i="5"/>
  <c r="AM38" i="5"/>
  <c r="AM64" i="5"/>
  <c r="C626" i="5"/>
  <c r="AA26" i="5"/>
  <c r="G45" i="5"/>
  <c r="G23" i="5"/>
  <c r="G22" i="5"/>
  <c r="E53" i="5"/>
  <c r="D122" i="5"/>
  <c r="D121" i="5"/>
  <c r="BJ40" i="5"/>
  <c r="BJ65" i="5"/>
  <c r="AE69" i="5"/>
  <c r="S44" i="5"/>
  <c r="AG25" i="5"/>
  <c r="G14" i="6"/>
  <c r="G12" i="6"/>
  <c r="U35" i="1"/>
  <c r="AX8" i="5"/>
  <c r="B106" i="1"/>
  <c r="AA68" i="5"/>
  <c r="C677" i="5"/>
  <c r="AQ40" i="5"/>
  <c r="BD12" i="5"/>
  <c r="AC68" i="5"/>
  <c r="AB68" i="5"/>
  <c r="R20" i="5"/>
  <c r="P149" i="7"/>
  <c r="R149" i="7"/>
  <c r="AE46" i="5"/>
  <c r="AG46" i="5"/>
  <c r="C599" i="5"/>
  <c r="AF46" i="5"/>
  <c r="AA15" i="5"/>
  <c r="AP16" i="5"/>
  <c r="AP17" i="5"/>
  <c r="AP18" i="5"/>
  <c r="AV17" i="5"/>
  <c r="AV18" i="5"/>
  <c r="AV16" i="5"/>
  <c r="D45" i="5"/>
  <c r="BJ51" i="5"/>
  <c r="AG57" i="5"/>
  <c r="AV41" i="5"/>
  <c r="AL41" i="5"/>
  <c r="X46" i="5"/>
  <c r="AL36" i="5"/>
  <c r="X41" i="5"/>
  <c r="AF136" i="5"/>
  <c r="AG136" i="5"/>
  <c r="D40" i="5"/>
  <c r="AF25" i="5"/>
  <c r="C449" i="5"/>
  <c r="AF75" i="5"/>
  <c r="BL75" i="5"/>
  <c r="AG75" i="5"/>
  <c r="BM75" i="5"/>
  <c r="AE75" i="5"/>
  <c r="D25" i="7"/>
  <c r="D21" i="7"/>
  <c r="F20" i="7"/>
  <c r="J20" i="7"/>
  <c r="N20" i="7"/>
  <c r="V20" i="7"/>
  <c r="R20" i="7"/>
  <c r="AU16" i="5"/>
  <c r="AU17" i="5"/>
  <c r="AU18" i="5"/>
  <c r="AA70" i="5"/>
  <c r="C679" i="5"/>
  <c r="AQ41" i="5"/>
  <c r="S45" i="5"/>
  <c r="BA16" i="5"/>
  <c r="BA17" i="5"/>
  <c r="BA18" i="5"/>
  <c r="S22" i="5"/>
  <c r="S23" i="5"/>
  <c r="R39" i="5"/>
  <c r="R38" i="5"/>
  <c r="W86" i="1"/>
  <c r="X86" i="1"/>
  <c r="W84" i="1"/>
  <c r="X84" i="1"/>
  <c r="AQ36" i="5"/>
  <c r="AT17" i="5"/>
  <c r="AT18" i="5"/>
  <c r="AZ17" i="5"/>
  <c r="AZ18" i="5"/>
  <c r="AA59" i="5"/>
  <c r="AT16" i="5"/>
  <c r="AZ16" i="5"/>
  <c r="P45" i="5"/>
  <c r="P23" i="5"/>
  <c r="P22" i="5"/>
  <c r="AG18" i="5"/>
  <c r="BI62" i="5"/>
  <c r="BF47" i="5"/>
  <c r="BG47" i="5"/>
  <c r="BG41" i="5"/>
  <c r="R77" i="1"/>
  <c r="S77" i="1"/>
  <c r="AL25" i="7"/>
  <c r="AI25" i="7"/>
  <c r="AE25" i="7"/>
  <c r="U46" i="5"/>
  <c r="C468" i="5"/>
  <c r="C14" i="5"/>
  <c r="C22" i="5"/>
  <c r="AP11" i="5"/>
  <c r="AP10" i="5"/>
  <c r="AP12" i="5"/>
  <c r="N150" i="7"/>
  <c r="L150" i="7"/>
  <c r="F39" i="5"/>
  <c r="C434" i="5"/>
  <c r="AA48" i="5"/>
  <c r="AS16" i="5"/>
  <c r="AS17" i="5"/>
  <c r="AS18" i="5"/>
  <c r="M23" i="5"/>
  <c r="AY16" i="5"/>
  <c r="AY17" i="5"/>
  <c r="AY18" i="5"/>
  <c r="AB54" i="5"/>
  <c r="AQ33" i="5"/>
  <c r="AC54" i="5"/>
  <c r="AA54" i="5"/>
  <c r="BJ62" i="5"/>
  <c r="I122" i="5"/>
  <c r="Y57" i="1"/>
  <c r="D149" i="1"/>
  <c r="F141" i="1"/>
  <c r="D148" i="1"/>
  <c r="F140" i="1"/>
  <c r="U23" i="5"/>
  <c r="C443" i="5"/>
  <c r="BM16" i="5"/>
  <c r="BL18" i="5"/>
  <c r="BL22" i="5"/>
  <c r="BM24" i="5"/>
  <c r="BL32" i="5"/>
  <c r="BL38" i="5"/>
  <c r="BL42" i="5"/>
  <c r="BM45" i="5"/>
  <c r="BL49" i="5"/>
  <c r="BL55" i="5"/>
  <c r="BM60" i="5"/>
  <c r="BL64" i="5"/>
  <c r="BL68" i="5"/>
  <c r="BL70" i="5"/>
  <c r="BM18" i="5"/>
  <c r="BM22" i="5"/>
  <c r="BL25" i="5"/>
  <c r="BM32" i="5"/>
  <c r="BL35" i="5"/>
  <c r="BM38" i="5"/>
  <c r="BM42" i="5"/>
  <c r="BL46" i="5"/>
  <c r="BM49" i="5"/>
  <c r="BM55" i="5"/>
  <c r="BL59" i="5"/>
  <c r="BL63" i="5"/>
  <c r="BM64" i="5"/>
  <c r="BM68" i="5"/>
  <c r="BM70" i="5"/>
  <c r="BL19" i="5"/>
  <c r="BL23" i="5"/>
  <c r="BM25" i="5"/>
  <c r="BL29" i="5"/>
  <c r="BL33" i="5"/>
  <c r="BM35" i="5"/>
  <c r="BL39" i="5"/>
  <c r="BM46" i="5"/>
  <c r="BL52" i="5"/>
  <c r="BL56" i="5"/>
  <c r="BM59" i="5"/>
  <c r="BM63" i="5"/>
  <c r="BM20" i="5"/>
  <c r="BL28" i="5"/>
  <c r="BM30" i="5"/>
  <c r="BM34" i="5"/>
  <c r="BM40" i="5"/>
  <c r="BL44" i="5"/>
  <c r="BL48" i="5"/>
  <c r="BM53" i="5"/>
  <c r="BL57" i="5"/>
  <c r="BL61" i="5"/>
  <c r="BM66" i="5"/>
  <c r="BL16" i="5"/>
  <c r="BM17" i="5"/>
  <c r="BM21" i="5"/>
  <c r="BL24" i="5"/>
  <c r="BM26" i="5"/>
  <c r="BM37" i="5"/>
  <c r="BM41" i="5"/>
  <c r="BL45" i="5"/>
  <c r="BM51" i="5"/>
  <c r="BM54" i="5"/>
  <c r="BL60" i="5"/>
  <c r="BM65" i="5"/>
  <c r="BM69" i="5"/>
  <c r="BL20" i="5"/>
  <c r="BL36" i="5"/>
  <c r="BL43" i="5"/>
  <c r="BL50" i="5"/>
  <c r="BL54" i="5"/>
  <c r="BM58" i="5"/>
  <c r="BL62" i="5"/>
  <c r="BL66" i="5"/>
  <c r="BL21" i="5"/>
  <c r="BL27" i="5"/>
  <c r="BM36" i="5"/>
  <c r="BM43" i="5"/>
  <c r="BM50" i="5"/>
  <c r="BM56" i="5"/>
  <c r="BM62" i="5"/>
  <c r="BM23" i="5"/>
  <c r="BM27" i="5"/>
  <c r="BL31" i="5"/>
  <c r="BM44" i="5"/>
  <c r="BM28" i="5"/>
  <c r="BM31" i="5"/>
  <c r="BL37" i="5"/>
  <c r="BL47" i="5"/>
  <c r="BL51" i="5"/>
  <c r="BM57" i="5"/>
  <c r="BL65" i="5"/>
  <c r="BL69" i="5"/>
  <c r="BM29" i="5"/>
  <c r="BM39" i="5"/>
  <c r="BM47" i="5"/>
  <c r="BM61" i="5"/>
  <c r="BL67" i="5"/>
  <c r="BL26" i="5"/>
  <c r="BL30" i="5"/>
  <c r="BM33" i="5"/>
  <c r="BL40" i="5"/>
  <c r="BM48" i="5"/>
  <c r="BM67" i="5"/>
  <c r="BL17" i="5"/>
  <c r="BL34" i="5"/>
  <c r="BL41" i="5"/>
  <c r="BM52" i="5"/>
  <c r="BM19" i="5"/>
  <c r="BL53" i="5"/>
  <c r="BL58" i="5"/>
  <c r="BI65" i="5"/>
  <c r="BI51" i="5"/>
  <c r="BJ11" i="5"/>
  <c r="BI60" i="5"/>
  <c r="AO31" i="5"/>
  <c r="AM31" i="5"/>
  <c r="AM58" i="5"/>
  <c r="C618" i="5"/>
  <c r="AT35" i="5"/>
  <c r="C325" i="5"/>
  <c r="AP31" i="5"/>
  <c r="BF2" i="5"/>
  <c r="AA18" i="5"/>
  <c r="AB18" i="5"/>
  <c r="AL35" i="5"/>
  <c r="X40" i="5"/>
  <c r="AV40" i="5"/>
  <c r="AL40" i="5"/>
  <c r="X45" i="5"/>
  <c r="AC18" i="5"/>
  <c r="AY85" i="5"/>
  <c r="AU85" i="5"/>
  <c r="AS85" i="5"/>
  <c r="AT85" i="5"/>
  <c r="AX85" i="5"/>
  <c r="AW85" i="5"/>
  <c r="AA55" i="5"/>
  <c r="BD5" i="5"/>
  <c r="P19" i="5"/>
  <c r="O20" i="5"/>
  <c r="AB43" i="5"/>
  <c r="AA43" i="5"/>
  <c r="AC43" i="5"/>
  <c r="C548" i="5"/>
  <c r="BJ57" i="5"/>
  <c r="AB63" i="5"/>
  <c r="C683" i="5"/>
  <c r="AC63" i="5"/>
  <c r="C464" i="5"/>
  <c r="U42" i="5"/>
  <c r="AF78" i="5"/>
  <c r="BL78" i="5"/>
  <c r="C703" i="5"/>
  <c r="C692" i="5"/>
  <c r="BJ64" i="5"/>
  <c r="AA58" i="5"/>
  <c r="BD7" i="5"/>
  <c r="AA50" i="5"/>
  <c r="P14" i="5"/>
  <c r="C639" i="5"/>
  <c r="C650" i="5"/>
  <c r="BI9" i="5"/>
  <c r="C534" i="5"/>
  <c r="C523" i="5"/>
  <c r="BI64" i="5"/>
  <c r="AQ93" i="5"/>
  <c r="AQ95" i="5"/>
  <c r="L64" i="5"/>
  <c r="AF66" i="5"/>
  <c r="C708" i="5"/>
  <c r="AG66" i="5"/>
  <c r="BD47" i="5"/>
  <c r="D124" i="5"/>
  <c r="E124" i="5"/>
  <c r="F124" i="5"/>
  <c r="AC61" i="5"/>
  <c r="AB61" i="5"/>
  <c r="BD29" i="5"/>
  <c r="AW34" i="5"/>
  <c r="AE55" i="5"/>
  <c r="P41" i="5"/>
  <c r="AE54" i="5"/>
  <c r="AL89" i="5"/>
  <c r="AL92" i="5"/>
  <c r="AW33" i="5"/>
  <c r="AF54" i="5"/>
  <c r="O42" i="5"/>
  <c r="AG54" i="5"/>
  <c r="AP93" i="5"/>
  <c r="AP95" i="5"/>
  <c r="I64" i="5"/>
  <c r="C68" i="5"/>
  <c r="B68" i="5"/>
  <c r="C134" i="5"/>
  <c r="AF53" i="5"/>
  <c r="AG53" i="5"/>
  <c r="BD40" i="5"/>
  <c r="AW44" i="5"/>
  <c r="AP100" i="5"/>
  <c r="AP103" i="5"/>
  <c r="P38" i="5"/>
  <c r="AE52" i="5"/>
  <c r="AA53" i="5"/>
  <c r="BD4" i="5"/>
  <c r="P17" i="5"/>
  <c r="O16" i="5"/>
  <c r="AT13" i="5"/>
  <c r="P13" i="5"/>
  <c r="L57" i="5"/>
  <c r="L58" i="5"/>
  <c r="C208" i="5"/>
  <c r="D70" i="5"/>
  <c r="D71" i="5"/>
  <c r="I138" i="5"/>
  <c r="D60" i="5"/>
  <c r="D61" i="5"/>
  <c r="D72" i="5"/>
  <c r="D67" i="5"/>
  <c r="D68" i="5"/>
  <c r="M57" i="5"/>
  <c r="C78" i="1"/>
  <c r="D68" i="1"/>
  <c r="E68" i="1"/>
  <c r="M58" i="5"/>
  <c r="AY10" i="5"/>
  <c r="AY12" i="5"/>
  <c r="AY11" i="5"/>
  <c r="L41" i="5"/>
  <c r="L39" i="5"/>
  <c r="L40" i="5"/>
  <c r="L36" i="5"/>
  <c r="L44" i="5"/>
  <c r="AV100" i="5"/>
  <c r="AV103" i="5"/>
  <c r="AB38" i="5"/>
  <c r="M75" i="1"/>
  <c r="C607" i="5"/>
  <c r="AB47" i="5"/>
  <c r="C552" i="5"/>
  <c r="AC38" i="5"/>
  <c r="AJ81" i="5"/>
  <c r="C69" i="5"/>
  <c r="AJ66" i="5"/>
  <c r="C236" i="5"/>
  <c r="H53" i="5"/>
  <c r="C496" i="5"/>
  <c r="AE86" i="5"/>
  <c r="AE92" i="5"/>
  <c r="C502" i="5"/>
  <c r="C497" i="5"/>
  <c r="AE87" i="5"/>
  <c r="BG28" i="5"/>
  <c r="BF34" i="5"/>
  <c r="BG34" i="5"/>
  <c r="BF30" i="5"/>
  <c r="C647" i="5"/>
  <c r="C658" i="5"/>
  <c r="G42" i="5"/>
  <c r="AU36" i="5"/>
  <c r="AN36" i="5"/>
  <c r="AE23" i="5"/>
  <c r="AZ40" i="5"/>
  <c r="C311" i="5"/>
  <c r="C645" i="5"/>
  <c r="BF40" i="5"/>
  <c r="AU47" i="5"/>
  <c r="AN47" i="5"/>
  <c r="V40" i="5"/>
  <c r="AF22" i="5"/>
  <c r="C655" i="5"/>
  <c r="AG22" i="5"/>
  <c r="AV46" i="5"/>
  <c r="AL46" i="5"/>
  <c r="AZ49" i="5"/>
  <c r="C333" i="5"/>
  <c r="AG78" i="5"/>
  <c r="BM78" i="5"/>
  <c r="U14" i="5"/>
  <c r="C422" i="5"/>
  <c r="AV13" i="5"/>
  <c r="D44" i="5"/>
  <c r="AG14" i="5"/>
  <c r="AE14" i="5"/>
  <c r="D36" i="5"/>
  <c r="AE6" i="5"/>
  <c r="BE30" i="5"/>
  <c r="BE36" i="5"/>
  <c r="BE34" i="5"/>
  <c r="AF11" i="5"/>
  <c r="C584" i="5"/>
  <c r="BE40" i="5"/>
  <c r="C573" i="5"/>
  <c r="AG11" i="5"/>
  <c r="C244" i="5"/>
  <c r="J124" i="5"/>
  <c r="B57" i="5"/>
  <c r="C125" i="5"/>
  <c r="C243" i="5"/>
  <c r="J123" i="5"/>
  <c r="BJ9" i="5"/>
  <c r="D123" i="5"/>
  <c r="E123" i="5"/>
  <c r="F123" i="5"/>
  <c r="AP19" i="5"/>
  <c r="AB135" i="5"/>
  <c r="AC135" i="5"/>
  <c r="C18" i="5"/>
  <c r="AC10" i="5"/>
  <c r="C535" i="5"/>
  <c r="BE19" i="5"/>
  <c r="BE21" i="5"/>
  <c r="BE25" i="5"/>
  <c r="K128" i="5"/>
  <c r="L128" i="5"/>
  <c r="C259" i="5"/>
  <c r="K127" i="5"/>
  <c r="L127" i="5"/>
  <c r="C258" i="5"/>
  <c r="C228" i="5"/>
  <c r="E127" i="5"/>
  <c r="F127" i="5"/>
  <c r="C543" i="5"/>
  <c r="C61" i="5"/>
  <c r="B61" i="5"/>
  <c r="C229" i="5"/>
  <c r="E128" i="5"/>
  <c r="F128" i="5"/>
  <c r="AW23" i="5"/>
  <c r="I58" i="5"/>
  <c r="I57" i="5"/>
  <c r="C225" i="5"/>
  <c r="I44" i="5"/>
  <c r="J45" i="5"/>
  <c r="I36" i="5"/>
  <c r="AE63" i="5"/>
  <c r="C694" i="5"/>
  <c r="S38" i="5"/>
  <c r="AA23" i="5"/>
  <c r="G20" i="5"/>
  <c r="C623" i="5"/>
  <c r="AP34" i="5"/>
  <c r="AK34" i="5"/>
  <c r="X17" i="5"/>
  <c r="AT40" i="5"/>
  <c r="C330" i="5"/>
  <c r="AO36" i="5"/>
  <c r="AM36" i="5"/>
  <c r="AM62" i="5"/>
  <c r="BI43" i="5"/>
  <c r="P35" i="5"/>
  <c r="G35" i="5"/>
  <c r="S35" i="5"/>
  <c r="D35" i="5"/>
  <c r="AY19" i="5"/>
  <c r="D22" i="5"/>
  <c r="AA14" i="5"/>
  <c r="D23" i="5"/>
  <c r="C637" i="5"/>
  <c r="AP48" i="5"/>
  <c r="AT52" i="5"/>
  <c r="C347" i="5"/>
  <c r="AB26" i="5"/>
  <c r="AC26" i="5"/>
  <c r="AO50" i="5"/>
  <c r="AM50" i="5"/>
  <c r="V21" i="5"/>
  <c r="BI63" i="5"/>
  <c r="AA56" i="5"/>
  <c r="P20" i="5"/>
  <c r="AQ34" i="5"/>
  <c r="AP38" i="5"/>
  <c r="AK38" i="5"/>
  <c r="X21" i="5"/>
  <c r="AK31" i="5"/>
  <c r="X14" i="5"/>
  <c r="AB48" i="5"/>
  <c r="C564" i="5"/>
  <c r="AC48" i="5"/>
  <c r="C553" i="5"/>
  <c r="AA6" i="5"/>
  <c r="D14" i="5"/>
  <c r="AM25" i="7"/>
  <c r="AH25" i="7"/>
  <c r="AT19" i="5"/>
  <c r="BA19" i="5"/>
  <c r="AU19" i="5"/>
  <c r="AV19" i="5"/>
  <c r="BJ68" i="5"/>
  <c r="G13" i="6"/>
  <c r="G17" i="6"/>
  <c r="G15" i="6"/>
  <c r="AG26" i="5"/>
  <c r="AV48" i="5"/>
  <c r="AF26" i="5"/>
  <c r="AU50" i="5"/>
  <c r="AN50" i="5"/>
  <c r="V43" i="5"/>
  <c r="AZ52" i="5"/>
  <c r="C336" i="5"/>
  <c r="C659" i="5"/>
  <c r="BI17" i="5"/>
  <c r="AK35" i="5"/>
  <c r="X18" i="5"/>
  <c r="AP40" i="5"/>
  <c r="AK40" i="5"/>
  <c r="X23" i="5"/>
  <c r="AJ27" i="7"/>
  <c r="AK27" i="7"/>
  <c r="AG27" i="7"/>
  <c r="J35" i="7"/>
  <c r="K35" i="7"/>
  <c r="BI46" i="5"/>
  <c r="BJ63" i="5"/>
  <c r="AC55" i="5"/>
  <c r="BD17" i="5"/>
  <c r="AB55" i="5"/>
  <c r="AZ37" i="5"/>
  <c r="C308" i="5"/>
  <c r="BF27" i="5"/>
  <c r="AE20" i="5"/>
  <c r="G39" i="5"/>
  <c r="AU33" i="5"/>
  <c r="AN33" i="5"/>
  <c r="AV32" i="5"/>
  <c r="AL32" i="5"/>
  <c r="X37" i="5"/>
  <c r="C642" i="5"/>
  <c r="BD23" i="5"/>
  <c r="C686" i="5"/>
  <c r="AC66" i="5"/>
  <c r="AB66" i="5"/>
  <c r="AF27" i="7"/>
  <c r="AA45" i="5"/>
  <c r="M20" i="5"/>
  <c r="BJ18" i="5"/>
  <c r="J122" i="5"/>
  <c r="F38" i="5"/>
  <c r="T77" i="1"/>
  <c r="C499" i="5"/>
  <c r="AE89" i="5"/>
  <c r="C252" i="5"/>
  <c r="K121" i="5"/>
  <c r="L121" i="5"/>
  <c r="AC29" i="7"/>
  <c r="AI28" i="7"/>
  <c r="AE28" i="7"/>
  <c r="BG26" i="5"/>
  <c r="BF32" i="5"/>
  <c r="BG32" i="5"/>
  <c r="AF120" i="5"/>
  <c r="AF119" i="5"/>
  <c r="AF124" i="5"/>
  <c r="AE35" i="5"/>
  <c r="AG35" i="5"/>
  <c r="AF35" i="5"/>
  <c r="BI38" i="5"/>
  <c r="AB39" i="5"/>
  <c r="BJ54" i="5"/>
  <c r="C452" i="5"/>
  <c r="AE78" i="5"/>
  <c r="BJ43" i="5"/>
  <c r="AE93" i="5"/>
  <c r="C503" i="5"/>
  <c r="BI54" i="5"/>
  <c r="AS19" i="5"/>
  <c r="AE94" i="5"/>
  <c r="C504" i="5"/>
  <c r="C222" i="5"/>
  <c r="E121" i="5"/>
  <c r="F121" i="5"/>
  <c r="BL7" i="5"/>
  <c r="BI24" i="5"/>
  <c r="AC44" i="5"/>
  <c r="AB44" i="5"/>
  <c r="C560" i="5"/>
  <c r="C549" i="5"/>
  <c r="BJ16" i="5"/>
  <c r="AG26" i="7"/>
  <c r="AF26" i="7"/>
  <c r="P20" i="7"/>
  <c r="BJ38" i="5"/>
  <c r="AC39" i="5"/>
  <c r="BI18" i="5"/>
  <c r="AW53" i="5"/>
  <c r="AF70" i="5"/>
  <c r="C712" i="5"/>
  <c r="AG70" i="5"/>
  <c r="BF11" i="5"/>
  <c r="BG11" i="5"/>
  <c r="BG5" i="5"/>
  <c r="D20" i="5"/>
  <c r="AA12" i="5"/>
  <c r="C498" i="5"/>
  <c r="AE88" i="5"/>
  <c r="P150" i="7"/>
  <c r="R150" i="7"/>
  <c r="AE82" i="5"/>
  <c r="C456" i="5"/>
  <c r="AQ103" i="5"/>
  <c r="AQ101" i="5"/>
  <c r="BD19" i="5"/>
  <c r="AB58" i="5"/>
  <c r="AC58" i="5"/>
  <c r="S39" i="5"/>
  <c r="C695" i="5"/>
  <c r="AE64" i="5"/>
  <c r="BD34" i="5"/>
  <c r="AG58" i="5"/>
  <c r="V149" i="7"/>
  <c r="T149" i="7"/>
  <c r="C223" i="5"/>
  <c r="E122" i="5"/>
  <c r="F122" i="5"/>
  <c r="AE56" i="5"/>
  <c r="P42" i="5"/>
  <c r="BI13" i="5"/>
  <c r="BI16" i="5"/>
  <c r="AL31" i="5"/>
  <c r="X36" i="5"/>
  <c r="AV38" i="5"/>
  <c r="AL38" i="5"/>
  <c r="X43" i="5"/>
  <c r="BJ46" i="5"/>
  <c r="I19" i="5"/>
  <c r="I18" i="5"/>
  <c r="I17" i="5"/>
  <c r="AA35" i="5"/>
  <c r="AB35" i="5"/>
  <c r="AC35" i="5"/>
  <c r="AC47" i="5"/>
  <c r="AC59" i="5"/>
  <c r="AB59" i="5"/>
  <c r="AQ48" i="5"/>
  <c r="AB70" i="5"/>
  <c r="C690" i="5"/>
  <c r="AQ53" i="5"/>
  <c r="AC70" i="5"/>
  <c r="AF69" i="5"/>
  <c r="C711" i="5"/>
  <c r="C700" i="5"/>
  <c r="AG69" i="5"/>
  <c r="AP41" i="5"/>
  <c r="AK41" i="5"/>
  <c r="X24" i="5"/>
  <c r="AK36" i="5"/>
  <c r="X19" i="5"/>
  <c r="BM7" i="5"/>
  <c r="BJ24" i="5"/>
  <c r="AF58" i="5"/>
  <c r="BJ13" i="5"/>
  <c r="U13" i="5"/>
  <c r="C433" i="5"/>
  <c r="C446" i="5"/>
  <c r="AE72" i="5"/>
  <c r="AG72" i="5"/>
  <c r="BM72" i="5"/>
  <c r="AF72" i="5"/>
  <c r="BL72" i="5"/>
  <c r="AE12" i="5"/>
  <c r="D42" i="5"/>
  <c r="AT37" i="5"/>
  <c r="C327" i="5"/>
  <c r="F16" i="5"/>
  <c r="AO33" i="5"/>
  <c r="AM33" i="5"/>
  <c r="AA20" i="5"/>
  <c r="BF3" i="5"/>
  <c r="G17" i="5"/>
  <c r="C620" i="5"/>
  <c r="BI7" i="5"/>
  <c r="I14" i="5"/>
  <c r="AR11" i="5"/>
  <c r="AR10" i="5"/>
  <c r="AR12" i="5"/>
  <c r="I22" i="5"/>
  <c r="AA29" i="5"/>
  <c r="AB29" i="5"/>
  <c r="AC29" i="5"/>
  <c r="C431" i="5"/>
  <c r="AA81" i="5"/>
  <c r="AW103" i="5"/>
  <c r="AW101" i="5"/>
  <c r="AA72" i="5"/>
  <c r="AP13" i="5"/>
  <c r="D13" i="5"/>
  <c r="AF25" i="7"/>
  <c r="AF59" i="5"/>
  <c r="AW48" i="5"/>
  <c r="AG59" i="5"/>
  <c r="C678" i="5"/>
  <c r="C689" i="5"/>
  <c r="AC69" i="5"/>
  <c r="AB69" i="5"/>
  <c r="BD25" i="5"/>
  <c r="F21" i="7"/>
  <c r="N21" i="7"/>
  <c r="R21" i="7"/>
  <c r="J21" i="7"/>
  <c r="V21" i="7"/>
  <c r="C583" i="5"/>
  <c r="AJ55" i="5"/>
  <c r="C588" i="5"/>
  <c r="AG15" i="5"/>
  <c r="C577" i="5"/>
  <c r="AF15" i="5"/>
  <c r="S20" i="5"/>
  <c r="S10" i="5"/>
  <c r="AA67" i="5"/>
  <c r="C676" i="5"/>
  <c r="AX2" i="5"/>
  <c r="AV84" i="5"/>
  <c r="AV86" i="5"/>
  <c r="AX3" i="5"/>
  <c r="J40" i="5"/>
  <c r="AV83" i="5"/>
  <c r="AX9" i="5"/>
  <c r="AV85" i="5"/>
  <c r="J37" i="5"/>
  <c r="C636" i="5"/>
  <c r="AC25" i="5"/>
  <c r="C625" i="5"/>
  <c r="AB25" i="5"/>
  <c r="AW19" i="5"/>
  <c r="AM63" i="5"/>
  <c r="U20" i="5"/>
  <c r="AF67" i="5"/>
  <c r="C709" i="5"/>
  <c r="AG67" i="5"/>
  <c r="BM13" i="5"/>
  <c r="M16" i="5"/>
  <c r="AA41" i="5"/>
  <c r="C621" i="5"/>
  <c r="AO34" i="5"/>
  <c r="AM34" i="5"/>
  <c r="AP33" i="5"/>
  <c r="AA21" i="5"/>
  <c r="AT38" i="5"/>
  <c r="C328" i="5"/>
  <c r="AC21" i="5"/>
  <c r="AB21" i="5"/>
  <c r="BJ7" i="5"/>
  <c r="Y33" i="7"/>
  <c r="AE35" i="7"/>
  <c r="AE36" i="7"/>
  <c r="BG2" i="5"/>
  <c r="BF8" i="5"/>
  <c r="BG8" i="5"/>
  <c r="J33" i="7"/>
  <c r="K33" i="7"/>
  <c r="AJ25" i="7"/>
  <c r="AK25" i="7"/>
  <c r="AG25" i="7"/>
  <c r="AZ19" i="5"/>
  <c r="F25" i="7"/>
  <c r="F26" i="7"/>
  <c r="F27" i="7"/>
  <c r="D26" i="7"/>
  <c r="D27" i="7"/>
  <c r="AF135" i="5"/>
  <c r="AG135" i="5"/>
  <c r="C39" i="5"/>
  <c r="C40" i="5"/>
  <c r="AE10" i="5"/>
  <c r="BI68" i="5"/>
  <c r="AQ19" i="5"/>
  <c r="BJ17" i="5"/>
  <c r="AF14" i="5"/>
  <c r="BL13" i="5"/>
  <c r="K11" i="6"/>
  <c r="J11" i="6"/>
  <c r="AB42" i="5"/>
  <c r="C547" i="5"/>
  <c r="AC42" i="5"/>
  <c r="C558" i="5"/>
  <c r="G19" i="5"/>
  <c r="AT39" i="5"/>
  <c r="C329" i="5"/>
  <c r="AA22" i="5"/>
  <c r="AO35" i="5"/>
  <c r="AM35" i="5"/>
  <c r="AM61" i="5"/>
  <c r="C622" i="5"/>
  <c r="BF4" i="5"/>
  <c r="AA8" i="5"/>
  <c r="D16" i="5"/>
  <c r="AR17" i="5"/>
  <c r="AR18" i="5"/>
  <c r="AR16" i="5"/>
  <c r="AA37" i="5"/>
  <c r="AX16" i="5"/>
  <c r="AX17" i="5"/>
  <c r="AX18" i="5"/>
  <c r="J23" i="5"/>
  <c r="AP101" i="5"/>
  <c r="AV101" i="5"/>
  <c r="I134" i="5"/>
  <c r="J134" i="5"/>
  <c r="C267" i="5"/>
  <c r="C135" i="5"/>
  <c r="C233" i="5"/>
  <c r="I135" i="5"/>
  <c r="J135" i="5"/>
  <c r="K135" i="5"/>
  <c r="L135" i="5"/>
  <c r="BI61" i="5"/>
  <c r="BJ61" i="5"/>
  <c r="AW46" i="5"/>
  <c r="BD41" i="5"/>
  <c r="AF55" i="5"/>
  <c r="AG55" i="5"/>
  <c r="AG52" i="5"/>
  <c r="AF52" i="5"/>
  <c r="AB49" i="5"/>
  <c r="BD14" i="5"/>
  <c r="AC49" i="5"/>
  <c r="AQ42" i="5"/>
  <c r="AA52" i="5"/>
  <c r="AQ32" i="5"/>
  <c r="P16" i="5"/>
  <c r="AC53" i="5"/>
  <c r="AB53" i="5"/>
  <c r="BD16" i="5"/>
  <c r="M78" i="1"/>
  <c r="J66" i="1"/>
  <c r="K66" i="1"/>
  <c r="AY13" i="5"/>
  <c r="M35" i="5"/>
  <c r="BI47" i="5"/>
  <c r="M39" i="5"/>
  <c r="AE42" i="5"/>
  <c r="L38" i="5"/>
  <c r="AE47" i="5"/>
  <c r="M45" i="5"/>
  <c r="M44" i="5"/>
  <c r="M41" i="5"/>
  <c r="AE44" i="5"/>
  <c r="L42" i="5"/>
  <c r="AE39" i="5"/>
  <c r="M36" i="5"/>
  <c r="AE43" i="5"/>
  <c r="AG43" i="5"/>
  <c r="C596" i="5"/>
  <c r="AF43" i="5"/>
  <c r="Y68" i="1"/>
  <c r="Y59" i="1"/>
  <c r="C126" i="5"/>
  <c r="D134" i="5"/>
  <c r="C232" i="5"/>
  <c r="E69" i="5"/>
  <c r="E70" i="5"/>
  <c r="B70" i="5"/>
  <c r="AG23" i="5"/>
  <c r="AF23" i="5"/>
  <c r="AU48" i="5"/>
  <c r="AN48" i="5"/>
  <c r="V41" i="5"/>
  <c r="AZ50" i="5"/>
  <c r="C334" i="5"/>
  <c r="C656" i="5"/>
  <c r="U40" i="5"/>
  <c r="AF76" i="5"/>
  <c r="BL76" i="5"/>
  <c r="C462" i="5"/>
  <c r="BF42" i="5"/>
  <c r="BG40" i="5"/>
  <c r="BF48" i="5"/>
  <c r="BG48" i="5"/>
  <c r="BG30" i="5"/>
  <c r="BF36" i="5"/>
  <c r="BG36" i="5"/>
  <c r="AC72" i="5"/>
  <c r="BJ72" i="5"/>
  <c r="AB72" i="5"/>
  <c r="BI72" i="5"/>
  <c r="BL11" i="5"/>
  <c r="BM11" i="5"/>
  <c r="C579" i="5"/>
  <c r="C568" i="5"/>
  <c r="BE42" i="5"/>
  <c r="BE46" i="5"/>
  <c r="BE48" i="5"/>
  <c r="C587" i="5"/>
  <c r="C576" i="5"/>
  <c r="I129" i="5"/>
  <c r="J129" i="5"/>
  <c r="AK2" i="5"/>
  <c r="I130" i="5"/>
  <c r="J130" i="5"/>
  <c r="C254" i="5"/>
  <c r="K123" i="5"/>
  <c r="L123" i="5"/>
  <c r="C224" i="5"/>
  <c r="AB10" i="5"/>
  <c r="I125" i="5"/>
  <c r="J125" i="5"/>
  <c r="C256" i="5"/>
  <c r="I126" i="5"/>
  <c r="J126" i="5"/>
  <c r="K124" i="5"/>
  <c r="L124" i="5"/>
  <c r="C255" i="5"/>
  <c r="BJ10" i="5"/>
  <c r="C524" i="5"/>
  <c r="AA10" i="5"/>
  <c r="M4" i="1"/>
  <c r="C130" i="5"/>
  <c r="C129" i="5"/>
  <c r="D125" i="5"/>
  <c r="C62" i="5"/>
  <c r="C131" i="5"/>
  <c r="D126" i="5"/>
  <c r="D218" i="5"/>
  <c r="D69" i="5"/>
  <c r="S11" i="5"/>
  <c r="S8" i="5"/>
  <c r="C338" i="5"/>
  <c r="AK10" i="5"/>
  <c r="AM22" i="5"/>
  <c r="C337" i="5"/>
  <c r="AF28" i="7"/>
  <c r="AG28" i="7"/>
  <c r="C465" i="5"/>
  <c r="U43" i="5"/>
  <c r="AF79" i="5"/>
  <c r="BJ21" i="5"/>
  <c r="BE27" i="5"/>
  <c r="D39" i="5"/>
  <c r="AE9" i="5"/>
  <c r="C38" i="5"/>
  <c r="AR19" i="5"/>
  <c r="AB37" i="5"/>
  <c r="AC37" i="5"/>
  <c r="C633" i="5"/>
  <c r="AT49" i="5"/>
  <c r="C344" i="5"/>
  <c r="AB22" i="5"/>
  <c r="BF16" i="5"/>
  <c r="AC22" i="5"/>
  <c r="AO47" i="5"/>
  <c r="AM47" i="5"/>
  <c r="V18" i="5"/>
  <c r="J14" i="5"/>
  <c r="AA28" i="5"/>
  <c r="G16" i="5"/>
  <c r="AP32" i="5"/>
  <c r="AK32" i="5"/>
  <c r="X15" i="5"/>
  <c r="C619" i="5"/>
  <c r="AA19" i="5"/>
  <c r="AT36" i="5"/>
  <c r="C326" i="5"/>
  <c r="AO32" i="5"/>
  <c r="AM32" i="5"/>
  <c r="AM59" i="5"/>
  <c r="C494" i="5"/>
  <c r="AE84" i="5"/>
  <c r="AC45" i="5"/>
  <c r="C561" i="5"/>
  <c r="AB45" i="5"/>
  <c r="C550" i="5"/>
  <c r="BI55" i="5"/>
  <c r="BI48" i="5"/>
  <c r="U21" i="5"/>
  <c r="AC79" i="5"/>
  <c r="C441" i="5"/>
  <c r="C528" i="5"/>
  <c r="AB14" i="5"/>
  <c r="AC14" i="5"/>
  <c r="C539" i="5"/>
  <c r="AF49" i="5"/>
  <c r="BD38" i="5"/>
  <c r="AW42" i="5"/>
  <c r="AG49" i="5"/>
  <c r="P32" i="5"/>
  <c r="S51" i="5"/>
  <c r="C287" i="5"/>
  <c r="AP78" i="5"/>
  <c r="BI21" i="5"/>
  <c r="BJ70" i="5"/>
  <c r="BJ39" i="5"/>
  <c r="C495" i="5"/>
  <c r="AE85" i="5"/>
  <c r="I39" i="5"/>
  <c r="I38" i="5"/>
  <c r="C421" i="5"/>
  <c r="AC71" i="5"/>
  <c r="BJ71" i="5"/>
  <c r="AB71" i="5"/>
  <c r="BI71" i="5"/>
  <c r="AC32" i="5"/>
  <c r="AB32" i="5"/>
  <c r="AA32" i="5"/>
  <c r="J36" i="7"/>
  <c r="K36" i="7"/>
  <c r="AJ28" i="7"/>
  <c r="AK28" i="7"/>
  <c r="BI26" i="5"/>
  <c r="BF10" i="5"/>
  <c r="BG10" i="5"/>
  <c r="BG4" i="5"/>
  <c r="BF6" i="5"/>
  <c r="J19" i="5"/>
  <c r="AA33" i="5"/>
  <c r="BJ58" i="5"/>
  <c r="C537" i="5"/>
  <c r="C526" i="5"/>
  <c r="AC12" i="5"/>
  <c r="AB12" i="5"/>
  <c r="BI44" i="5"/>
  <c r="AC30" i="7"/>
  <c r="AI29" i="7"/>
  <c r="AE29" i="7"/>
  <c r="C641" i="5"/>
  <c r="AZ36" i="5"/>
  <c r="C307" i="5"/>
  <c r="AE19" i="5"/>
  <c r="AU32" i="5"/>
  <c r="AN32" i="5"/>
  <c r="G38" i="5"/>
  <c r="G32" i="5"/>
  <c r="AF20" i="5"/>
  <c r="AU45" i="5"/>
  <c r="AN45" i="5"/>
  <c r="V38" i="5"/>
  <c r="AG20" i="5"/>
  <c r="BF39" i="5"/>
  <c r="AZ47" i="5"/>
  <c r="C317" i="5"/>
  <c r="AV44" i="5"/>
  <c r="AL44" i="5"/>
  <c r="C653" i="5"/>
  <c r="AA93" i="5"/>
  <c r="C479" i="5"/>
  <c r="AV53" i="5"/>
  <c r="AL53" i="5"/>
  <c r="AL48" i="5"/>
  <c r="C520" i="5"/>
  <c r="C531" i="5"/>
  <c r="AF38" i="5"/>
  <c r="C591" i="5"/>
  <c r="AG38" i="5"/>
  <c r="C602" i="5"/>
  <c r="BJ26" i="5"/>
  <c r="U75" i="1"/>
  <c r="U76" i="1"/>
  <c r="R80" i="1"/>
  <c r="H80" i="1"/>
  <c r="I80" i="1"/>
  <c r="I81" i="1"/>
  <c r="Y75" i="1"/>
  <c r="Y76" i="1"/>
  <c r="U83" i="1"/>
  <c r="C477" i="5"/>
  <c r="AA91" i="5"/>
  <c r="AX19" i="5"/>
  <c r="I40" i="5"/>
  <c r="AE32" i="5"/>
  <c r="I41" i="5"/>
  <c r="BI29" i="5"/>
  <c r="AA89" i="5"/>
  <c r="C475" i="5"/>
  <c r="I20" i="5"/>
  <c r="AF37" i="5"/>
  <c r="AG37" i="5"/>
  <c r="BI42" i="5"/>
  <c r="BM14" i="5"/>
  <c r="AW104" i="5"/>
  <c r="AW102" i="5"/>
  <c r="AW106" i="5"/>
  <c r="AO45" i="5"/>
  <c r="AM45" i="5"/>
  <c r="V16" i="5"/>
  <c r="BF15" i="5"/>
  <c r="C631" i="5"/>
  <c r="AC20" i="5"/>
  <c r="AT47" i="5"/>
  <c r="C342" i="5"/>
  <c r="AB20" i="5"/>
  <c r="C480" i="5"/>
  <c r="AA95" i="5"/>
  <c r="AA94" i="5"/>
  <c r="BI70" i="5"/>
  <c r="BJ35" i="5"/>
  <c r="BI58" i="5"/>
  <c r="BJ44" i="5"/>
  <c r="BI66" i="5"/>
  <c r="AA88" i="5"/>
  <c r="C474" i="5"/>
  <c r="AC56" i="5"/>
  <c r="AB56" i="5"/>
  <c r="AQ46" i="5"/>
  <c r="AK48" i="5"/>
  <c r="AP53" i="5"/>
  <c r="AK53" i="5"/>
  <c r="C578" i="5"/>
  <c r="C567" i="5"/>
  <c r="AG5" i="5"/>
  <c r="AF5" i="5"/>
  <c r="D62" i="5"/>
  <c r="AV104" i="5"/>
  <c r="AV102" i="5"/>
  <c r="AV106" i="5"/>
  <c r="C470" i="5"/>
  <c r="AA84" i="5"/>
  <c r="AC78" i="5"/>
  <c r="BJ78" i="5"/>
  <c r="AA78" i="5"/>
  <c r="AB78" i="5"/>
  <c r="BI78" i="5"/>
  <c r="C428" i="5"/>
  <c r="AP39" i="5"/>
  <c r="AK39" i="5"/>
  <c r="X22" i="5"/>
  <c r="AK33" i="5"/>
  <c r="X16" i="5"/>
  <c r="BI25" i="5"/>
  <c r="AK77" i="5"/>
  <c r="AK78" i="5"/>
  <c r="C664" i="5"/>
  <c r="AF29" i="5"/>
  <c r="AG29" i="5"/>
  <c r="AF10" i="5"/>
  <c r="J22" i="5"/>
  <c r="AA36" i="5"/>
  <c r="BF9" i="5"/>
  <c r="BG9" i="5"/>
  <c r="BG3" i="5"/>
  <c r="BF7" i="5"/>
  <c r="BI35" i="5"/>
  <c r="AF56" i="5"/>
  <c r="AG56" i="5"/>
  <c r="T20" i="7"/>
  <c r="P21" i="7"/>
  <c r="L20" i="7"/>
  <c r="P25" i="7"/>
  <c r="P26" i="7"/>
  <c r="P27" i="7"/>
  <c r="AP104" i="5"/>
  <c r="AP102" i="5"/>
  <c r="AP106" i="5"/>
  <c r="BI39" i="5"/>
  <c r="C253" i="5"/>
  <c r="K122" i="5"/>
  <c r="L122" i="5"/>
  <c r="BJ66" i="5"/>
  <c r="BG27" i="5"/>
  <c r="BF33" i="5"/>
  <c r="BG33" i="5"/>
  <c r="BF31" i="5"/>
  <c r="D15" i="6"/>
  <c r="G5" i="6"/>
  <c r="C15" i="6"/>
  <c r="F5" i="6"/>
  <c r="G23" i="6"/>
  <c r="C702" i="5"/>
  <c r="BD44" i="5"/>
  <c r="AW49" i="5"/>
  <c r="AG60" i="5"/>
  <c r="S32" i="5"/>
  <c r="AF60" i="5"/>
  <c r="AA87" i="5"/>
  <c r="C473" i="5"/>
  <c r="C533" i="5"/>
  <c r="C522" i="5"/>
  <c r="AC8" i="5"/>
  <c r="AB8" i="5"/>
  <c r="BL14" i="5"/>
  <c r="X34" i="7"/>
  <c r="I35" i="7"/>
  <c r="AC5" i="5"/>
  <c r="AC6" i="5"/>
  <c r="C519" i="5"/>
  <c r="C530" i="5"/>
  <c r="AB5" i="5"/>
  <c r="AB6" i="5"/>
  <c r="D10" i="5"/>
  <c r="C705" i="5"/>
  <c r="AG63" i="5"/>
  <c r="AF63" i="5"/>
  <c r="AF12" i="5"/>
  <c r="C585" i="5"/>
  <c r="C574" i="5"/>
  <c r="AG12" i="5"/>
  <c r="BJ47" i="5"/>
  <c r="V150" i="7"/>
  <c r="T150" i="7"/>
  <c r="AM60" i="5"/>
  <c r="U17" i="5"/>
  <c r="C687" i="5"/>
  <c r="AC67" i="5"/>
  <c r="AB67" i="5"/>
  <c r="C572" i="5"/>
  <c r="BI69" i="5"/>
  <c r="BI59" i="5"/>
  <c r="AQ104" i="5"/>
  <c r="AO104" i="5"/>
  <c r="AS96" i="5"/>
  <c r="AQ102" i="5"/>
  <c r="AQ106" i="5"/>
  <c r="AO106" i="5"/>
  <c r="AS97" i="5"/>
  <c r="D17" i="6"/>
  <c r="G6" i="6"/>
  <c r="C17" i="6"/>
  <c r="F6" i="6"/>
  <c r="BJ48" i="5"/>
  <c r="C540" i="5"/>
  <c r="AC15" i="5"/>
  <c r="AB15" i="5"/>
  <c r="C529" i="5"/>
  <c r="AF16" i="5"/>
  <c r="AZ44" i="5"/>
  <c r="C314" i="5"/>
  <c r="C649" i="5"/>
  <c r="AU42" i="5"/>
  <c r="AN42" i="5"/>
  <c r="V35" i="5"/>
  <c r="AG16" i="5"/>
  <c r="J36" i="5"/>
  <c r="AE28" i="5"/>
  <c r="AC41" i="5"/>
  <c r="C546" i="5"/>
  <c r="AB41" i="5"/>
  <c r="C557" i="5"/>
  <c r="M10" i="5"/>
  <c r="BM15" i="5"/>
  <c r="I16" i="5"/>
  <c r="AA31" i="5"/>
  <c r="J17" i="5"/>
  <c r="BJ42" i="5"/>
  <c r="BJ29" i="5"/>
  <c r="C706" i="5"/>
  <c r="BD46" i="5"/>
  <c r="AG64" i="5"/>
  <c r="AF64" i="5"/>
  <c r="BJ55" i="5"/>
  <c r="BJ25" i="5"/>
  <c r="AX11" i="5"/>
  <c r="AX10" i="5"/>
  <c r="AX12" i="5"/>
  <c r="BL15" i="5"/>
  <c r="AG10" i="5"/>
  <c r="BJ69" i="5"/>
  <c r="AR13" i="5"/>
  <c r="J13" i="5"/>
  <c r="BJ59" i="5"/>
  <c r="C501" i="5"/>
  <c r="AE91" i="5"/>
  <c r="C634" i="5"/>
  <c r="AC23" i="5"/>
  <c r="AT50" i="5"/>
  <c r="C345" i="5"/>
  <c r="AP46" i="5"/>
  <c r="AK46" i="5"/>
  <c r="AO48" i="5"/>
  <c r="AM48" i="5"/>
  <c r="V19" i="5"/>
  <c r="AB23" i="5"/>
  <c r="AE36" i="5"/>
  <c r="J44" i="5"/>
  <c r="K134" i="5"/>
  <c r="L134" i="5"/>
  <c r="AG76" i="5"/>
  <c r="BM76" i="5"/>
  <c r="C268" i="5"/>
  <c r="D135" i="5"/>
  <c r="C238" i="5"/>
  <c r="BI10" i="5"/>
  <c r="AG79" i="5"/>
  <c r="AG80" i="5"/>
  <c r="BJ49" i="5"/>
  <c r="AC50" i="5"/>
  <c r="BI53" i="5"/>
  <c r="AQ44" i="5"/>
  <c r="AC52" i="5"/>
  <c r="AB52" i="5"/>
  <c r="P10" i="5"/>
  <c r="BJ53" i="5"/>
  <c r="AB50" i="5"/>
  <c r="BI49" i="5"/>
  <c r="D151" i="1"/>
  <c r="F143" i="1"/>
  <c r="Y60" i="1"/>
  <c r="D152" i="1"/>
  <c r="F144" i="1"/>
  <c r="Z62" i="1"/>
  <c r="Y62" i="1"/>
  <c r="AE45" i="5"/>
  <c r="M42" i="5"/>
  <c r="C595" i="5"/>
  <c r="AF42" i="5"/>
  <c r="AG42" i="5"/>
  <c r="C606" i="5"/>
  <c r="K125" i="5"/>
  <c r="L125" i="5"/>
  <c r="Y69" i="1"/>
  <c r="H152" i="1"/>
  <c r="H144" i="1"/>
  <c r="H151" i="1"/>
  <c r="H143" i="1"/>
  <c r="Y70" i="1"/>
  <c r="H153" i="1"/>
  <c r="H145" i="1"/>
  <c r="Y71" i="1"/>
  <c r="Z71" i="1"/>
  <c r="C608" i="5"/>
  <c r="AG44" i="5"/>
  <c r="C597" i="5"/>
  <c r="AF44" i="5"/>
  <c r="AE41" i="5"/>
  <c r="M38" i="5"/>
  <c r="AG47" i="5"/>
  <c r="AF47" i="5"/>
  <c r="C611" i="5"/>
  <c r="C600" i="5"/>
  <c r="AG48" i="5"/>
  <c r="C612" i="5"/>
  <c r="C601" i="5"/>
  <c r="AF48" i="5"/>
  <c r="C603" i="5"/>
  <c r="C592" i="5"/>
  <c r="Y51" i="1"/>
  <c r="M79" i="1"/>
  <c r="I136" i="5"/>
  <c r="J136" i="5"/>
  <c r="C269" i="5"/>
  <c r="I137" i="5"/>
  <c r="C136" i="5"/>
  <c r="C137" i="5"/>
  <c r="E134" i="5"/>
  <c r="F134" i="5"/>
  <c r="C237" i="5"/>
  <c r="E135" i="5"/>
  <c r="F135" i="5"/>
  <c r="AJ67" i="5"/>
  <c r="C266" i="5"/>
  <c r="AE76" i="5"/>
  <c r="C450" i="5"/>
  <c r="C463" i="5"/>
  <c r="U41" i="5"/>
  <c r="AG77" i="5"/>
  <c r="BM77" i="5"/>
  <c r="BG42" i="5"/>
  <c r="BF46" i="5"/>
  <c r="BG46" i="5"/>
  <c r="AU106" i="5"/>
  <c r="AT97" i="5"/>
  <c r="AJ64" i="5"/>
  <c r="C216" i="5"/>
  <c r="AU104" i="5"/>
  <c r="AT96" i="5"/>
  <c r="K126" i="5"/>
  <c r="L126" i="5"/>
  <c r="C257" i="5"/>
  <c r="AY4" i="5"/>
  <c r="AY6" i="5"/>
  <c r="BA5" i="5"/>
  <c r="BA4" i="5"/>
  <c r="BA6" i="5"/>
  <c r="AZ5" i="5"/>
  <c r="AU5" i="5"/>
  <c r="AW4" i="5"/>
  <c r="AW6" i="5"/>
  <c r="AW5" i="5"/>
  <c r="AZ4" i="5"/>
  <c r="AZ6" i="5"/>
  <c r="AV4" i="5"/>
  <c r="AV6" i="5"/>
  <c r="AT5" i="5"/>
  <c r="AV5" i="5"/>
  <c r="AV7" i="5"/>
  <c r="AU4" i="5"/>
  <c r="AU6" i="5"/>
  <c r="AT4" i="5"/>
  <c r="AT6" i="5"/>
  <c r="AS4" i="5"/>
  <c r="AS6" i="5"/>
  <c r="AP4" i="5"/>
  <c r="AP6" i="5"/>
  <c r="AP5" i="5"/>
  <c r="AY5" i="5"/>
  <c r="AY7" i="5"/>
  <c r="AS5" i="5"/>
  <c r="AQ5" i="5"/>
  <c r="AQ4" i="5"/>
  <c r="AQ6" i="5"/>
  <c r="AR5" i="5"/>
  <c r="AX5" i="5"/>
  <c r="AR4" i="5"/>
  <c r="AR6" i="5"/>
  <c r="AX4" i="5"/>
  <c r="AX6" i="5"/>
  <c r="C262" i="5"/>
  <c r="E126" i="5"/>
  <c r="F126" i="5"/>
  <c r="C227" i="5"/>
  <c r="C263" i="5"/>
  <c r="C226" i="5"/>
  <c r="E125" i="5"/>
  <c r="F125" i="5"/>
  <c r="D129" i="5"/>
  <c r="D220" i="5"/>
  <c r="D130" i="5"/>
  <c r="AE30" i="5"/>
  <c r="J38" i="5"/>
  <c r="BI6" i="5"/>
  <c r="M8" i="5"/>
  <c r="C402" i="5"/>
  <c r="C401" i="5"/>
  <c r="AJ20" i="5"/>
  <c r="AU22" i="5"/>
  <c r="M11" i="5"/>
  <c r="BJ23" i="5"/>
  <c r="BI41" i="5"/>
  <c r="G33" i="5"/>
  <c r="G30" i="5"/>
  <c r="G27" i="5"/>
  <c r="AZ31" i="5"/>
  <c r="C303" i="5"/>
  <c r="AM9" i="5"/>
  <c r="C405" i="5"/>
  <c r="C3" i="6"/>
  <c r="B3" i="6"/>
  <c r="AF6" i="5"/>
  <c r="BL5" i="5"/>
  <c r="BJ56" i="5"/>
  <c r="AA34" i="5"/>
  <c r="J20" i="5"/>
  <c r="AF39" i="5"/>
  <c r="AU44" i="5"/>
  <c r="AN44" i="5"/>
  <c r="V37" i="5"/>
  <c r="V32" i="5"/>
  <c r="AZ46" i="5"/>
  <c r="C316" i="5"/>
  <c r="C652" i="5"/>
  <c r="AG19" i="5"/>
  <c r="AF19" i="5"/>
  <c r="AI30" i="7"/>
  <c r="AE30" i="7"/>
  <c r="AB33" i="5"/>
  <c r="AC33" i="5"/>
  <c r="AF50" i="5"/>
  <c r="C429" i="5"/>
  <c r="AA79" i="5"/>
  <c r="C471" i="5"/>
  <c r="AA85" i="5"/>
  <c r="BE31" i="5"/>
  <c r="BE37" i="5"/>
  <c r="BE33" i="5"/>
  <c r="AG32" i="5"/>
  <c r="U77" i="1"/>
  <c r="D71" i="1"/>
  <c r="U79" i="1"/>
  <c r="D69" i="1"/>
  <c r="V77" i="1"/>
  <c r="E71" i="1"/>
  <c r="V79" i="1"/>
  <c r="E69" i="1"/>
  <c r="BJ6" i="5"/>
  <c r="BI12" i="5"/>
  <c r="BF12" i="5"/>
  <c r="BG12" i="5"/>
  <c r="BG6" i="5"/>
  <c r="BJ45" i="5"/>
  <c r="AP44" i="5"/>
  <c r="AK44" i="5"/>
  <c r="Y10" i="5"/>
  <c r="AT46" i="5"/>
  <c r="C341" i="5"/>
  <c r="C630" i="5"/>
  <c r="AC19" i="5"/>
  <c r="AO44" i="5"/>
  <c r="AM44" i="5"/>
  <c r="V15" i="5"/>
  <c r="AB19" i="5"/>
  <c r="G10" i="5"/>
  <c r="AF36" i="5"/>
  <c r="AG36" i="5"/>
  <c r="AX13" i="5"/>
  <c r="J35" i="5"/>
  <c r="BJ41" i="5"/>
  <c r="AF17" i="5"/>
  <c r="K6" i="6"/>
  <c r="C6" i="6"/>
  <c r="BI67" i="5"/>
  <c r="AF61" i="5"/>
  <c r="C5" i="6"/>
  <c r="K5" i="6"/>
  <c r="BI20" i="5"/>
  <c r="Y32" i="5"/>
  <c r="BJ12" i="5"/>
  <c r="R59" i="5"/>
  <c r="R60" i="5"/>
  <c r="I167" i="5"/>
  <c r="C295" i="5"/>
  <c r="R55" i="5"/>
  <c r="R58" i="5"/>
  <c r="R53" i="5"/>
  <c r="R56" i="5"/>
  <c r="R54" i="5"/>
  <c r="R57" i="5"/>
  <c r="BJ14" i="5"/>
  <c r="BJ37" i="5"/>
  <c r="G2" i="6"/>
  <c r="J5" i="6"/>
  <c r="B5" i="6"/>
  <c r="O5" i="6"/>
  <c r="BM5" i="5"/>
  <c r="AG6" i="5"/>
  <c r="AE31" i="5"/>
  <c r="J39" i="5"/>
  <c r="J16" i="5"/>
  <c r="AA30" i="5"/>
  <c r="BJ67" i="5"/>
  <c r="D11" i="5"/>
  <c r="AJ15" i="5"/>
  <c r="AO22" i="5"/>
  <c r="C392" i="5"/>
  <c r="D8" i="5"/>
  <c r="C393" i="5"/>
  <c r="C373" i="5"/>
  <c r="S30" i="5"/>
  <c r="C374" i="5"/>
  <c r="AM8" i="5"/>
  <c r="S33" i="5"/>
  <c r="S27" i="5"/>
  <c r="BF37" i="5"/>
  <c r="BG37" i="5"/>
  <c r="BG31" i="5"/>
  <c r="BI32" i="5"/>
  <c r="BI14" i="5"/>
  <c r="BI37" i="5"/>
  <c r="AC31" i="5"/>
  <c r="AB31" i="5"/>
  <c r="J6" i="6"/>
  <c r="O6" i="6"/>
  <c r="B6" i="6"/>
  <c r="AB27" i="5"/>
  <c r="AC27" i="5"/>
  <c r="AC28" i="5"/>
  <c r="BI15" i="5"/>
  <c r="BM12" i="5"/>
  <c r="BI5" i="5"/>
  <c r="BI8" i="5"/>
  <c r="AG61" i="5"/>
  <c r="AN106" i="5"/>
  <c r="C472" i="5"/>
  <c r="AA86" i="5"/>
  <c r="AT106" i="5"/>
  <c r="BJ20" i="5"/>
  <c r="BF43" i="5"/>
  <c r="BF49" i="5"/>
  <c r="BG49" i="5"/>
  <c r="BG39" i="5"/>
  <c r="BJ32" i="5"/>
  <c r="P27" i="5"/>
  <c r="P30" i="5"/>
  <c r="C356" i="5"/>
  <c r="AL8" i="5"/>
  <c r="C355" i="5"/>
  <c r="P33" i="5"/>
  <c r="C668" i="5"/>
  <c r="C438" i="5"/>
  <c r="U18" i="5"/>
  <c r="AC76" i="5"/>
  <c r="BJ76" i="5"/>
  <c r="AF80" i="5"/>
  <c r="BL79" i="5"/>
  <c r="R7" i="5"/>
  <c r="AM23" i="5"/>
  <c r="R5" i="5"/>
  <c r="T21" i="7"/>
  <c r="T25" i="7"/>
  <c r="T26" i="7"/>
  <c r="T27" i="7"/>
  <c r="X20" i="7"/>
  <c r="BG7" i="5"/>
  <c r="BF13" i="5"/>
  <c r="BG13" i="5"/>
  <c r="K129" i="5"/>
  <c r="L129" i="5"/>
  <c r="C260" i="5"/>
  <c r="BI23" i="5"/>
  <c r="U19" i="5"/>
  <c r="C439" i="5"/>
  <c r="AG17" i="5"/>
  <c r="BJ15" i="5"/>
  <c r="AA75" i="5"/>
  <c r="AC75" i="5"/>
  <c r="BJ75" i="5"/>
  <c r="AB75" i="5"/>
  <c r="BI75" i="5"/>
  <c r="C425" i="5"/>
  <c r="BJ8" i="5"/>
  <c r="AN104" i="5"/>
  <c r="AC36" i="5"/>
  <c r="AB36" i="5"/>
  <c r="C478" i="5"/>
  <c r="AA92" i="5"/>
  <c r="AT104" i="5"/>
  <c r="AE33" i="5"/>
  <c r="J41" i="5"/>
  <c r="I42" i="5"/>
  <c r="AG50" i="5"/>
  <c r="AB79" i="5"/>
  <c r="BJ22" i="5"/>
  <c r="D38" i="5"/>
  <c r="AE8" i="5"/>
  <c r="C453" i="5"/>
  <c r="AE79" i="5"/>
  <c r="AN22" i="5"/>
  <c r="S7" i="5"/>
  <c r="AN23" i="5"/>
  <c r="S5" i="5"/>
  <c r="BM10" i="5"/>
  <c r="BL10" i="5"/>
  <c r="I131" i="5"/>
  <c r="AJ65" i="5"/>
  <c r="BG15" i="5"/>
  <c r="BF19" i="5"/>
  <c r="BF25" i="5"/>
  <c r="BG25" i="5"/>
  <c r="U84" i="1"/>
  <c r="J71" i="1"/>
  <c r="V86" i="1"/>
  <c r="K67" i="1"/>
  <c r="U86" i="1"/>
  <c r="J67" i="1"/>
  <c r="V84" i="1"/>
  <c r="K71" i="1"/>
  <c r="AG39" i="5"/>
  <c r="U38" i="5"/>
  <c r="AG74" i="5"/>
  <c r="BM74" i="5"/>
  <c r="C460" i="5"/>
  <c r="AF29" i="7"/>
  <c r="AC80" i="5"/>
  <c r="BJ79" i="5"/>
  <c r="BF18" i="5"/>
  <c r="BG16" i="5"/>
  <c r="BF24" i="5"/>
  <c r="BG24" i="5"/>
  <c r="U35" i="5"/>
  <c r="C457" i="5"/>
  <c r="BL12" i="5"/>
  <c r="BJ5" i="5"/>
  <c r="L25" i="7"/>
  <c r="L26" i="7"/>
  <c r="L27" i="7"/>
  <c r="L21" i="7"/>
  <c r="H20" i="7"/>
  <c r="BI56" i="5"/>
  <c r="C436" i="5"/>
  <c r="U16" i="5"/>
  <c r="AC74" i="5"/>
  <c r="BJ74" i="5"/>
  <c r="Y77" i="1"/>
  <c r="Z79" i="1"/>
  <c r="Z77" i="1"/>
  <c r="Y79" i="1"/>
  <c r="AJ29" i="7"/>
  <c r="AK29" i="7"/>
  <c r="AG29" i="7"/>
  <c r="J37" i="7"/>
  <c r="K37" i="7"/>
  <c r="K130" i="5"/>
  <c r="L130" i="5"/>
  <c r="C261" i="5"/>
  <c r="BI45" i="5"/>
  <c r="BI22" i="5"/>
  <c r="C571" i="5"/>
  <c r="C582" i="5"/>
  <c r="AF9" i="5"/>
  <c r="AG9" i="5"/>
  <c r="BE39" i="5"/>
  <c r="AF32" i="5"/>
  <c r="BM79" i="5"/>
  <c r="AF77" i="5"/>
  <c r="BL77" i="5"/>
  <c r="K136" i="5"/>
  <c r="L136" i="5"/>
  <c r="C219" i="5"/>
  <c r="C264" i="5"/>
  <c r="C221" i="5"/>
  <c r="BI50" i="5"/>
  <c r="BJ50" i="5"/>
  <c r="BJ52" i="5"/>
  <c r="AB76" i="5"/>
  <c r="BI76" i="5"/>
  <c r="P8" i="5"/>
  <c r="C320" i="5"/>
  <c r="P11" i="5"/>
  <c r="AJ10" i="5"/>
  <c r="C319" i="5"/>
  <c r="BI52" i="5"/>
  <c r="AB114" i="5"/>
  <c r="C594" i="5"/>
  <c r="AF41" i="5"/>
  <c r="AG41" i="5"/>
  <c r="C605" i="5"/>
  <c r="AF45" i="5"/>
  <c r="AG45" i="5"/>
  <c r="C609" i="5"/>
  <c r="C598" i="5"/>
  <c r="D143" i="1"/>
  <c r="AA50" i="1"/>
  <c r="AB50" i="1"/>
  <c r="C220" i="5"/>
  <c r="M32" i="5"/>
  <c r="C235" i="5"/>
  <c r="D137" i="5"/>
  <c r="D136" i="5"/>
  <c r="C234" i="5"/>
  <c r="C215" i="5"/>
  <c r="C211" i="5"/>
  <c r="C265" i="5"/>
  <c r="J137" i="5"/>
  <c r="J10" i="5"/>
  <c r="C398" i="5"/>
  <c r="C451" i="5"/>
  <c r="AE77" i="5"/>
  <c r="AP7" i="5"/>
  <c r="AS7" i="5"/>
  <c r="AW7" i="5"/>
  <c r="C251" i="5"/>
  <c r="AR7" i="5"/>
  <c r="AT7" i="5"/>
  <c r="C212" i="5"/>
  <c r="AX7" i="5"/>
  <c r="AU7" i="5"/>
  <c r="AZ7" i="5"/>
  <c r="AQ7" i="5"/>
  <c r="BA7" i="5"/>
  <c r="E130" i="5"/>
  <c r="F130" i="5"/>
  <c r="C231" i="5"/>
  <c r="E129" i="5"/>
  <c r="F129" i="5"/>
  <c r="C230" i="5"/>
  <c r="L7" i="5"/>
  <c r="AU23" i="5"/>
  <c r="L5" i="5"/>
  <c r="AK15" i="5"/>
  <c r="C5" i="5"/>
  <c r="AO23" i="5"/>
  <c r="C6" i="5"/>
  <c r="J42" i="5"/>
  <c r="AE34" i="5"/>
  <c r="BI36" i="5"/>
  <c r="C427" i="5"/>
  <c r="AA77" i="5"/>
  <c r="BI27" i="5"/>
  <c r="AB74" i="5"/>
  <c r="BI74" i="5"/>
  <c r="AF74" i="5"/>
  <c r="BL74" i="5"/>
  <c r="BJ36" i="5"/>
  <c r="AG31" i="5"/>
  <c r="AF31" i="5"/>
  <c r="S53" i="5"/>
  <c r="J160" i="5"/>
  <c r="C296" i="5"/>
  <c r="I160" i="5"/>
  <c r="BL6" i="5"/>
  <c r="C395" i="5"/>
  <c r="G11" i="5"/>
  <c r="AT31" i="5"/>
  <c r="C321" i="5"/>
  <c r="G8" i="5"/>
  <c r="AK20" i="5"/>
  <c r="AQ22" i="5"/>
  <c r="AF30" i="7"/>
  <c r="AF33" i="5"/>
  <c r="AG33" i="5"/>
  <c r="AB28" i="5"/>
  <c r="AP22" i="5"/>
  <c r="D5" i="5"/>
  <c r="AP23" i="5"/>
  <c r="D6" i="5"/>
  <c r="S55" i="5"/>
  <c r="J162" i="5"/>
  <c r="C298" i="5"/>
  <c r="I162" i="5"/>
  <c r="BI19" i="5"/>
  <c r="AJ30" i="7"/>
  <c r="AK30" i="7"/>
  <c r="AG30" i="7"/>
  <c r="J38" i="7"/>
  <c r="K38" i="7"/>
  <c r="AC34" i="5"/>
  <c r="AB34" i="5"/>
  <c r="BG19" i="5"/>
  <c r="BF21" i="5"/>
  <c r="BG21" i="5"/>
  <c r="K18" i="6"/>
  <c r="J18" i="6"/>
  <c r="S58" i="5"/>
  <c r="J165" i="5"/>
  <c r="C301" i="5"/>
  <c r="I165" i="5"/>
  <c r="H25" i="7"/>
  <c r="H21" i="7"/>
  <c r="C445" i="5"/>
  <c r="AG71" i="5"/>
  <c r="BM71" i="5"/>
  <c r="AF71" i="5"/>
  <c r="BL71" i="5"/>
  <c r="BJ80" i="5"/>
  <c r="AC81" i="5"/>
  <c r="C241" i="5"/>
  <c r="C246" i="5"/>
  <c r="C245" i="5"/>
  <c r="C242" i="5"/>
  <c r="C249" i="5"/>
  <c r="C250" i="5"/>
  <c r="BF45" i="5"/>
  <c r="BG45" i="5"/>
  <c r="BG43" i="5"/>
  <c r="BJ28" i="5"/>
  <c r="BM6" i="5"/>
  <c r="U15" i="5"/>
  <c r="AB73" i="5"/>
  <c r="BI73" i="5"/>
  <c r="C435" i="5"/>
  <c r="V10" i="5"/>
  <c r="BE43" i="5"/>
  <c r="BE45" i="5"/>
  <c r="BE49" i="5"/>
  <c r="V27" i="5"/>
  <c r="V30" i="5"/>
  <c r="C418" i="5"/>
  <c r="C417" i="5"/>
  <c r="V33" i="5"/>
  <c r="BL80" i="5"/>
  <c r="AF81" i="5"/>
  <c r="P29" i="5"/>
  <c r="P28" i="5"/>
  <c r="BI31" i="5"/>
  <c r="S28" i="5"/>
  <c r="S29" i="5"/>
  <c r="S59" i="5"/>
  <c r="J166" i="5"/>
  <c r="C302" i="5"/>
  <c r="I166" i="5"/>
  <c r="BJ19" i="5"/>
  <c r="AF113" i="5"/>
  <c r="G28" i="5"/>
  <c r="G29" i="5"/>
  <c r="AG30" i="5"/>
  <c r="AF30" i="5"/>
  <c r="BM9" i="5"/>
  <c r="AC77" i="5"/>
  <c r="BJ77" i="5"/>
  <c r="AA76" i="5"/>
  <c r="C426" i="5"/>
  <c r="BJ31" i="5"/>
  <c r="I164" i="5"/>
  <c r="S57" i="5"/>
  <c r="J164" i="5"/>
  <c r="C300" i="5"/>
  <c r="BF22" i="5"/>
  <c r="BG22" i="5"/>
  <c r="BG18" i="5"/>
  <c r="AB80" i="5"/>
  <c r="BI79" i="5"/>
  <c r="BL9" i="5"/>
  <c r="AA74" i="5"/>
  <c r="C424" i="5"/>
  <c r="AG8" i="5"/>
  <c r="C570" i="5"/>
  <c r="C581" i="5"/>
  <c r="AF8" i="5"/>
  <c r="D32" i="5"/>
  <c r="AB77" i="5"/>
  <c r="BI77" i="5"/>
  <c r="X21" i="7"/>
  <c r="X25" i="7"/>
  <c r="X26" i="7"/>
  <c r="X27" i="7"/>
  <c r="BJ27" i="5"/>
  <c r="AG81" i="5"/>
  <c r="BM80" i="5"/>
  <c r="K17" i="6"/>
  <c r="K12" i="6"/>
  <c r="K13" i="6"/>
  <c r="J17" i="6"/>
  <c r="J12" i="6"/>
  <c r="J13" i="6"/>
  <c r="I161" i="5"/>
  <c r="S54" i="5"/>
  <c r="J161" i="5"/>
  <c r="C297" i="5"/>
  <c r="J32" i="5"/>
  <c r="AG27" i="5"/>
  <c r="AF27" i="5"/>
  <c r="BJ33" i="5"/>
  <c r="AE74" i="5"/>
  <c r="C448" i="5"/>
  <c r="AB30" i="5"/>
  <c r="AC30" i="5"/>
  <c r="I163" i="5"/>
  <c r="S56" i="5"/>
  <c r="J163" i="5"/>
  <c r="C299" i="5"/>
  <c r="AS66" i="5"/>
  <c r="AS63" i="5"/>
  <c r="AS69" i="5"/>
  <c r="Y27" i="5"/>
  <c r="Y46" i="5"/>
  <c r="Z46" i="5"/>
  <c r="AS67" i="5"/>
  <c r="AS68" i="5"/>
  <c r="AS60" i="5"/>
  <c r="AS58" i="5"/>
  <c r="AS65" i="5"/>
  <c r="Y43" i="5"/>
  <c r="Y44" i="5"/>
  <c r="Z44" i="5"/>
  <c r="Y36" i="5"/>
  <c r="Z36" i="5"/>
  <c r="AS59" i="5"/>
  <c r="Y42" i="5"/>
  <c r="Z42" i="5"/>
  <c r="Y35" i="5"/>
  <c r="AS64" i="5"/>
  <c r="Y37" i="5"/>
  <c r="Z37" i="5"/>
  <c r="C413" i="5"/>
  <c r="Y39" i="5"/>
  <c r="Z39" i="5"/>
  <c r="Y40" i="5"/>
  <c r="Z40" i="5"/>
  <c r="AS61" i="5"/>
  <c r="AS62" i="5"/>
  <c r="Y45" i="5"/>
  <c r="Y38" i="5"/>
  <c r="Z38" i="5"/>
  <c r="Y41" i="5"/>
  <c r="Y33" i="5"/>
  <c r="AC98" i="5"/>
  <c r="AB100" i="5"/>
  <c r="AC103" i="5"/>
  <c r="AC109" i="5"/>
  <c r="AC104" i="5"/>
  <c r="BA22" i="5"/>
  <c r="AC102" i="5"/>
  <c r="AC107" i="5"/>
  <c r="AB109" i="5"/>
  <c r="Y14" i="5"/>
  <c r="Z14" i="5"/>
  <c r="AC97" i="5"/>
  <c r="Y16" i="5"/>
  <c r="Z16" i="5"/>
  <c r="BB22" i="5"/>
  <c r="Y5" i="5"/>
  <c r="AC101" i="5"/>
  <c r="Y21" i="5"/>
  <c r="Z21" i="5"/>
  <c r="Y13" i="5"/>
  <c r="Z13" i="5"/>
  <c r="AC106" i="5"/>
  <c r="AC108" i="5"/>
  <c r="AB98" i="5"/>
  <c r="Y24" i="5"/>
  <c r="Z24" i="5"/>
  <c r="AB106" i="5"/>
  <c r="AB105" i="5"/>
  <c r="AC99" i="5"/>
  <c r="AB101" i="5"/>
  <c r="AB103" i="5"/>
  <c r="Y11" i="5"/>
  <c r="AB97" i="5"/>
  <c r="AB99" i="5"/>
  <c r="AB107" i="5"/>
  <c r="Y20" i="5"/>
  <c r="Z20" i="5"/>
  <c r="Y17" i="5"/>
  <c r="Z17" i="5"/>
  <c r="Y23" i="5"/>
  <c r="Z23" i="5"/>
  <c r="Y22" i="5"/>
  <c r="Z22" i="5"/>
  <c r="C411" i="5"/>
  <c r="Y19" i="5"/>
  <c r="Y18" i="5"/>
  <c r="Z18" i="5"/>
  <c r="Q54" i="1"/>
  <c r="AC100" i="5"/>
  <c r="AB108" i="5"/>
  <c r="AB104" i="5"/>
  <c r="AB102" i="5"/>
  <c r="Y15" i="5"/>
  <c r="BB23" i="5"/>
  <c r="Y6" i="5"/>
  <c r="AC105" i="5"/>
  <c r="BI33" i="5"/>
  <c r="C459" i="5"/>
  <c r="U37" i="5"/>
  <c r="AF73" i="5"/>
  <c r="BL73" i="5"/>
  <c r="AZ33" i="5"/>
  <c r="C304" i="5"/>
  <c r="C406" i="5"/>
  <c r="AV23" i="5"/>
  <c r="M5" i="5"/>
  <c r="AV22" i="5"/>
  <c r="M7" i="5"/>
  <c r="J11" i="5"/>
  <c r="J8" i="5"/>
  <c r="C399" i="5"/>
  <c r="AC112" i="5"/>
  <c r="AB112" i="5"/>
  <c r="AC113" i="5"/>
  <c r="AB110" i="5"/>
  <c r="AB111" i="5"/>
  <c r="AC110" i="5"/>
  <c r="AC111" i="5"/>
  <c r="AB113" i="5"/>
  <c r="AK22" i="5"/>
  <c r="AL23" i="5"/>
  <c r="P6" i="5"/>
  <c r="AL22" i="5"/>
  <c r="P5" i="5"/>
  <c r="C409" i="5"/>
  <c r="M27" i="5"/>
  <c r="M33" i="5"/>
  <c r="M30" i="5"/>
  <c r="C410" i="5"/>
  <c r="C667" i="5"/>
  <c r="Z63" i="1"/>
  <c r="K137" i="5"/>
  <c r="L137" i="5"/>
  <c r="C270" i="5"/>
  <c r="E136" i="5"/>
  <c r="F136" i="5"/>
  <c r="C239" i="5"/>
  <c r="C240" i="5"/>
  <c r="E137" i="5"/>
  <c r="F137" i="5"/>
  <c r="Y30" i="5"/>
  <c r="C414" i="5"/>
  <c r="AC73" i="5"/>
  <c r="BJ73" i="5"/>
  <c r="AB87" i="5"/>
  <c r="BI86" i="5"/>
  <c r="AC87" i="5"/>
  <c r="BJ86" i="5"/>
  <c r="C485" i="5"/>
  <c r="AB86" i="5"/>
  <c r="BI85" i="5"/>
  <c r="AC86" i="5"/>
  <c r="BJ85" i="5"/>
  <c r="C484" i="5"/>
  <c r="AG89" i="5"/>
  <c r="C511" i="5"/>
  <c r="AF89" i="5"/>
  <c r="Z35" i="5"/>
  <c r="AF91" i="5"/>
  <c r="AG91" i="5"/>
  <c r="C513" i="5"/>
  <c r="AF94" i="5"/>
  <c r="AF95" i="5"/>
  <c r="AG94" i="5"/>
  <c r="AG95" i="5"/>
  <c r="C516" i="5"/>
  <c r="K163" i="5"/>
  <c r="L163" i="5"/>
  <c r="C291" i="5"/>
  <c r="AG28" i="5"/>
  <c r="BI34" i="5"/>
  <c r="C396" i="5"/>
  <c r="AT33" i="5"/>
  <c r="C322" i="5"/>
  <c r="C486" i="5"/>
  <c r="AB88" i="5"/>
  <c r="BI87" i="5"/>
  <c r="AC88" i="5"/>
  <c r="BJ87" i="5"/>
  <c r="AM10" i="5"/>
  <c r="J33" i="5"/>
  <c r="AL10" i="5"/>
  <c r="C666" i="5"/>
  <c r="J27" i="5"/>
  <c r="C407" i="5"/>
  <c r="J30" i="5"/>
  <c r="C408" i="5"/>
  <c r="BJ34" i="5"/>
  <c r="AT23" i="5"/>
  <c r="J7" i="5"/>
  <c r="AT22" i="5"/>
  <c r="J6" i="5"/>
  <c r="C483" i="5"/>
  <c r="AC85" i="5"/>
  <c r="BJ84" i="5"/>
  <c r="AB85" i="5"/>
  <c r="BI84" i="5"/>
  <c r="AB90" i="5"/>
  <c r="AC90" i="5"/>
  <c r="C488" i="5"/>
  <c r="C482" i="5"/>
  <c r="AB84" i="5"/>
  <c r="BI83" i="5"/>
  <c r="AC84" i="5"/>
  <c r="BJ83" i="5"/>
  <c r="AF87" i="5"/>
  <c r="BL86" i="5"/>
  <c r="C509" i="5"/>
  <c r="AG87" i="5"/>
  <c r="BM86" i="5"/>
  <c r="AF90" i="5"/>
  <c r="BL87" i="5"/>
  <c r="C512" i="5"/>
  <c r="AG90" i="5"/>
  <c r="BM87" i="5"/>
  <c r="BI30" i="5"/>
  <c r="K166" i="5"/>
  <c r="L166" i="5"/>
  <c r="C294" i="5"/>
  <c r="BL81" i="5"/>
  <c r="AF82" i="5"/>
  <c r="AZ23" i="5"/>
  <c r="V7" i="5"/>
  <c r="V11" i="5"/>
  <c r="C415" i="5"/>
  <c r="AY22" i="5"/>
  <c r="AZ22" i="5"/>
  <c r="V6" i="5"/>
  <c r="V8" i="5"/>
  <c r="C416" i="5"/>
  <c r="K165" i="5"/>
  <c r="L165" i="5"/>
  <c r="C293" i="5"/>
  <c r="BI28" i="5"/>
  <c r="BA23" i="5"/>
  <c r="X6" i="5"/>
  <c r="X5" i="5"/>
  <c r="BM8" i="5"/>
  <c r="C481" i="5"/>
  <c r="AB83" i="5"/>
  <c r="AC83" i="5"/>
  <c r="C515" i="5"/>
  <c r="AG93" i="5"/>
  <c r="AF93" i="5"/>
  <c r="L161" i="5"/>
  <c r="K161" i="5"/>
  <c r="C289" i="5"/>
  <c r="K164" i="5"/>
  <c r="L164" i="5"/>
  <c r="C292" i="5"/>
  <c r="AC82" i="5"/>
  <c r="BJ81" i="5"/>
  <c r="AS22" i="5"/>
  <c r="AE73" i="5"/>
  <c r="C447" i="5"/>
  <c r="BJ30" i="5"/>
  <c r="H26" i="7"/>
  <c r="H27" i="7"/>
  <c r="J25" i="7"/>
  <c r="J26" i="7"/>
  <c r="J27" i="7"/>
  <c r="V25" i="7"/>
  <c r="V26" i="7"/>
  <c r="V27" i="7"/>
  <c r="R25" i="7"/>
  <c r="R26" i="7"/>
  <c r="R27" i="7"/>
  <c r="N25" i="7"/>
  <c r="N26" i="7"/>
  <c r="N27" i="7"/>
  <c r="AB89" i="5"/>
  <c r="AC89" i="5"/>
  <c r="C487" i="5"/>
  <c r="AC91" i="5"/>
  <c r="C489" i="5"/>
  <c r="AB91" i="5"/>
  <c r="Z43" i="5"/>
  <c r="Z41" i="5"/>
  <c r="AF86" i="5"/>
  <c r="BL85" i="5"/>
  <c r="C508" i="5"/>
  <c r="AG86" i="5"/>
  <c r="BM85" i="5"/>
  <c r="AQ23" i="5"/>
  <c r="F5" i="5"/>
  <c r="F7" i="5"/>
  <c r="AG73" i="5"/>
  <c r="BM73" i="5"/>
  <c r="Z19" i="5"/>
  <c r="AC95" i="5"/>
  <c r="AB94" i="5"/>
  <c r="C492" i="5"/>
  <c r="AB95" i="5"/>
  <c r="AC94" i="5"/>
  <c r="Z15" i="5"/>
  <c r="AL9" i="5"/>
  <c r="C403" i="5"/>
  <c r="D27" i="5"/>
  <c r="D33" i="5"/>
  <c r="C665" i="5"/>
  <c r="D30" i="5"/>
  <c r="C404" i="5"/>
  <c r="AG88" i="5"/>
  <c r="AF88" i="5"/>
  <c r="C510" i="5"/>
  <c r="AB92" i="5"/>
  <c r="AC92" i="5"/>
  <c r="C490" i="5"/>
  <c r="C507" i="5"/>
  <c r="AG85" i="5"/>
  <c r="BM84" i="5"/>
  <c r="AF85" i="5"/>
  <c r="BL84" i="5"/>
  <c r="AF84" i="5"/>
  <c r="BL83" i="5"/>
  <c r="AG84" i="5"/>
  <c r="BM83" i="5"/>
  <c r="C506" i="5"/>
  <c r="BL8" i="5"/>
  <c r="C423" i="5"/>
  <c r="AA73" i="5"/>
  <c r="C290" i="5"/>
  <c r="L162" i="5"/>
  <c r="K162" i="5"/>
  <c r="AF34" i="5"/>
  <c r="AG34" i="5"/>
  <c r="Y8" i="5"/>
  <c r="C412" i="5"/>
  <c r="AG83" i="5"/>
  <c r="C505" i="5"/>
  <c r="AF83" i="5"/>
  <c r="C491" i="5"/>
  <c r="AC93" i="5"/>
  <c r="AB93" i="5"/>
  <c r="C514" i="5"/>
  <c r="AG92" i="5"/>
  <c r="AF92" i="5"/>
  <c r="Z45" i="5"/>
  <c r="AF28" i="5"/>
  <c r="BM81" i="5"/>
  <c r="AG82" i="5"/>
  <c r="BI80" i="5"/>
  <c r="AB81" i="5"/>
  <c r="AG110" i="5"/>
  <c r="AF109" i="5"/>
  <c r="AF111" i="5"/>
  <c r="AF110" i="5"/>
  <c r="AG111" i="5"/>
  <c r="AG109" i="5"/>
  <c r="AF112" i="5"/>
  <c r="AG112" i="5"/>
  <c r="AR23" i="5"/>
  <c r="G5" i="5"/>
  <c r="AR22" i="5"/>
  <c r="G7" i="5"/>
  <c r="K160" i="5"/>
  <c r="C288" i="5"/>
  <c r="L160" i="5"/>
  <c r="O5" i="5"/>
  <c r="AK23" i="5"/>
  <c r="O6" i="5"/>
  <c r="AJ1" i="5"/>
  <c r="AL55" i="5"/>
  <c r="AG96" i="5"/>
  <c r="BM82" i="5"/>
  <c r="BJ82" i="5"/>
  <c r="AC96" i="5"/>
  <c r="J29" i="5"/>
  <c r="J28" i="5"/>
  <c r="BI81" i="5"/>
  <c r="AB82" i="5"/>
  <c r="AB96" i="5"/>
  <c r="BI82" i="5"/>
  <c r="V29" i="5"/>
  <c r="Y29" i="5"/>
  <c r="Y28" i="5"/>
  <c r="M28" i="5"/>
  <c r="M29" i="5"/>
  <c r="V28" i="5"/>
  <c r="AF96" i="5"/>
  <c r="BL82" i="5"/>
  <c r="D28" i="5"/>
  <c r="D29" i="5"/>
  <c r="I6" i="5"/>
  <c r="AS23" i="5"/>
  <c r="I7" i="5"/>
  <c r="AL56" i="5"/>
  <c r="U6" i="5"/>
  <c r="AY23" i="5"/>
  <c r="U7" i="5"/>
</calcChain>
</file>

<file path=xl/comments1.xml><?xml version="1.0" encoding="utf-8"?>
<comments xmlns="http://schemas.openxmlformats.org/spreadsheetml/2006/main">
  <authors>
    <author>User</author>
    <author>Simcox_O</author>
    <author>Administrator</author>
  </authors>
  <commentList>
    <comment ref="L1" authorId="0" shapeId="0">
      <text>
        <r>
          <rPr>
            <b/>
            <sz val="8"/>
            <color indexed="81"/>
            <rFont val="Tahoma"/>
            <family val="2"/>
          </rPr>
          <t>07/02/08: Warnings if - 
[3002]&lt;&gt;50, [3003] &lt;&gt;40,  [3004] &lt;&gt;75, [3162A]&lt;&gt;338, [3163A] &lt;&gt;122,  [3164] &lt;1.7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19/05/08:   Generator Trafo Apps added
29/05/08:   Cell reference for Z5 timing corrected </t>
        </r>
        <r>
          <rPr>
            <sz val="8"/>
            <color indexed="81"/>
            <rFont val="Tahoma"/>
            <family val="2"/>
          </rPr>
          <t>(only impacts on 7SA611 where X3&gt;&gt;X5 only)</t>
        </r>
        <r>
          <rPr>
            <b/>
            <sz val="8"/>
            <color indexed="81"/>
            <rFont val="Tahoma"/>
            <family val="2"/>
          </rPr>
          <t xml:space="preserve">
                  "AR  Dead Time" cross check against "Line open before SOTF [1133A] added</t>
        </r>
        <r>
          <rPr>
            <sz val="8"/>
            <color indexed="81"/>
            <rFont val="Tahoma"/>
            <family val="2"/>
          </rPr>
          <t xml:space="preserve"> (7SA611apps only)
</t>
        </r>
        <r>
          <rPr>
            <b/>
            <sz val="8"/>
            <color indexed="81"/>
            <rFont val="Tahoma"/>
            <family val="2"/>
          </rPr>
          <t>26/06/08: Cell references corrected for timing test buttons 
02/01/09: Min Rev V set to 1.5 when Zone 5 is only reverse zone (MOL very short reverse zone)
07/01/09: Min Forward Manual Timing Test voltage reduced to cater for extremly long Zone 4 compared to Zone 1 (50/1)
16/04/09: Voltage calculation for manual timing tests modified for arc-suppressed systems
                    7SD522 support added
22/09/09: EF Calcs Primary values added
27/10/09: Rounding of test currents changed for Timing macros
25/11/09: Test Voltages corrected for 7SA611 E/Fault timing tests
                    Warning dialogue box added when E/F load-encroachment is not set to Infinity
02/03/10: Max Voltage for Reverse faults corrected
                    Phase selection and clipboard support for E/Fault manual timing tests added 
15/06/10: Warning messages added for Differential SOTF settings
                    Differential 'Calibration' measurands message box enhanced
21/06/10: Voltage angles corrected for manual timing tests corrected (E/F loops only)
                    GPS current angles corrected (7SD522, CT starpoint towards the line only)
                    Quadrant 4 E/F directional limit and graphic plot corrected
29/06/10: Reverse healthy phase angles for arc-suppressed systems corrected.
13/07/10: Dead Times added to automate AR logic SSIMUL macros
10/10/10: Fault Models and Fault Locator added.
27/10/10: SOTF Min Voltage reduced to 2%</t>
        </r>
      </text>
    </comment>
    <comment ref="R7" authorId="0" shapeId="0">
      <text>
        <r>
          <rPr>
            <b/>
            <sz val="8"/>
            <color indexed="81"/>
            <rFont val="Tahoma"/>
            <family val="2"/>
          </rPr>
          <t>Scaler for nominal current:</t>
        </r>
        <r>
          <rPr>
            <sz val="8"/>
            <color indexed="81"/>
            <rFont val="Tahoma"/>
            <family val="2"/>
          </rPr>
          <t xml:space="preserve">
In 7SA61x, all settings are directly in Ohms, Amps etc. rather than multiples of In.
 Hence always equal to '1' </t>
        </r>
      </text>
    </comment>
    <comment ref="M9" authorId="0" shapeId="0">
      <text>
        <r>
          <rPr>
            <b/>
            <sz val="8"/>
            <color indexed="81"/>
            <rFont val="Tahoma"/>
            <family val="2"/>
          </rPr>
          <t xml:space="preserve">7SA611 Defaults:
0.25 on Trafos, 1.5s on Lines 
</t>
        </r>
        <r>
          <rPr>
            <sz val="8"/>
            <color indexed="81"/>
            <rFont val="Tahoma"/>
            <family val="2"/>
          </rPr>
          <t>Must be 500ms longer than AR Dead Time [3457]</t>
        </r>
        <r>
          <rPr>
            <b/>
            <sz val="8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8"/>
            <color indexed="81"/>
            <rFont val="Tahoma"/>
            <family val="2"/>
          </rPr>
          <t>7SA611:
Standard setting 0.05s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6" authorId="1" shapeId="0">
      <text>
        <r>
          <rPr>
            <b/>
            <sz val="8"/>
            <color indexed="81"/>
            <rFont val="Tahoma"/>
            <family val="2"/>
          </rPr>
          <t>7SA611 / 38kV applications only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8"/>
            <color indexed="81"/>
            <rFont val="Tahoma"/>
            <family val="2"/>
          </rPr>
          <t>Default = 50V.
Confirm any changes with Setting provider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27" authorId="2" shapeId="0">
      <text>
        <r>
          <rPr>
            <b/>
            <sz val="8"/>
            <color indexed="81"/>
            <rFont val="Tahoma"/>
            <family val="2"/>
          </rPr>
          <t>Enter 'oo' for Infinity</t>
        </r>
      </text>
    </comment>
    <comment ref="H27" authorId="2" shapeId="0">
      <text>
        <r>
          <rPr>
            <b/>
            <sz val="8"/>
            <color indexed="81"/>
            <rFont val="Tahoma"/>
            <family val="2"/>
          </rPr>
          <t>Enter 'oo' for Infinity</t>
        </r>
      </text>
    </comment>
    <comment ref="K27" authorId="1" shapeId="0">
      <text>
        <r>
          <rPr>
            <b/>
            <sz val="8"/>
            <color indexed="81"/>
            <rFont val="Tahoma"/>
            <family val="2"/>
          </rPr>
          <t>Default = 40V.
Confirm any changes with Setting provider</t>
        </r>
      </text>
    </comment>
    <comment ref="M27" authorId="1" shapeId="0">
      <text>
        <r>
          <rPr>
            <b/>
            <sz val="8"/>
            <color indexed="81"/>
            <rFont val="Tahoma"/>
            <family val="2"/>
          </rPr>
          <t>Default = 75V.
Confirm any changes with Setting provider</t>
        </r>
      </text>
    </comment>
    <comment ref="D28" authorId="2" shapeId="0">
      <text>
        <r>
          <rPr>
            <b/>
            <sz val="8"/>
            <color indexed="81"/>
            <rFont val="Tahoma"/>
            <family val="2"/>
          </rPr>
          <t>Enter 'oo' for Infinity</t>
        </r>
      </text>
    </comment>
    <comment ref="H28" authorId="2" shapeId="0">
      <text>
        <r>
          <rPr>
            <b/>
            <sz val="8"/>
            <color indexed="81"/>
            <rFont val="Tahoma"/>
            <family val="2"/>
          </rPr>
          <t>Enter 'oo' for Infinity</t>
        </r>
      </text>
    </comment>
    <comment ref="L30" authorId="1" shapeId="0">
      <text>
        <r>
          <rPr>
            <b/>
            <sz val="8"/>
            <color indexed="81"/>
            <rFont val="Tahoma"/>
            <family val="2"/>
          </rPr>
          <t>7SA611 / 38kV applications only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E31" authorId="1" shapeId="0">
      <text>
        <r>
          <rPr>
            <b/>
            <sz val="8"/>
            <color indexed="81"/>
            <rFont val="Tahoma"/>
            <family val="2"/>
          </rPr>
          <t>Default setting of 1.7 should not be changed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32" authorId="1" shapeId="0">
      <text>
        <r>
          <rPr>
            <b/>
            <sz val="8"/>
            <color indexed="81"/>
            <rFont val="Tahoma"/>
            <family val="2"/>
          </rPr>
          <t>Default Angles of 338 &amp; 122 should not be changed.</t>
        </r>
      </text>
    </comment>
    <comment ref="AA35" authorId="0" shapeId="0">
      <text>
        <r>
          <rPr>
            <b/>
            <sz val="8"/>
            <color indexed="81"/>
            <rFont val="Tahoma"/>
            <family val="2"/>
          </rPr>
          <t>If VTs are NOT connected, DIFIC must be set to zero
   or
If VTs are connected, appropriate setting should be applied  to DIFIC</t>
        </r>
      </text>
    </comment>
    <comment ref="E38" authorId="0" shapeId="0">
      <text>
        <r>
          <rPr>
            <b/>
            <sz val="8"/>
            <color indexed="81"/>
            <rFont val="Tahoma"/>
            <family val="2"/>
          </rPr>
          <t>Networks Policy is to set I-Diff &gt;SOTF equal to I-Diff &gt;PU
Check with Setting Provider if they are different.
SOTF must not be set less than PU.</t>
        </r>
      </text>
    </comment>
    <comment ref="M38" authorId="0" shapeId="0">
      <text>
        <r>
          <rPr>
            <b/>
            <sz val="8"/>
            <color indexed="81"/>
            <rFont val="Tahoma"/>
            <family val="2"/>
          </rPr>
          <t>Networks Policy is to set I-Di</t>
        </r>
        <r>
          <rPr>
            <b/>
            <sz val="8"/>
            <color indexed="81"/>
            <rFont val="Tahoma"/>
            <family val="2"/>
          </rPr>
          <t xml:space="preserve">ff&gt;&gt; </t>
        </r>
        <r>
          <rPr>
            <b/>
            <sz val="8"/>
            <color indexed="81"/>
            <rFont val="Tahoma"/>
            <family val="2"/>
          </rPr>
          <t>SOTF equal to I-Diff &gt;&gt;PU
Check with Setting Provider if they are different.
SOTF must not be set less than PU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Oliver Simcox</author>
  </authors>
  <commentList>
    <comment ref="C61" authorId="0" shapeId="0">
      <text>
        <r>
          <rPr>
            <b/>
            <sz val="8"/>
            <color indexed="81"/>
            <rFont val="Tahoma"/>
            <family val="2"/>
          </rPr>
          <t>White Text on Grey Background indicates NO OP because test current is less than setting for Min. Iph&gt;.</t>
        </r>
      </text>
    </comment>
    <comment ref="D61" authorId="0" shapeId="0">
      <text>
        <r>
          <rPr>
            <b/>
            <sz val="8"/>
            <color indexed="81"/>
            <rFont val="Tahoma"/>
            <family val="2"/>
          </rPr>
          <t>White Text on Grey Background indicates NO OP because test current is less than setting for Min. Iph&gt;.</t>
        </r>
      </text>
    </comment>
    <comment ref="C63" authorId="0" shapeId="0">
      <text>
        <r>
          <rPr>
            <b/>
            <sz val="8"/>
            <color indexed="81"/>
            <rFont val="Tahoma"/>
            <family val="2"/>
          </rPr>
          <t>If test currents are too high to time all zones in one macro, reduce the test voltage to test inner Zones.</t>
        </r>
      </text>
    </comment>
  </commentList>
</comments>
</file>

<file path=xl/comments3.xml><?xml version="1.0" encoding="utf-8"?>
<comments xmlns="http://schemas.openxmlformats.org/spreadsheetml/2006/main">
  <authors>
    <author>Simcox_O</author>
    <author>User</author>
  </authors>
  <commentList>
    <comment ref="C20" authorId="0" shapeId="0">
      <text>
        <r>
          <rPr>
            <b/>
            <sz val="8"/>
            <color indexed="81"/>
            <rFont val="Tahoma"/>
            <family val="2"/>
          </rPr>
          <t>Orange background indicates clipping of transferred current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J24" authorId="1" shapeId="0">
      <text>
        <r>
          <rPr>
            <b/>
            <sz val="8"/>
            <color indexed="81"/>
            <rFont val="Tahoma"/>
            <family val="2"/>
          </rPr>
          <t>Additional 5% restraining added due to additional standing restraint.</t>
        </r>
      </text>
    </comment>
  </commentList>
</comments>
</file>

<file path=xl/comments4.xml><?xml version="1.0" encoding="utf-8"?>
<comments xmlns="http://schemas.openxmlformats.org/spreadsheetml/2006/main">
  <authors>
    <author>Simcox_O</author>
  </authors>
  <commentList>
    <comment ref="B13" authorId="0" shapeId="0">
      <text>
        <r>
          <rPr>
            <b/>
            <sz val="8"/>
            <color indexed="81"/>
            <rFont val="Tahoma"/>
            <family val="2"/>
          </rPr>
          <t>Simcox_O:</t>
        </r>
        <r>
          <rPr>
            <sz val="8"/>
            <color indexed="81"/>
            <rFont val="Tahoma"/>
            <family val="2"/>
          </rPr>
          <t xml:space="preserve">
Do not move from B13, This cell is forced to test voltage by 'ProTesT' button </t>
        </r>
      </text>
    </comment>
    <comment ref="B31" authorId="0" shapeId="0">
      <text>
        <r>
          <rPr>
            <b/>
            <sz val="8"/>
            <color indexed="81"/>
            <rFont val="Tahoma"/>
            <family val="2"/>
          </rPr>
          <t>Simcox_O:</t>
        </r>
        <r>
          <rPr>
            <sz val="8"/>
            <color indexed="81"/>
            <rFont val="Tahoma"/>
            <family val="2"/>
          </rPr>
          <t xml:space="preserve">
Do not move from B31, This cell is forced to test voltage by 'ProTesT' button </t>
        </r>
      </text>
    </comment>
  </commentList>
</comments>
</file>

<file path=xl/sharedStrings.xml><?xml version="1.0" encoding="utf-8"?>
<sst xmlns="http://schemas.openxmlformats.org/spreadsheetml/2006/main" count="1304" uniqueCount="1009">
  <si>
    <t>Station:</t>
  </si>
  <si>
    <t>Feeder:</t>
  </si>
  <si>
    <t>Direction Limits</t>
  </si>
  <si>
    <t>Type=</t>
  </si>
  <si>
    <t>Phase - Phase</t>
  </si>
  <si>
    <t>Phase - Earth</t>
  </si>
  <si>
    <t>Op.Time</t>
  </si>
  <si>
    <t>Dir T4=</t>
  </si>
  <si>
    <t>General Settings:</t>
  </si>
  <si>
    <t>Starpoint=</t>
  </si>
  <si>
    <t>Zone Settings:</t>
  </si>
  <si>
    <t>CTStarPoint</t>
  </si>
  <si>
    <t>Zone 1</t>
  </si>
  <si>
    <t>Zone 2</t>
  </si>
  <si>
    <t>Zone 3</t>
  </si>
  <si>
    <t>Zone 1B</t>
  </si>
  <si>
    <t>Delta Angle:</t>
  </si>
  <si>
    <t>Result =&gt;</t>
  </si>
  <si>
    <t>Convert for CT Starpoint</t>
  </si>
  <si>
    <t>Dir.1</t>
  </si>
  <si>
    <t>Dir.2</t>
  </si>
  <si>
    <t>Dir.3</t>
  </si>
  <si>
    <t>Dir.1B</t>
  </si>
  <si>
    <t>Phase to Phase Faults</t>
  </si>
  <si>
    <t>Ph-Ph Plot Data</t>
  </si>
  <si>
    <t>Ph-E Plot Data</t>
  </si>
  <si>
    <t>R</t>
  </si>
  <si>
    <t>X</t>
  </si>
  <si>
    <t>Test Voltages /Angles</t>
  </si>
  <si>
    <t>Pulse Duration (Cycles)</t>
  </si>
  <si>
    <t>0-180:</t>
  </si>
  <si>
    <t>180-360:</t>
  </si>
  <si>
    <t>Ang</t>
  </si>
  <si>
    <t>Imp</t>
  </si>
  <si>
    <t>Zone1</t>
  </si>
  <si>
    <t>Zone2</t>
  </si>
  <si>
    <t>Imped.</t>
  </si>
  <si>
    <t>V</t>
  </si>
  <si>
    <t>Deg.</t>
  </si>
  <si>
    <t>Zone3</t>
  </si>
  <si>
    <t>Zone1B</t>
  </si>
  <si>
    <t>Phase to Earth Faults</t>
  </si>
  <si>
    <t>Faulty Phase    R, S, T</t>
  </si>
  <si>
    <t>Healthy Phase  S, T, R</t>
  </si>
  <si>
    <t>Healthy Phase  T, R, S</t>
  </si>
  <si>
    <t>Time</t>
  </si>
  <si>
    <t>Ph-Ph</t>
  </si>
  <si>
    <t>Ph-E</t>
  </si>
  <si>
    <t>[ms]</t>
  </si>
  <si>
    <t>Zone 1,</t>
  </si>
  <si>
    <t>Zone 1B,</t>
  </si>
  <si>
    <t>Zone 2,</t>
  </si>
  <si>
    <t>Voltage for Timing Tests</t>
  </si>
  <si>
    <t>Test Angle, +/-</t>
  </si>
  <si>
    <t>Magnitude [V]</t>
  </si>
  <si>
    <t>Delta Ang</t>
  </si>
  <si>
    <t>Starting</t>
  </si>
  <si>
    <t>Scheme</t>
  </si>
  <si>
    <t>Scheme:</t>
  </si>
  <si>
    <t>Test Current Phase-Angle</t>
  </si>
  <si>
    <t>Forward:</t>
  </si>
  <si>
    <t>Reverse:</t>
  </si>
  <si>
    <t>Current Limit:</t>
  </si>
  <si>
    <t>K Factor:</t>
  </si>
  <si>
    <t/>
  </si>
  <si>
    <t>In=</t>
  </si>
  <si>
    <t>Station</t>
  </si>
  <si>
    <t>Feeder</t>
  </si>
  <si>
    <t>Fault Voltage</t>
  </si>
  <si>
    <t>Spinner Value</t>
  </si>
  <si>
    <t>V Scaler</t>
  </si>
  <si>
    <t>Angle</t>
  </si>
  <si>
    <t>Z1B Released</t>
  </si>
  <si>
    <t>No Overreach</t>
  </si>
  <si>
    <t>Disp.Z2</t>
  </si>
  <si>
    <t>R-S</t>
  </si>
  <si>
    <t>S-T</t>
  </si>
  <si>
    <t>T-R</t>
  </si>
  <si>
    <t>Z1</t>
  </si>
  <si>
    <t>Z1B</t>
  </si>
  <si>
    <t>Z2</t>
  </si>
  <si>
    <t>Z3</t>
  </si>
  <si>
    <t>Faulty Ph2</t>
  </si>
  <si>
    <t>Faulty Ph1</t>
  </si>
  <si>
    <t>Healthy Ph</t>
  </si>
  <si>
    <t>VA</t>
  </si>
  <si>
    <t>VB</t>
  </si>
  <si>
    <t>VC</t>
  </si>
  <si>
    <t>Selection</t>
  </si>
  <si>
    <t>Extremely Inverse</t>
  </si>
  <si>
    <t>Normal Inverse</t>
  </si>
  <si>
    <t>Very Inverse</t>
  </si>
  <si>
    <t>[3303] Ie&gt;</t>
  </si>
  <si>
    <t>[3304] Delay Time</t>
  </si>
  <si>
    <t>I/Ie</t>
  </si>
  <si>
    <t>A/Ph</t>
  </si>
  <si>
    <t>Inverse Time E/F</t>
  </si>
  <si>
    <t>Time [s]</t>
  </si>
  <si>
    <t>A / Ph</t>
  </si>
  <si>
    <t>SOTF</t>
  </si>
  <si>
    <t>Z1 effective</t>
  </si>
  <si>
    <t>Fault detection</t>
  </si>
  <si>
    <r>
      <t>ProTest Volts (</t>
    </r>
    <r>
      <rPr>
        <i/>
        <sz val="8"/>
        <rFont val="Arial"/>
        <family val="2"/>
      </rPr>
      <t>Fault V</t>
    </r>
    <r>
      <rPr>
        <sz val="8"/>
        <rFont val="Arial"/>
        <family val="2"/>
      </rPr>
      <t>)</t>
    </r>
  </si>
  <si>
    <t>Max. Reach @ Fault V</t>
  </si>
  <si>
    <t>Min Op</t>
  </si>
  <si>
    <t>Phase-Phase</t>
  </si>
  <si>
    <t>Phase-Earth</t>
  </si>
  <si>
    <t>Z1B Non Dir.</t>
  </si>
  <si>
    <t>Emergency O/C</t>
  </si>
  <si>
    <t>Phase</t>
  </si>
  <si>
    <t>Earth</t>
  </si>
  <si>
    <t>[A]</t>
  </si>
  <si>
    <t>Tol +</t>
  </si>
  <si>
    <t>Tol -</t>
  </si>
  <si>
    <t>Emergency Over-Current</t>
  </si>
  <si>
    <t>Basic Dir.</t>
  </si>
  <si>
    <t xml:space="preserve">Resultant </t>
  </si>
  <si>
    <t>Load Angle</t>
  </si>
  <si>
    <t>Max Rch</t>
  </si>
  <si>
    <t>Load Plot</t>
  </si>
  <si>
    <t>Voltage Plot</t>
  </si>
  <si>
    <t>Current Plot</t>
  </si>
  <si>
    <t>Inverse Time E. Fault</t>
  </si>
  <si>
    <t>[s]</t>
  </si>
  <si>
    <t>Imp Ph-E</t>
  </si>
  <si>
    <t>Back-Up Over-Current</t>
  </si>
  <si>
    <t>Back-Up O/C</t>
  </si>
  <si>
    <t>Back-Up OverCurrent</t>
  </si>
  <si>
    <t>Switch On To Fault:</t>
  </si>
  <si>
    <t>[2404]   Isc</t>
  </si>
  <si>
    <t>Ph Setting</t>
  </si>
  <si>
    <t>EF Setting</t>
  </si>
  <si>
    <t>SOTF Test Voltage</t>
  </si>
  <si>
    <t>SOTF Isc</t>
  </si>
  <si>
    <t>InvEF_1</t>
  </si>
  <si>
    <t>InvEF_2</t>
  </si>
  <si>
    <t>InvEF_3</t>
  </si>
  <si>
    <t>InvEF_4</t>
  </si>
  <si>
    <t>InvEF_5</t>
  </si>
  <si>
    <t>InvEF_6</t>
  </si>
  <si>
    <t>InvEF_7</t>
  </si>
  <si>
    <t>InvEF_8</t>
  </si>
  <si>
    <t>InvEF_t1</t>
  </si>
  <si>
    <t>InvEF_t2</t>
  </si>
  <si>
    <t>InvEF_t3</t>
  </si>
  <si>
    <t>InvEF_t4</t>
  </si>
  <si>
    <t>InvEF_t5</t>
  </si>
  <si>
    <t>InvEF_t6</t>
  </si>
  <si>
    <t>InvEF_t7</t>
  </si>
  <si>
    <t>EM_I_t1</t>
  </si>
  <si>
    <t>EM_I_t2</t>
  </si>
  <si>
    <t>EM_Ie_t1</t>
  </si>
  <si>
    <t>EM_Ie_t2</t>
  </si>
  <si>
    <t>FI1</t>
  </si>
  <si>
    <t>FI2</t>
  </si>
  <si>
    <t>FI3</t>
  </si>
  <si>
    <t>FI4</t>
  </si>
  <si>
    <t>FI5</t>
  </si>
  <si>
    <t>FI6</t>
  </si>
  <si>
    <t>FI7</t>
  </si>
  <si>
    <t>FI8</t>
  </si>
  <si>
    <t>FI9</t>
  </si>
  <si>
    <t>FI10</t>
  </si>
  <si>
    <t>FI11</t>
  </si>
  <si>
    <t>RI1</t>
  </si>
  <si>
    <t>RI2</t>
  </si>
  <si>
    <t>RI3</t>
  </si>
  <si>
    <t>RI4</t>
  </si>
  <si>
    <t>RI5</t>
  </si>
  <si>
    <t>FIe1</t>
  </si>
  <si>
    <t>FIe2</t>
  </si>
  <si>
    <t>FIe3</t>
  </si>
  <si>
    <t>FIe4</t>
  </si>
  <si>
    <t>FIe5</t>
  </si>
  <si>
    <t>FIe6</t>
  </si>
  <si>
    <t>FIe7</t>
  </si>
  <si>
    <t>FIe8</t>
  </si>
  <si>
    <t>FIe9</t>
  </si>
  <si>
    <t>FIe10</t>
  </si>
  <si>
    <t>RIe1</t>
  </si>
  <si>
    <t>RIe2</t>
  </si>
  <si>
    <t>RIe3</t>
  </si>
  <si>
    <t>RIe4</t>
  </si>
  <si>
    <t>RIe5</t>
  </si>
  <si>
    <t>Ft1</t>
  </si>
  <si>
    <t>Ft2</t>
  </si>
  <si>
    <t>Ft3</t>
  </si>
  <si>
    <t>Ft4</t>
  </si>
  <si>
    <t>Ft5</t>
  </si>
  <si>
    <t>Ft6</t>
  </si>
  <si>
    <t>Ft7</t>
  </si>
  <si>
    <t>Ft8</t>
  </si>
  <si>
    <t>Ft9</t>
  </si>
  <si>
    <t>Ft10</t>
  </si>
  <si>
    <t>Rt1</t>
  </si>
  <si>
    <t>Rt2</t>
  </si>
  <si>
    <t>Rt3</t>
  </si>
  <si>
    <t>Rt4</t>
  </si>
  <si>
    <t>Rte_1</t>
  </si>
  <si>
    <t>Rte_2</t>
  </si>
  <si>
    <t>Rte_3</t>
  </si>
  <si>
    <t>Rte_4</t>
  </si>
  <si>
    <t>Fte_1</t>
  </si>
  <si>
    <t>Fte_2</t>
  </si>
  <si>
    <t>Fte_3</t>
  </si>
  <si>
    <t>Fte_4</t>
  </si>
  <si>
    <t>Fte_5</t>
  </si>
  <si>
    <t>Fte_6</t>
  </si>
  <si>
    <t>Fte_7</t>
  </si>
  <si>
    <t>Fte_8</t>
  </si>
  <si>
    <t>Fte_9</t>
  </si>
  <si>
    <t>Fte_10</t>
  </si>
  <si>
    <t>Vh</t>
  </si>
  <si>
    <t>Tol</t>
  </si>
  <si>
    <t>EM_Ie_1</t>
  </si>
  <si>
    <t>EM_Ie_2</t>
  </si>
  <si>
    <t>EM_Ie_3</t>
  </si>
  <si>
    <t>EM_Ie_4</t>
  </si>
  <si>
    <t>EM_Ie_5</t>
  </si>
  <si>
    <t>EM_Ie_6</t>
  </si>
  <si>
    <t>EM_I_1</t>
  </si>
  <si>
    <t>EM_I_2</t>
  </si>
  <si>
    <t>EM_I_3</t>
  </si>
  <si>
    <t>EM_I_4</t>
  </si>
  <si>
    <t>EM_I_5</t>
  </si>
  <si>
    <t>EM_I_6</t>
  </si>
  <si>
    <t>Inv_Ang</t>
  </si>
  <si>
    <t>VfRev</t>
  </si>
  <si>
    <t>VfFwd</t>
  </si>
  <si>
    <t>Ve_F</t>
  </si>
  <si>
    <t>Ve_R</t>
  </si>
  <si>
    <t>Fwd EF V</t>
  </si>
  <si>
    <t>Rev EF V</t>
  </si>
  <si>
    <t>FIe11</t>
  </si>
  <si>
    <t>In</t>
  </si>
  <si>
    <t>J_PU</t>
  </si>
  <si>
    <t>Je_PU</t>
  </si>
  <si>
    <t>E PU</t>
  </si>
  <si>
    <t>Ph PU</t>
  </si>
  <si>
    <t>ZFS_Flt_V</t>
  </si>
  <si>
    <t>ZFS_I_Limit</t>
  </si>
  <si>
    <t>ZFR_I_Limit</t>
  </si>
  <si>
    <t>ZFR_Flt_V</t>
  </si>
  <si>
    <t>Rev E Start Z</t>
  </si>
  <si>
    <t>Fwd E Start Z</t>
  </si>
  <si>
    <t>Rev Ph Start Z</t>
  </si>
  <si>
    <t>ZFSe_I_Limit</t>
  </si>
  <si>
    <t>ZFSe_Flt_V</t>
  </si>
  <si>
    <t>ZFRe_I_Limit</t>
  </si>
  <si>
    <t>ZFRe_Flt_V</t>
  </si>
  <si>
    <t>Z1_Cycles</t>
  </si>
  <si>
    <t>Z1B_Cycles</t>
  </si>
  <si>
    <t>Z2_Cycles</t>
  </si>
  <si>
    <t>Z3_Cycles</t>
  </si>
  <si>
    <t>Z1_V</t>
  </si>
  <si>
    <t>Z1B_V</t>
  </si>
  <si>
    <t>Z2_V</t>
  </si>
  <si>
    <t>Z3_V</t>
  </si>
  <si>
    <t>Z1e_V</t>
  </si>
  <si>
    <t>Z1Be_V</t>
  </si>
  <si>
    <t>Z2e_V</t>
  </si>
  <si>
    <t>Z3e_V</t>
  </si>
  <si>
    <t>Z1_I_Lim</t>
  </si>
  <si>
    <t>Z1B_I_Lim</t>
  </si>
  <si>
    <t>Z2_I_Lim</t>
  </si>
  <si>
    <t>Z3_I_Lim</t>
  </si>
  <si>
    <t>Z1e_I_Lim</t>
  </si>
  <si>
    <t>Z2e_I_Lim</t>
  </si>
  <si>
    <t>Z1Be_I_Lim</t>
  </si>
  <si>
    <t>Z3e_I_Lim</t>
  </si>
  <si>
    <t>Z1 Plot</t>
  </si>
  <si>
    <t>Z2 Plot</t>
  </si>
  <si>
    <t>Z1B Plot</t>
  </si>
  <si>
    <t>Z3 Plot</t>
  </si>
  <si>
    <t>SOTF_V</t>
  </si>
  <si>
    <t>SOTF_I_Lim</t>
  </si>
  <si>
    <t>SOTFe_V</t>
  </si>
  <si>
    <t>SOTFe_I_Lim</t>
  </si>
  <si>
    <t>Z1B Acceleration</t>
  </si>
  <si>
    <t>PUTT_V</t>
  </si>
  <si>
    <t>PUTT_I_Lim</t>
  </si>
  <si>
    <t>PUTTe_V</t>
  </si>
  <si>
    <t>PUTTe_I_Lim</t>
  </si>
  <si>
    <t>I_Ang</t>
  </si>
  <si>
    <t>Timing Macros</t>
  </si>
  <si>
    <t>Max_On</t>
  </si>
  <si>
    <t>Teleprotection</t>
  </si>
  <si>
    <t>Formatting Info</t>
  </si>
  <si>
    <t>ZPUTT_A1</t>
  </si>
  <si>
    <t>ZPUTT_A2</t>
  </si>
  <si>
    <t>ZPUTT_A3</t>
  </si>
  <si>
    <t>ZPUTT_A4</t>
  </si>
  <si>
    <t>ZPUTT_A5</t>
  </si>
  <si>
    <t>ZPUTT_A6</t>
  </si>
  <si>
    <t>ZPUTT_A7</t>
  </si>
  <si>
    <t>ZPUTT_A8</t>
  </si>
  <si>
    <t>ZPUTT_A9</t>
  </si>
  <si>
    <t>ZPUTT_A10</t>
  </si>
  <si>
    <t>ZPUTT_A11</t>
  </si>
  <si>
    <t>ZPUTT_A12</t>
  </si>
  <si>
    <t>ZPUTT_Z1</t>
  </si>
  <si>
    <t>ZPUTT_Z2</t>
  </si>
  <si>
    <t>ZPUTT_Z3</t>
  </si>
  <si>
    <t>ZPUTT_Z4</t>
  </si>
  <si>
    <t>ZPUTT_Z5</t>
  </si>
  <si>
    <t>ZPUTT_Z6</t>
  </si>
  <si>
    <t>ZPUTT_Z7</t>
  </si>
  <si>
    <t>ZPUTT_Z8</t>
  </si>
  <si>
    <t>ZPUTT_Z9</t>
  </si>
  <si>
    <t>ZPUTT_Z10</t>
  </si>
  <si>
    <t>ZPUTT_Z11</t>
  </si>
  <si>
    <t>ZPUTT_Z12</t>
  </si>
  <si>
    <t>ZSOTF_A1</t>
  </si>
  <si>
    <t>ZSOTF_A2</t>
  </si>
  <si>
    <t>ZSOTF_A3</t>
  </si>
  <si>
    <t>ZSOTF_A4</t>
  </si>
  <si>
    <t>ZSOTF_A5</t>
  </si>
  <si>
    <t>ZSOTF_A6</t>
  </si>
  <si>
    <t>ZSOTF_A7</t>
  </si>
  <si>
    <t>ZSOTF_A8</t>
  </si>
  <si>
    <t>ZSOTF_A9</t>
  </si>
  <si>
    <t>ZSOTF_A10</t>
  </si>
  <si>
    <t>ZSOTF_A11</t>
  </si>
  <si>
    <t>ZSOTF_A12</t>
  </si>
  <si>
    <t>ZSOTF_Z1</t>
  </si>
  <si>
    <t>ZSOTF_Z2</t>
  </si>
  <si>
    <t>ZSOTF_Z3</t>
  </si>
  <si>
    <t>ZSOTF_Z4</t>
  </si>
  <si>
    <t>ZSOTF_Z5</t>
  </si>
  <si>
    <t>ZSOTF_Z6</t>
  </si>
  <si>
    <t>ZSOTF_Z7</t>
  </si>
  <si>
    <t>ZSOTF_Z8</t>
  </si>
  <si>
    <t>ZSOTF_Z9</t>
  </si>
  <si>
    <t>ZSOTF_Z10</t>
  </si>
  <si>
    <t>ZSOTF_Z11</t>
  </si>
  <si>
    <t>ZSOTF_Z12</t>
  </si>
  <si>
    <t>ZPUTTe_A1</t>
  </si>
  <si>
    <t>ZPUTTe_A2</t>
  </si>
  <si>
    <t>ZPUTTe_A3</t>
  </si>
  <si>
    <t>ZPUTTe_A4</t>
  </si>
  <si>
    <t>ZPUTTe_A5</t>
  </si>
  <si>
    <t>ZPUTTe_A6</t>
  </si>
  <si>
    <t>ZPUTTe_A7</t>
  </si>
  <si>
    <t>ZPUTTe_A8</t>
  </si>
  <si>
    <t>ZPUTTe_A9</t>
  </si>
  <si>
    <t>ZPUTTe_A10</t>
  </si>
  <si>
    <t>ZPUTTe_A11</t>
  </si>
  <si>
    <t>ZPUTTe_A12</t>
  </si>
  <si>
    <t>ZPUTTe_Z1</t>
  </si>
  <si>
    <t>ZPUTTe_Z2</t>
  </si>
  <si>
    <t>ZPUTTe_Z3</t>
  </si>
  <si>
    <t>ZPUTTe_Z4</t>
  </si>
  <si>
    <t>ZPUTTe_Z5</t>
  </si>
  <si>
    <t>ZPUTTe_Z6</t>
  </si>
  <si>
    <t>ZPUTTe_Z7</t>
  </si>
  <si>
    <t>ZPUTTe_Z8</t>
  </si>
  <si>
    <t>ZPUTTe_Z9</t>
  </si>
  <si>
    <t>ZPUTTe_Z10</t>
  </si>
  <si>
    <t>ZPUTTe_Z11</t>
  </si>
  <si>
    <t>ZPUTTe_Z12</t>
  </si>
  <si>
    <t>ZSOTFe_A1</t>
  </si>
  <si>
    <t>ZSOTFe_A2</t>
  </si>
  <si>
    <t>ZSOTFe_A3</t>
  </si>
  <si>
    <t>ZSOTFe_A4</t>
  </si>
  <si>
    <t>ZSOTFe_A5</t>
  </si>
  <si>
    <t>ZSOTFe_A6</t>
  </si>
  <si>
    <t>ZSOTFe_A7</t>
  </si>
  <si>
    <t>ZSOTFe_A8</t>
  </si>
  <si>
    <t>ZSOTFe_A9</t>
  </si>
  <si>
    <t>ZSOTFe_A10</t>
  </si>
  <si>
    <t>ZSOTFe_A11</t>
  </si>
  <si>
    <t>ZSOTFe_A12</t>
  </si>
  <si>
    <t>ZSOTFe_Z1</t>
  </si>
  <si>
    <t>ZSOTFe_Z2</t>
  </si>
  <si>
    <t>ZSOTFe_Z3</t>
  </si>
  <si>
    <t>ZSOTFe_Z4</t>
  </si>
  <si>
    <t>ZSOTFe_Z5</t>
  </si>
  <si>
    <t>ZSOTFe_Z6</t>
  </si>
  <si>
    <t>ZSOTFe_Z7</t>
  </si>
  <si>
    <t>ZSOTFe_Z8</t>
  </si>
  <si>
    <t>ZSOTFe_Z9</t>
  </si>
  <si>
    <t>ZSOTFe_Z10</t>
  </si>
  <si>
    <t>ZSOTFe_Z11</t>
  </si>
  <si>
    <t>ZSOTFe_Z12</t>
  </si>
  <si>
    <t>[1116] RE/RL, Z1</t>
  </si>
  <si>
    <t>[1117] XE/XL, Z1</t>
  </si>
  <si>
    <t xml:space="preserve">[1118] RE/RL </t>
  </si>
  <si>
    <t xml:space="preserve">[1119] XE/XL </t>
  </si>
  <si>
    <t>Power System Data 1:</t>
  </si>
  <si>
    <t>Power System Data 2:</t>
  </si>
  <si>
    <t>[0201] CT Starpoint</t>
  </si>
  <si>
    <t>7SA612</t>
  </si>
  <si>
    <t>Zone 4</t>
  </si>
  <si>
    <t>Zone 5</t>
  </si>
  <si>
    <t>Dir.4</t>
  </si>
  <si>
    <t>Dir.5</t>
  </si>
  <si>
    <t>Z4_Cycles</t>
  </si>
  <si>
    <t>Z5_Cycles</t>
  </si>
  <si>
    <t>[0121] PTT mode</t>
  </si>
  <si>
    <t>PTT</t>
  </si>
  <si>
    <t>Z4</t>
  </si>
  <si>
    <t>Z5</t>
  </si>
  <si>
    <t>Z1B.</t>
  </si>
  <si>
    <t>Z1B NonDir</t>
  </si>
  <si>
    <t>FD</t>
  </si>
  <si>
    <t>A</t>
  </si>
  <si>
    <t>B</t>
  </si>
  <si>
    <t>C</t>
  </si>
  <si>
    <t>D</t>
  </si>
  <si>
    <t>E</t>
  </si>
  <si>
    <t>F</t>
  </si>
  <si>
    <t xml:space="preserve">GoNoGo Dir </t>
  </si>
  <si>
    <t>PTT mode:</t>
  </si>
  <si>
    <t>Man Cl:</t>
  </si>
  <si>
    <t>Z1B E.</t>
  </si>
  <si>
    <t>Z1B E NonDir</t>
  </si>
  <si>
    <t>FD E</t>
  </si>
  <si>
    <t>PTT Tx</t>
  </si>
  <si>
    <t>PTT E Tx</t>
  </si>
  <si>
    <t>I Limit</t>
  </si>
  <si>
    <t>PTT_Tx V</t>
  </si>
  <si>
    <t>PTT_TX_A1</t>
  </si>
  <si>
    <t>PTT_TX_A2</t>
  </si>
  <si>
    <t>PTT_TX_A3</t>
  </si>
  <si>
    <t>PTT_TX_A4</t>
  </si>
  <si>
    <t>PTT_TX_A5</t>
  </si>
  <si>
    <t>PTT_TX_A6</t>
  </si>
  <si>
    <t>PTT_TX_Z1</t>
  </si>
  <si>
    <t>PTT_TX_Z2</t>
  </si>
  <si>
    <t>PTT_TX_Z3</t>
  </si>
  <si>
    <t>PTT_TX_Z4</t>
  </si>
  <si>
    <t>PTT_TX_Z5</t>
  </si>
  <si>
    <t>PTT_TX_Z6</t>
  </si>
  <si>
    <t>PTT_TX_V</t>
  </si>
  <si>
    <t>PTT_Tx_I_Limit</t>
  </si>
  <si>
    <t>PTTe_TX_V</t>
  </si>
  <si>
    <t>PTTe_Tx_I_Limit</t>
  </si>
  <si>
    <t>PTTe_TX_A1</t>
  </si>
  <si>
    <t>PTTe_TX_A2</t>
  </si>
  <si>
    <t>PTTe_TX_A3</t>
  </si>
  <si>
    <t>PTTe_TX_A4</t>
  </si>
  <si>
    <t>PTTe_TX_A5</t>
  </si>
  <si>
    <t>PTTe_TX_A6</t>
  </si>
  <si>
    <t>PTTe_TX_Z1</t>
  </si>
  <si>
    <t>PTTe_TX_Z2</t>
  </si>
  <si>
    <t>PTTe_TX_Z3</t>
  </si>
  <si>
    <t>PTTe_TX_Z4</t>
  </si>
  <si>
    <t>PTTe_TX_Z5</t>
  </si>
  <si>
    <t>PTTe_TX_Z6</t>
  </si>
  <si>
    <t>PTTe_Tx V</t>
  </si>
  <si>
    <t>PTTe Tx</t>
  </si>
  <si>
    <t>PTT_Dir</t>
  </si>
  <si>
    <t>Start_Z1</t>
  </si>
  <si>
    <t>Start_Z2</t>
  </si>
  <si>
    <t>Start_Z3</t>
  </si>
  <si>
    <t>Start_Z4</t>
  </si>
  <si>
    <t>Start_V</t>
  </si>
  <si>
    <t>Start_I_Lim</t>
  </si>
  <si>
    <t>Carrier Start</t>
  </si>
  <si>
    <t>StartE_V</t>
  </si>
  <si>
    <t>StartE_I_Lim</t>
  </si>
  <si>
    <t>StartE_Z1</t>
  </si>
  <si>
    <t>StartE_Z2</t>
  </si>
  <si>
    <t>StartE_Z3</t>
  </si>
  <si>
    <t>StartE_Z4</t>
  </si>
  <si>
    <t>DCEF</t>
  </si>
  <si>
    <t>1.1*MaxReach</t>
  </si>
  <si>
    <t>Corner Angle</t>
  </si>
  <si>
    <t>Mag</t>
  </si>
  <si>
    <t>c</t>
  </si>
  <si>
    <t>b</t>
  </si>
  <si>
    <t>d</t>
  </si>
  <si>
    <t>1 Inactive</t>
  </si>
  <si>
    <t>[2611]   T Iph &gt;&gt;</t>
  </si>
  <si>
    <t>[2610]   Iph &gt;&gt;</t>
  </si>
  <si>
    <t>[2612]   3Io &gt;&gt;</t>
  </si>
  <si>
    <t>[2613]   T 3Io &gt;&gt;</t>
  </si>
  <si>
    <t>[2620]   Iph &gt;</t>
  </si>
  <si>
    <t>[2621]   T Iph &gt;</t>
  </si>
  <si>
    <t>[2622]   3Io &gt;</t>
  </si>
  <si>
    <t>[2623]   T 3I0 &gt;</t>
  </si>
  <si>
    <t>[3131]   3Io &gt;</t>
  </si>
  <si>
    <t>[3164] Min 3Uo</t>
  </si>
  <si>
    <t>DCEF_I</t>
  </si>
  <si>
    <t>DCEF_V</t>
  </si>
  <si>
    <t>[3162A] Alpha</t>
  </si>
  <si>
    <t>[3163A] Beta</t>
  </si>
  <si>
    <t>Alpha</t>
  </si>
  <si>
    <t>Beta</t>
  </si>
  <si>
    <t>[2505] U/V (ph-e)</t>
  </si>
  <si>
    <t>Weak Infeed</t>
  </si>
  <si>
    <t>WEI_UV</t>
  </si>
  <si>
    <t>a</t>
  </si>
  <si>
    <t>Slope</t>
  </si>
  <si>
    <t>Corner Mag</t>
  </si>
  <si>
    <t>x</t>
  </si>
  <si>
    <t>y</t>
  </si>
  <si>
    <t>z</t>
  </si>
  <si>
    <t>Backup (Emergency) Overcurrent Settings:</t>
  </si>
  <si>
    <t>PTT_TX_A7</t>
  </si>
  <si>
    <t>PTT_TX_Z7</t>
  </si>
  <si>
    <t>PTT_TX_A8</t>
  </si>
  <si>
    <t>PTT_TX_A9</t>
  </si>
  <si>
    <t>PTT_TX_Z8</t>
  </si>
  <si>
    <t>PTT_TX_Z9</t>
  </si>
  <si>
    <t>PTTe_TX_A7</t>
  </si>
  <si>
    <t>PTTe_TX_Z7</t>
  </si>
  <si>
    <t>Corner  2Ang</t>
  </si>
  <si>
    <t>m</t>
  </si>
  <si>
    <t>n</t>
  </si>
  <si>
    <t>o</t>
  </si>
  <si>
    <t>Fwd Blinder 1</t>
  </si>
  <si>
    <t>Fwd Blinder 2</t>
  </si>
  <si>
    <t>Rev Blinder 1</t>
  </si>
  <si>
    <t>Scaler</t>
  </si>
  <si>
    <t>ZE1</t>
  </si>
  <si>
    <t>ZE1B</t>
  </si>
  <si>
    <t>ZE2</t>
  </si>
  <si>
    <t>ZE3</t>
  </si>
  <si>
    <t>ZE4</t>
  </si>
  <si>
    <t>ZE5</t>
  </si>
  <si>
    <t>Corner 2 Mag</t>
  </si>
  <si>
    <t>Blinder Mag</t>
  </si>
  <si>
    <t>Blinder 1</t>
  </si>
  <si>
    <t>Blinder 2</t>
  </si>
  <si>
    <t>I</t>
  </si>
  <si>
    <t>Z1_A1</t>
  </si>
  <si>
    <t>Z1_A2</t>
  </si>
  <si>
    <t>Z1_A3</t>
  </si>
  <si>
    <t>Z1_A4</t>
  </si>
  <si>
    <t>Z1_A5</t>
  </si>
  <si>
    <t>Z1_A6</t>
  </si>
  <si>
    <t>Z1_A7</t>
  </si>
  <si>
    <t>Z1_A8</t>
  </si>
  <si>
    <t>Z1_A9</t>
  </si>
  <si>
    <t>Z1_A10</t>
  </si>
  <si>
    <t>Z1_A11</t>
  </si>
  <si>
    <t>Z1_Z1</t>
  </si>
  <si>
    <t>Z1_Z2</t>
  </si>
  <si>
    <t>Z1_Z3</t>
  </si>
  <si>
    <t>Z1_Z4</t>
  </si>
  <si>
    <t>Z1_Z5</t>
  </si>
  <si>
    <t>Z1_Z6</t>
  </si>
  <si>
    <t>Z1_Z7</t>
  </si>
  <si>
    <t>Z1_Z8</t>
  </si>
  <si>
    <t>Z1_Z9</t>
  </si>
  <si>
    <t>Z1_Z10</t>
  </si>
  <si>
    <t>Z1_Z11</t>
  </si>
  <si>
    <t>Z3_A1</t>
  </si>
  <si>
    <t>Z3_A2</t>
  </si>
  <si>
    <t>Z3_A3</t>
  </si>
  <si>
    <t>Z3_A4</t>
  </si>
  <si>
    <t>Z3_A5</t>
  </si>
  <si>
    <t>Z3_A6</t>
  </si>
  <si>
    <t>Z3_A7</t>
  </si>
  <si>
    <t>Z3_A8</t>
  </si>
  <si>
    <t>Z3_A9</t>
  </si>
  <si>
    <t>Z3_A10</t>
  </si>
  <si>
    <t>Z3_A11</t>
  </si>
  <si>
    <t>Z3_Z1</t>
  </si>
  <si>
    <t>Z3_Z2</t>
  </si>
  <si>
    <t>Z3_Z3</t>
  </si>
  <si>
    <t>Z3_Z4</t>
  </si>
  <si>
    <t>Z3_Z5</t>
  </si>
  <si>
    <t>Z3_Z6</t>
  </si>
  <si>
    <t>Z3_Z7</t>
  </si>
  <si>
    <t>Z3_Z8</t>
  </si>
  <si>
    <t>Z3_Z9</t>
  </si>
  <si>
    <t>Z3_Z10</t>
  </si>
  <si>
    <t>Z3_Z11</t>
  </si>
  <si>
    <t>Z1e_A1</t>
  </si>
  <si>
    <t>Z1e_A2</t>
  </si>
  <si>
    <t>Z1e_A3</t>
  </si>
  <si>
    <t>Z1e_A4</t>
  </si>
  <si>
    <t>Z1e_A5</t>
  </si>
  <si>
    <t>Z1e_A6</t>
  </si>
  <si>
    <t>Z1e_A7</t>
  </si>
  <si>
    <t>Z1e_A8</t>
  </si>
  <si>
    <t>Z1e_A9</t>
  </si>
  <si>
    <t>Z1e_A10</t>
  </si>
  <si>
    <t>Z1e_A11</t>
  </si>
  <si>
    <t>Z1e_Z1</t>
  </si>
  <si>
    <t>Z1e_Z2</t>
  </si>
  <si>
    <t>Z1e_Z3</t>
  </si>
  <si>
    <t>Z1e_Z4</t>
  </si>
  <si>
    <t>Z1e_Z5</t>
  </si>
  <si>
    <t>Z1e_Z6</t>
  </si>
  <si>
    <t>Z1e_Z7</t>
  </si>
  <si>
    <t>Z1e_Z8</t>
  </si>
  <si>
    <t>Z1e_Z9</t>
  </si>
  <si>
    <t>Z1e_Z10</t>
  </si>
  <si>
    <t>Z1e_Z11</t>
  </si>
  <si>
    <t>Z3e_A1</t>
  </si>
  <si>
    <t>Z3e_A2</t>
  </si>
  <si>
    <t>Z3e_A3</t>
  </si>
  <si>
    <t>Z3e_A4</t>
  </si>
  <si>
    <t>Z3e_A5</t>
  </si>
  <si>
    <t>Z3e_A6</t>
  </si>
  <si>
    <t>Z3e_A7</t>
  </si>
  <si>
    <t>Z3e_A8</t>
  </si>
  <si>
    <t>Z3e_A9</t>
  </si>
  <si>
    <t>Z3e_A10</t>
  </si>
  <si>
    <t>Z3e_A11</t>
  </si>
  <si>
    <t>Z3e_Z1</t>
  </si>
  <si>
    <t>Z3e_Z2</t>
  </si>
  <si>
    <t>Z3e_Z3</t>
  </si>
  <si>
    <t>Z3e_Z4</t>
  </si>
  <si>
    <t>Z3e_Z5</t>
  </si>
  <si>
    <t>Z3e_Z6</t>
  </si>
  <si>
    <t>Z3e_Z7</t>
  </si>
  <si>
    <t>Z3e_Z8</t>
  </si>
  <si>
    <t>Z3e_Z9</t>
  </si>
  <si>
    <t>Z3e_Z10</t>
  </si>
  <si>
    <t>Z3e_Z11</t>
  </si>
  <si>
    <t>[0211]Match Ratio</t>
  </si>
  <si>
    <t>[0204] VT Sec. V</t>
  </si>
  <si>
    <t>[0205] CT Pri.  A</t>
  </si>
  <si>
    <t>[0203] VT Pri.  kV</t>
  </si>
  <si>
    <t>Device Configuration</t>
  </si>
  <si>
    <t>Earth Fault OvercurrentSettings:</t>
  </si>
  <si>
    <t>Long Time Inverse</t>
  </si>
  <si>
    <t>Meas_V</t>
  </si>
  <si>
    <t>Measurands</t>
  </si>
  <si>
    <t>Meas_Ang</t>
  </si>
  <si>
    <t>PTTe_TX_A8</t>
  </si>
  <si>
    <t>PTTe_TX_Z8</t>
  </si>
  <si>
    <t>PTTe_TX_A9</t>
  </si>
  <si>
    <t>PTTe_TX_Z9</t>
  </si>
  <si>
    <t>7SA611</t>
  </si>
  <si>
    <t>CB Fail Settings:</t>
  </si>
  <si>
    <t>[3902]   I &gt;</t>
  </si>
  <si>
    <t>[3906] T2, Busbar</t>
  </si>
  <si>
    <t>[3905] T1, Retrip</t>
  </si>
  <si>
    <t>[3907] T3, CB Def.</t>
  </si>
  <si>
    <t>CBF_t3</t>
  </si>
  <si>
    <t>CBF_t1</t>
  </si>
  <si>
    <t>CBF_t2</t>
  </si>
  <si>
    <t>CBF_I</t>
  </si>
  <si>
    <t>[3005]  3Io&gt; Rel.</t>
  </si>
  <si>
    <t>[3002]  3Uo&gt; PU</t>
  </si>
  <si>
    <t>Sensitive E/Fault:</t>
  </si>
  <si>
    <t>[3004]  Uph-e max.</t>
  </si>
  <si>
    <t>[3003]  Uph-e min.</t>
  </si>
  <si>
    <t>SEF_V</t>
  </si>
  <si>
    <t>SEF_I</t>
  </si>
  <si>
    <t>SEF_t</t>
  </si>
  <si>
    <t>SEF_Vmin</t>
  </si>
  <si>
    <t>SEF_Vmax</t>
  </si>
  <si>
    <t>Amps</t>
  </si>
  <si>
    <t>s</t>
  </si>
  <si>
    <t>Zone Enabled</t>
  </si>
  <si>
    <t>Z1e_Cycles</t>
  </si>
  <si>
    <t>Z2e_Cycles</t>
  </si>
  <si>
    <t>Z3e_Cycles</t>
  </si>
  <si>
    <t>Z4e_Cycles</t>
  </si>
  <si>
    <t>Z5e_Cycles</t>
  </si>
  <si>
    <t>Z1Be_Cycles</t>
  </si>
  <si>
    <t>Z1B_A1</t>
  </si>
  <si>
    <t>Z1B_A2</t>
  </si>
  <si>
    <t>Z1B_A3</t>
  </si>
  <si>
    <t>Z1B_A4</t>
  </si>
  <si>
    <t>Z1B_A5</t>
  </si>
  <si>
    <t>Z1B_A6</t>
  </si>
  <si>
    <t>Z1B_A7</t>
  </si>
  <si>
    <t>Z1B_A8</t>
  </si>
  <si>
    <t>Z1B_A9</t>
  </si>
  <si>
    <t>Z1B_A10</t>
  </si>
  <si>
    <t>Z1B_A11</t>
  </si>
  <si>
    <t>Z1B_Z1</t>
  </si>
  <si>
    <t>Z1B_Z2</t>
  </si>
  <si>
    <t>Z1B_Z3</t>
  </si>
  <si>
    <t>Z1B_Z4</t>
  </si>
  <si>
    <t>Z1B_Z5</t>
  </si>
  <si>
    <t>Z1B_Z6</t>
  </si>
  <si>
    <t>Z1B_Z7</t>
  </si>
  <si>
    <t>Z1B_Z8</t>
  </si>
  <si>
    <t>Z1B_Z9</t>
  </si>
  <si>
    <t>Z1B_Z10</t>
  </si>
  <si>
    <t>Z1B_Z11</t>
  </si>
  <si>
    <t>Z1Be_A1</t>
  </si>
  <si>
    <t>Z1Be_A2</t>
  </si>
  <si>
    <t>Z1Be_A3</t>
  </si>
  <si>
    <t>Z1Be_A4</t>
  </si>
  <si>
    <t>Z1Be_A5</t>
  </si>
  <si>
    <t>Z1Be_A6</t>
  </si>
  <si>
    <t>Z1Be_A7</t>
  </si>
  <si>
    <t>Z1Be_A8</t>
  </si>
  <si>
    <t>Z1Be_A9</t>
  </si>
  <si>
    <t>Z1Be_A10</t>
  </si>
  <si>
    <t>Z1Be_A11</t>
  </si>
  <si>
    <t>Z1Be_Z1</t>
  </si>
  <si>
    <t>Z1Be_Z2</t>
  </si>
  <si>
    <t>Z1Be_Z3</t>
  </si>
  <si>
    <t>Z1Be_Z4</t>
  </si>
  <si>
    <t>Z1Be_Z5</t>
  </si>
  <si>
    <t>Z1Be_Z6</t>
  </si>
  <si>
    <t>Z1Be_Z7</t>
  </si>
  <si>
    <t>Z1Be_Z8</t>
  </si>
  <si>
    <t>Z1Be_Z9</t>
  </si>
  <si>
    <t>Z1Be_Z10</t>
  </si>
  <si>
    <t>Z1Be_Z11</t>
  </si>
  <si>
    <t>[3006] Time [s]</t>
  </si>
  <si>
    <t>Z3 or Z4</t>
  </si>
  <si>
    <t>Z4 or NoOp</t>
  </si>
  <si>
    <t>Ph-Ph Fault Voltages</t>
  </si>
  <si>
    <t>Load encroachment</t>
  </si>
  <si>
    <t>Load Encroachment</t>
  </si>
  <si>
    <t xml:space="preserve"> settings conflict with Load Encroachment!</t>
  </si>
  <si>
    <t>Load</t>
  </si>
  <si>
    <t>Load Encroachment, Phase-Earth</t>
  </si>
  <si>
    <t>Load Encroachment, Phase-Phase</t>
  </si>
  <si>
    <t>Char. Selection</t>
  </si>
  <si>
    <t>Load Compensation</t>
  </si>
  <si>
    <t>Total Line</t>
  </si>
  <si>
    <t>Top segment</t>
  </si>
  <si>
    <t>Bottom segment</t>
  </si>
  <si>
    <t>X Co-ord</t>
  </si>
  <si>
    <t>R Co-ord</t>
  </si>
  <si>
    <t>Corner</t>
  </si>
  <si>
    <t>Start</t>
  </si>
  <si>
    <t>Mid Pt</t>
  </si>
  <si>
    <t>Open Delta</t>
  </si>
  <si>
    <t>Max/Min V Ratio</t>
  </si>
  <si>
    <t>S</t>
  </si>
  <si>
    <t>T</t>
  </si>
  <si>
    <t>R Phase</t>
  </si>
  <si>
    <t>% Earth Fault</t>
  </si>
  <si>
    <t>S Phase</t>
  </si>
  <si>
    <t>T Phase</t>
  </si>
  <si>
    <t>Fwd Timing</t>
  </si>
  <si>
    <t>Ph-Ph SOTF</t>
  </si>
  <si>
    <t>P-E SOTF</t>
  </si>
  <si>
    <t>Z1B_t</t>
  </si>
  <si>
    <t>For AR on 7SA611</t>
  </si>
  <si>
    <t>t add on for Fwd E/F if 7SA611</t>
  </si>
  <si>
    <t>Healthy V, Ph Flts</t>
  </si>
  <si>
    <t>Healthy V, E Flts</t>
  </si>
  <si>
    <t>Vh_e</t>
  </si>
  <si>
    <t>Vh_e_Ang</t>
  </si>
  <si>
    <t>Rev_Vh_e</t>
  </si>
  <si>
    <t>Reverse Timing</t>
  </si>
  <si>
    <t>Forward Timing</t>
  </si>
  <si>
    <t>Rev_Vh_e_Ang</t>
  </si>
  <si>
    <t>RBB</t>
  </si>
  <si>
    <t>7SA611 Only</t>
  </si>
  <si>
    <t>Z5_A1</t>
  </si>
  <si>
    <t>Z5_A2</t>
  </si>
  <si>
    <t>Z5_A3</t>
  </si>
  <si>
    <t>Z5_A4</t>
  </si>
  <si>
    <t>Z5_A5</t>
  </si>
  <si>
    <t>Z5_A6</t>
  </si>
  <si>
    <t>Z5_A7</t>
  </si>
  <si>
    <t>Z5_A8</t>
  </si>
  <si>
    <t>Z5_A9</t>
  </si>
  <si>
    <t>Z5_A10</t>
  </si>
  <si>
    <t>Z5_A11</t>
  </si>
  <si>
    <t>Z5_Z1</t>
  </si>
  <si>
    <t>Z5_Z2</t>
  </si>
  <si>
    <t>Z5_Z3</t>
  </si>
  <si>
    <t>Z5_Z4</t>
  </si>
  <si>
    <t>Z5_Z5</t>
  </si>
  <si>
    <t>Z5_Z6</t>
  </si>
  <si>
    <t>Z5_Z7</t>
  </si>
  <si>
    <t>Z5_Z8</t>
  </si>
  <si>
    <t>Z5_Z9</t>
  </si>
  <si>
    <t>Z5_Z10</t>
  </si>
  <si>
    <t>Z5_Z11</t>
  </si>
  <si>
    <t>Z5e_A1</t>
  </si>
  <si>
    <t>Z5e_A2</t>
  </si>
  <si>
    <t>Z5e_A3</t>
  </si>
  <si>
    <t>Z5e_A4</t>
  </si>
  <si>
    <t>Z5e_A5</t>
  </si>
  <si>
    <t>Z5e_A6</t>
  </si>
  <si>
    <t>Z5e_A7</t>
  </si>
  <si>
    <t>Z5e_A8</t>
  </si>
  <si>
    <t>Z5e_A9</t>
  </si>
  <si>
    <t>Z5e_A10</t>
  </si>
  <si>
    <t>Z5e_A11</t>
  </si>
  <si>
    <t>Z5e_Z1</t>
  </si>
  <si>
    <t>Z5e_Z2</t>
  </si>
  <si>
    <t>Z5e_Z3</t>
  </si>
  <si>
    <t>Z5e_Z4</t>
  </si>
  <si>
    <t>Z5e_Z5</t>
  </si>
  <si>
    <t>Z5e_Z6</t>
  </si>
  <si>
    <t>Z5e_Z7</t>
  </si>
  <si>
    <t>Z5e_Z8</t>
  </si>
  <si>
    <t>Z5e_Z9</t>
  </si>
  <si>
    <t>Z5e_Z11</t>
  </si>
  <si>
    <t>1 PUTT, (Z1B acceleration)</t>
  </si>
  <si>
    <t>2 With Pickup (Non-directional)</t>
  </si>
  <si>
    <t>2 PUTT, (acceleration with PU)</t>
  </si>
  <si>
    <t>3 With Zone Z1B</t>
  </si>
  <si>
    <t>3 POTT</t>
  </si>
  <si>
    <t>4 Zone Z1B undirectional</t>
  </si>
  <si>
    <t>4 Disabled</t>
  </si>
  <si>
    <t>Effective Min I&gt; for EF</t>
  </si>
  <si>
    <t>Effective X5:</t>
  </si>
  <si>
    <t>Max Reach</t>
  </si>
  <si>
    <t>Ze</t>
  </si>
  <si>
    <t>Zph</t>
  </si>
  <si>
    <t>Display</t>
  </si>
  <si>
    <t xml:space="preserve"> Max Reach</t>
  </si>
  <si>
    <t>Ze5</t>
  </si>
  <si>
    <t>Ze4</t>
  </si>
  <si>
    <t>Ze3</t>
  </si>
  <si>
    <t>Load Encroach</t>
  </si>
  <si>
    <t>Z1 Test points</t>
  </si>
  <si>
    <t xml:space="preserve">Timing Tests </t>
  </si>
  <si>
    <t>For SOTF</t>
  </si>
  <si>
    <t>[1133A] Line open</t>
  </si>
  <si>
    <t>before SOTF</t>
  </si>
  <si>
    <t>Open_Line</t>
  </si>
  <si>
    <t>Z5e_Z10</t>
  </si>
  <si>
    <t>Timing Delta Current</t>
  </si>
  <si>
    <t>Dir. Selection</t>
  </si>
  <si>
    <t>RE</t>
  </si>
  <si>
    <t>t</t>
  </si>
  <si>
    <t>Disp.Z3</t>
  </si>
  <si>
    <t>Disp.Z4</t>
  </si>
  <si>
    <t>Disp.Z1B</t>
  </si>
  <si>
    <t>Zone 3,</t>
  </si>
  <si>
    <t>No Op</t>
  </si>
  <si>
    <t>Zone 5,</t>
  </si>
  <si>
    <t>t1</t>
  </si>
  <si>
    <t>Max Z, X axis.</t>
  </si>
  <si>
    <t>Max Z, R axis.</t>
  </si>
  <si>
    <t>Test V, X axis</t>
  </si>
  <si>
    <t>Test Ve, R axis</t>
  </si>
  <si>
    <t>Test_Ve_Fwd_R</t>
  </si>
  <si>
    <t>FIe1_R</t>
  </si>
  <si>
    <t>FIe2_R</t>
  </si>
  <si>
    <t>FIe3_R</t>
  </si>
  <si>
    <t>FIe4_R</t>
  </si>
  <si>
    <t>R-Axis Timing</t>
  </si>
  <si>
    <t>(7SA611 only)</t>
  </si>
  <si>
    <t>Timing Warnings</t>
  </si>
  <si>
    <t>7SA511 AR Logic</t>
  </si>
  <si>
    <t>Z1B Untestable</t>
  </si>
  <si>
    <t>Z1/Z1b Timers</t>
  </si>
  <si>
    <t>180 Deg Shift</t>
  </si>
  <si>
    <t>Gen. Trafo</t>
  </si>
  <si>
    <t>Gen_Trafo</t>
  </si>
  <si>
    <t>AutoReclose</t>
  </si>
  <si>
    <t>[3457] D Time after 3pole .</t>
  </si>
  <si>
    <t>7SD522</t>
  </si>
  <si>
    <t>Op Time</t>
  </si>
  <si>
    <t>VT connected</t>
  </si>
  <si>
    <t>Comms:</t>
  </si>
  <si>
    <t>Example</t>
  </si>
  <si>
    <t>Differential Prot.</t>
  </si>
  <si>
    <t>Long Time</t>
  </si>
  <si>
    <t>CT Primary</t>
  </si>
  <si>
    <t>VT Primary [kV]</t>
  </si>
  <si>
    <t>Standard</t>
  </si>
  <si>
    <t>CT Sec.</t>
  </si>
  <si>
    <t>VT Sec. [V]</t>
  </si>
  <si>
    <t>Star to Bus</t>
  </si>
  <si>
    <t>Very</t>
  </si>
  <si>
    <t>Extremely</t>
  </si>
  <si>
    <t>Differential</t>
  </si>
  <si>
    <t xml:space="preserve"> 2Terminal</t>
  </si>
  <si>
    <t>CT Pri.</t>
  </si>
  <si>
    <t>Varying</t>
  </si>
  <si>
    <t>Long</t>
  </si>
  <si>
    <t>Inverse (Non-Standard]</t>
  </si>
  <si>
    <t>Fixed</t>
  </si>
  <si>
    <t>DIFGI[A]</t>
  </si>
  <si>
    <t>DIFIC[A]</t>
  </si>
  <si>
    <t>Test Point</t>
  </si>
  <si>
    <t>k</t>
  </si>
  <si>
    <t>Vn[V]</t>
  </si>
  <si>
    <t>OCI [A]</t>
  </si>
  <si>
    <t>EFI [A]</t>
  </si>
  <si>
    <t>Plausability</t>
  </si>
  <si>
    <t>VT Ratio</t>
  </si>
  <si>
    <t>TOCI</t>
  </si>
  <si>
    <t>TEFI [s]</t>
  </si>
  <si>
    <t>OC Inverse</t>
  </si>
  <si>
    <t>EF Inverse</t>
  </si>
  <si>
    <t>CT</t>
  </si>
  <si>
    <t>CT factors</t>
  </si>
  <si>
    <t>GPS Tests:</t>
  </si>
  <si>
    <t>VT</t>
  </si>
  <si>
    <t>Test Point:</t>
  </si>
  <si>
    <t>110</t>
  </si>
  <si>
    <t>Balance</t>
  </si>
  <si>
    <t>No Load</t>
  </si>
  <si>
    <t>100</t>
  </si>
  <si>
    <t>After Energisation (fed from one end only):</t>
  </si>
  <si>
    <t>Voltage [kV]</t>
  </si>
  <si>
    <t>Charging Current [kA]</t>
  </si>
  <si>
    <t>Optimum DIFC (100%)</t>
  </si>
  <si>
    <t>Error [A]</t>
  </si>
  <si>
    <t>Round</t>
  </si>
  <si>
    <t>Local</t>
  </si>
  <si>
    <t>Remote</t>
  </si>
  <si>
    <t>Inverse</t>
  </si>
  <si>
    <t>Inverse E/Fault, A/Ph</t>
  </si>
  <si>
    <t>Tol = 0.1s</t>
  </si>
  <si>
    <t>Angles</t>
  </si>
  <si>
    <t>Charging Compensation</t>
  </si>
  <si>
    <t>Metering</t>
  </si>
  <si>
    <t>CT_Ratios</t>
  </si>
  <si>
    <t>NomV</t>
  </si>
  <si>
    <t>Phase Voltage</t>
  </si>
  <si>
    <t>DIFI1</t>
  </si>
  <si>
    <t>DIFI2</t>
  </si>
  <si>
    <t>DIFC</t>
  </si>
  <si>
    <t>MW</t>
  </si>
  <si>
    <t>MVAr</t>
  </si>
  <si>
    <t>Va [kV]</t>
  </si>
  <si>
    <t>Ia [kA]</t>
  </si>
  <si>
    <t>Ia1 [kA]</t>
  </si>
  <si>
    <t>Id [kA]</t>
  </si>
  <si>
    <t>RBB_t</t>
  </si>
  <si>
    <t>Add on For RBB</t>
  </si>
  <si>
    <t>MVar</t>
  </si>
  <si>
    <t>Differential Settings: (7SD522 Only)</t>
  </si>
  <si>
    <t>[1217A] I-DIFF&gt;Trip time</t>
  </si>
  <si>
    <t>[0254] CT Error at k_alf nominal</t>
  </si>
  <si>
    <t>[0253] CT Error at k_alf/k_alf nominal</t>
  </si>
  <si>
    <t>[0251] k_alf/k_alf nominal</t>
  </si>
  <si>
    <r>
      <t xml:space="preserve">CT Data </t>
    </r>
    <r>
      <rPr>
        <sz val="8"/>
        <rFont val="Arial"/>
        <family val="2"/>
      </rPr>
      <t>(7SD522 only)</t>
    </r>
    <r>
      <rPr>
        <b/>
        <sz val="8"/>
        <rFont val="Arial"/>
        <family val="2"/>
      </rPr>
      <t>:</t>
    </r>
  </si>
  <si>
    <t>DIFGI</t>
  </si>
  <si>
    <t>TDIFG</t>
  </si>
  <si>
    <t xml:space="preserve">[1218] Delay 1ph-flts </t>
  </si>
  <si>
    <t>Address Changes</t>
  </si>
  <si>
    <t>PU delay for 1-Phase faults</t>
  </si>
  <si>
    <t>Diff_t</t>
  </si>
  <si>
    <t>Diff</t>
  </si>
  <si>
    <t>Ref Angle</t>
  </si>
  <si>
    <t>Rest</t>
  </si>
  <si>
    <t>Increments [mA]:</t>
  </si>
  <si>
    <t>Spinners</t>
  </si>
  <si>
    <t>Polar</t>
  </si>
  <si>
    <t>[1104] Full Scale</t>
  </si>
  <si>
    <t>Full Scale I</t>
  </si>
  <si>
    <t>Times Nom.</t>
  </si>
  <si>
    <t>Diff_HS</t>
  </si>
  <si>
    <t>Local End</t>
  </si>
  <si>
    <t>Remote End</t>
  </si>
  <si>
    <t>Rest/Diff</t>
  </si>
  <si>
    <t>Ang Offset</t>
  </si>
  <si>
    <t>Ang Limit</t>
  </si>
  <si>
    <t>Test I</t>
  </si>
  <si>
    <t>[1210]  I-DIFF&gt; PU [A]</t>
  </si>
  <si>
    <t>[1213]  I-DIFF&gt; SOTF</t>
  </si>
  <si>
    <t>[1233] I-DIFF&gt;&gt; PU[A]</t>
  </si>
  <si>
    <t>[1235] I-DIFF&gt;&gt; SOTF</t>
  </si>
  <si>
    <t>Current</t>
  </si>
  <si>
    <t>Target</t>
  </si>
  <si>
    <t xml:space="preserve">I-DIFF&gt; PU </t>
  </si>
  <si>
    <t>Phase-Earth Voltages</t>
  </si>
  <si>
    <t>Forward E/F Voltage</t>
  </si>
  <si>
    <t>Reverse E/F Voltage</t>
  </si>
  <si>
    <t>NDV</t>
  </si>
  <si>
    <t>kV</t>
  </si>
  <si>
    <t>Primary</t>
  </si>
  <si>
    <t>oo</t>
  </si>
  <si>
    <t>Rounding Fwd Ph/Ph</t>
  </si>
  <si>
    <t>Rounding Fwd E/F</t>
  </si>
  <si>
    <t>Rounding Rev Ph/Ph</t>
  </si>
  <si>
    <t>Rounding Rev E/F</t>
  </si>
  <si>
    <t>Ph-E Load Encroachment</t>
  </si>
  <si>
    <t>R-E</t>
  </si>
  <si>
    <t>S-E</t>
  </si>
  <si>
    <t>T-E</t>
  </si>
  <si>
    <t>Faulty Phase</t>
  </si>
  <si>
    <t>Healthy Phase</t>
  </si>
  <si>
    <t>Diff SOTF</t>
  </si>
  <si>
    <t>pf</t>
  </si>
  <si>
    <t>CT Correction</t>
  </si>
  <si>
    <t>dummy value for test plan compatability</t>
  </si>
  <si>
    <t>Non Earthed System</t>
  </si>
  <si>
    <t>Earthed System</t>
  </si>
  <si>
    <t>Required Dead Times:</t>
  </si>
  <si>
    <t>0.6</t>
  </si>
  <si>
    <t>Dead Times</t>
  </si>
  <si>
    <t>1.0</t>
  </si>
  <si>
    <t>Dead_Time_3</t>
  </si>
  <si>
    <t>Dead_Time_1</t>
  </si>
  <si>
    <t>1-Ph Fault Model</t>
  </si>
  <si>
    <t>2-Ph Fault Model</t>
  </si>
  <si>
    <t>3-Ph Fault Model</t>
  </si>
  <si>
    <t>3Uo</t>
  </si>
  <si>
    <t>Vr</t>
  </si>
  <si>
    <t>Vs</t>
  </si>
  <si>
    <t>Starpoint Correction</t>
  </si>
  <si>
    <t>Vt</t>
  </si>
  <si>
    <t>Ir</t>
  </si>
  <si>
    <t>Is</t>
  </si>
  <si>
    <t>It</t>
  </si>
  <si>
    <t>3Io</t>
  </si>
  <si>
    <t>Ph-Ph Selection</t>
  </si>
  <si>
    <t>E/F Selection</t>
  </si>
  <si>
    <t>Fault Model</t>
  </si>
  <si>
    <t>Fault Locator</t>
  </si>
  <si>
    <t>Impedance</t>
  </si>
  <si>
    <t>Fault Current</t>
  </si>
  <si>
    <t>Model</t>
  </si>
  <si>
    <t>Locator</t>
  </si>
  <si>
    <t>Evolving Fault</t>
  </si>
  <si>
    <t>DCEF:???</t>
  </si>
  <si>
    <t>Flt Model</t>
  </si>
  <si>
    <t>Ph Scaler</t>
  </si>
  <si>
    <t>EF scaler</t>
  </si>
  <si>
    <t>Evolving Fault Limits Warning</t>
  </si>
  <si>
    <t>Dunstown</t>
  </si>
  <si>
    <t>Turlough Hill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</si>
</sst>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"/>
    <numFmt numFmtId="166" formatCode="dd/mm/yy;@"/>
    <numFmt numFmtId="167" formatCode="0.0%"/>
  </numFmts>
  <fonts count="71">
    <font>
      <sz val="10"/>
      <name val="Arial"/>
    </font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u/>
      <sz val="8"/>
      <name val="Arial"/>
      <family val="2"/>
    </font>
    <font>
      <sz val="10"/>
      <name val="Arial"/>
      <family val="2"/>
    </font>
    <font>
      <sz val="8"/>
      <name val="Arial Narrow"/>
      <family val="2"/>
    </font>
    <font>
      <b/>
      <sz val="9"/>
      <name val="Arial"/>
      <family val="2"/>
    </font>
    <font>
      <sz val="14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b/>
      <sz val="8"/>
      <name val="Arial"/>
      <family val="2"/>
    </font>
    <font>
      <sz val="7.5"/>
      <name val="Arial Narrow"/>
      <family val="2"/>
    </font>
    <font>
      <sz val="12"/>
      <name val="Arial"/>
      <family val="2"/>
    </font>
    <font>
      <sz val="12"/>
      <name val="Arial"/>
      <family val="2"/>
    </font>
    <font>
      <b/>
      <sz val="7.5"/>
      <name val="Arial"/>
      <family val="2"/>
    </font>
    <font>
      <b/>
      <sz val="7.5"/>
      <name val="Arial"/>
      <family val="2"/>
    </font>
    <font>
      <b/>
      <sz val="8"/>
      <name val="Arial Narrow"/>
      <family val="2"/>
    </font>
    <font>
      <i/>
      <sz val="8"/>
      <name val="Arial"/>
      <family val="2"/>
    </font>
    <font>
      <b/>
      <sz val="8"/>
      <color indexed="10"/>
      <name val="Arial"/>
      <family val="2"/>
    </font>
    <font>
      <b/>
      <sz val="8"/>
      <color indexed="81"/>
      <name val="Tahoma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u/>
      <sz val="10"/>
      <color indexed="12"/>
      <name val="Arial"/>
      <family val="2"/>
    </font>
    <font>
      <sz val="8"/>
      <color indexed="8"/>
      <name val="Arial"/>
      <family val="2"/>
    </font>
    <font>
      <sz val="10"/>
      <color indexed="23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8"/>
      <color indexed="40"/>
      <name val="Arial"/>
      <family val="2"/>
    </font>
    <font>
      <sz val="8"/>
      <color indexed="14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sz val="8"/>
      <color indexed="20"/>
      <name val="Arial"/>
      <family val="2"/>
    </font>
    <font>
      <sz val="10"/>
      <color indexed="20"/>
      <name val="Arial"/>
      <family val="2"/>
    </font>
    <font>
      <b/>
      <sz val="8"/>
      <color indexed="20"/>
      <name val="Arial"/>
      <family val="2"/>
    </font>
    <font>
      <sz val="8"/>
      <color indexed="50"/>
      <name val="Arial"/>
      <family val="2"/>
    </font>
    <font>
      <sz val="8"/>
      <color indexed="23"/>
      <name val="Arial"/>
      <family val="2"/>
    </font>
    <font>
      <b/>
      <sz val="8"/>
      <color indexed="40"/>
      <name val="Arial"/>
      <family val="2"/>
    </font>
    <font>
      <b/>
      <sz val="8"/>
      <color indexed="50"/>
      <name val="Arial"/>
      <family val="2"/>
    </font>
    <font>
      <b/>
      <sz val="8"/>
      <color indexed="14"/>
      <name val="Arial"/>
      <family val="2"/>
    </font>
    <font>
      <b/>
      <sz val="8"/>
      <color indexed="8"/>
      <name val="Arial"/>
      <family val="2"/>
    </font>
    <font>
      <i/>
      <sz val="8"/>
      <color indexed="8"/>
      <name val="Arial"/>
      <family val="2"/>
    </font>
    <font>
      <sz val="8"/>
      <color indexed="81"/>
      <name val="Tahoma"/>
      <family val="2"/>
    </font>
    <font>
      <sz val="8"/>
      <name val="Z2 Plot"/>
    </font>
    <font>
      <sz val="6"/>
      <name val="Arial Narrow"/>
      <family val="2"/>
    </font>
    <font>
      <b/>
      <sz val="8"/>
      <color indexed="61"/>
      <name val="Arial"/>
      <family val="2"/>
    </font>
    <font>
      <sz val="10"/>
      <color indexed="61"/>
      <name val="Arial"/>
      <family val="2"/>
    </font>
    <font>
      <sz val="8"/>
      <color indexed="61"/>
      <name val="Arial"/>
      <family val="2"/>
    </font>
    <font>
      <sz val="6"/>
      <name val="Arial"/>
      <family val="2"/>
    </font>
    <font>
      <sz val="6"/>
      <name val="Arial"/>
      <family val="2"/>
    </font>
    <font>
      <b/>
      <sz val="8"/>
      <color indexed="12"/>
      <name val="Arial"/>
      <family val="2"/>
    </font>
    <font>
      <i/>
      <sz val="7.5"/>
      <color indexed="22"/>
      <name val="Arial"/>
      <family val="2"/>
    </font>
    <font>
      <sz val="10"/>
      <color indexed="9"/>
      <name val="Arial"/>
      <family val="2"/>
    </font>
    <font>
      <b/>
      <sz val="8"/>
      <color indexed="23"/>
      <name val="Arial"/>
      <family val="2"/>
    </font>
    <font>
      <sz val="8"/>
      <color indexed="55"/>
      <name val="Arial"/>
      <family val="2"/>
    </font>
    <font>
      <b/>
      <sz val="8"/>
      <color indexed="22"/>
      <name val="Arial"/>
      <family val="2"/>
    </font>
    <font>
      <b/>
      <sz val="10"/>
      <color indexed="22"/>
      <name val="Arial"/>
      <family val="2"/>
    </font>
    <font>
      <b/>
      <sz val="10"/>
      <color indexed="8"/>
      <name val="Arial"/>
      <family val="2"/>
    </font>
    <font>
      <b/>
      <sz val="10"/>
      <color indexed="55"/>
      <name val="Arial"/>
      <family val="2"/>
    </font>
    <font>
      <b/>
      <sz val="10"/>
      <color indexed="23"/>
      <name val="Arial"/>
      <family val="2"/>
    </font>
    <font>
      <sz val="8"/>
      <color indexed="22"/>
      <name val="Arial"/>
      <family val="2"/>
    </font>
    <font>
      <sz val="8"/>
      <color indexed="22"/>
      <name val="Arial"/>
      <family val="2"/>
    </font>
    <font>
      <sz val="10"/>
      <color indexed="22"/>
      <name val="Arial"/>
      <family val="2"/>
    </font>
    <font>
      <sz val="8"/>
      <color indexed="9"/>
      <name val="Arial"/>
      <family val="2"/>
    </font>
    <font>
      <b/>
      <sz val="8"/>
      <color indexed="8"/>
      <name val="Arial"/>
      <family val="2"/>
    </font>
    <font>
      <sz val="10"/>
      <color indexed="10"/>
      <name val="Arial"/>
      <family val="2"/>
    </font>
    <font>
      <sz val="8"/>
      <color rgb="FF000000"/>
      <name val="Tahoma"/>
      <family val="2"/>
    </font>
  </fonts>
  <fills count="2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4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 applyProtection="1">
      <alignment horizontal="left"/>
    </xf>
    <xf numFmtId="0" fontId="4" fillId="0" borderId="0" xfId="0" applyFont="1" applyProtection="1"/>
    <xf numFmtId="0" fontId="4" fillId="0" borderId="0" xfId="0" applyFont="1" applyAlignment="1" applyProtection="1">
      <alignment horizontal="right"/>
    </xf>
    <xf numFmtId="0" fontId="6" fillId="0" borderId="0" xfId="0" applyFont="1"/>
    <xf numFmtId="0" fontId="6" fillId="0" borderId="0" xfId="0" applyFont="1" applyProtection="1"/>
    <xf numFmtId="0" fontId="7" fillId="0" borderId="0" xfId="0" applyFont="1"/>
    <xf numFmtId="0" fontId="8" fillId="0" borderId="0" xfId="0" applyFont="1"/>
    <xf numFmtId="0" fontId="4" fillId="0" borderId="1" xfId="0" applyFont="1" applyBorder="1" applyAlignment="1" applyProtection="1">
      <alignment horizontal="left"/>
    </xf>
    <xf numFmtId="0" fontId="4" fillId="0" borderId="1" xfId="0" applyFont="1" applyBorder="1" applyAlignment="1">
      <alignment horizontal="left"/>
    </xf>
    <xf numFmtId="0" fontId="4" fillId="0" borderId="1" xfId="0" applyFont="1" applyBorder="1" applyAlignment="1" applyProtection="1">
      <alignment horizontal="center"/>
    </xf>
    <xf numFmtId="0" fontId="4" fillId="0" borderId="1" xfId="0" applyFont="1" applyBorder="1" applyAlignment="1">
      <alignment horizontal="center"/>
    </xf>
    <xf numFmtId="0" fontId="5" fillId="0" borderId="0" xfId="0" applyFont="1" applyBorder="1" applyAlignment="1" applyProtection="1">
      <alignment horizontal="left"/>
      <protection locked="0"/>
    </xf>
    <xf numFmtId="0" fontId="10" fillId="0" borderId="0" xfId="0" applyFont="1"/>
    <xf numFmtId="0" fontId="4" fillId="0" borderId="0" xfId="0" applyFont="1" applyFill="1"/>
    <xf numFmtId="0" fontId="4" fillId="0" borderId="0" xfId="0" applyFont="1" applyFill="1" applyAlignment="1">
      <alignment horizontal="left"/>
    </xf>
    <xf numFmtId="0" fontId="8" fillId="0" borderId="0" xfId="0" applyFont="1" applyAlignment="1">
      <alignment horizontal="right"/>
    </xf>
    <xf numFmtId="0" fontId="7" fillId="0" borderId="0" xfId="0" applyFont="1" applyProtection="1">
      <protection hidden="1"/>
    </xf>
    <xf numFmtId="0" fontId="0" fillId="0" borderId="0" xfId="0" applyProtection="1">
      <protection hidden="1"/>
    </xf>
    <xf numFmtId="0" fontId="8" fillId="0" borderId="0" xfId="0" applyFont="1" applyProtection="1">
      <protection hidden="1"/>
    </xf>
    <xf numFmtId="0" fontId="4" fillId="0" borderId="0" xfId="0" applyFont="1" applyProtection="1">
      <protection hidden="1"/>
    </xf>
    <xf numFmtId="2" fontId="5" fillId="0" borderId="0" xfId="0" applyNumberFormat="1" applyFont="1" applyAlignment="1" applyProtection="1">
      <alignment horizontal="right"/>
      <protection hidden="1"/>
    </xf>
    <xf numFmtId="0" fontId="5" fillId="0" borderId="0" xfId="0" applyFont="1" applyProtection="1">
      <protection hidden="1"/>
    </xf>
    <xf numFmtId="0" fontId="5" fillId="0" borderId="0" xfId="0" applyFont="1" applyAlignment="1" applyProtection="1">
      <alignment horizontal="right"/>
      <protection hidden="1"/>
    </xf>
    <xf numFmtId="165" fontId="5" fillId="0" borderId="0" xfId="0" applyNumberFormat="1" applyFont="1" applyAlignment="1" applyProtection="1">
      <alignment horizontal="right"/>
      <protection hidden="1"/>
    </xf>
    <xf numFmtId="165" fontId="5" fillId="0" borderId="0" xfId="0" applyNumberFormat="1" applyFont="1" applyFill="1" applyAlignment="1" applyProtection="1">
      <alignment horizontal="right"/>
      <protection hidden="1"/>
    </xf>
    <xf numFmtId="2" fontId="5" fillId="0" borderId="0" xfId="0" applyNumberFormat="1" applyFont="1" applyFill="1" applyAlignment="1" applyProtection="1">
      <alignment horizontal="right"/>
      <protection hidden="1"/>
    </xf>
    <xf numFmtId="2" fontId="5" fillId="0" borderId="0" xfId="0" applyNumberFormat="1" applyFont="1" applyProtection="1">
      <protection hidden="1"/>
    </xf>
    <xf numFmtId="0" fontId="5" fillId="0" borderId="1" xfId="0" applyFont="1" applyBorder="1" applyAlignment="1" applyProtection="1">
      <alignment horizontal="center"/>
      <protection hidden="1"/>
    </xf>
    <xf numFmtId="165" fontId="5" fillId="0" borderId="1" xfId="0" applyNumberFormat="1" applyFont="1" applyBorder="1" applyProtection="1">
      <protection hidden="1"/>
    </xf>
    <xf numFmtId="0" fontId="4" fillId="0" borderId="0" xfId="0" applyFont="1" applyFill="1" applyAlignment="1" applyProtection="1">
      <alignment horizontal="left"/>
      <protection hidden="1"/>
    </xf>
    <xf numFmtId="0" fontId="4" fillId="0" borderId="0" xfId="0" applyFont="1" applyAlignment="1" applyProtection="1">
      <alignment horizontal="right"/>
      <protection hidden="1"/>
    </xf>
    <xf numFmtId="2" fontId="5" fillId="0" borderId="1" xfId="0" applyNumberFormat="1" applyFont="1" applyBorder="1" applyAlignment="1" applyProtection="1">
      <alignment horizontal="right"/>
      <protection hidden="1"/>
    </xf>
    <xf numFmtId="0" fontId="8" fillId="0" borderId="0" xfId="0" applyFont="1" applyAlignment="1" applyProtection="1">
      <alignment horizontal="right"/>
      <protection hidden="1"/>
    </xf>
    <xf numFmtId="1" fontId="8" fillId="0" borderId="0" xfId="0" applyNumberFormat="1" applyFont="1" applyAlignment="1" applyProtection="1">
      <alignment horizontal="right"/>
      <protection hidden="1"/>
    </xf>
    <xf numFmtId="0" fontId="8" fillId="0" borderId="1" xfId="0" applyFont="1" applyBorder="1" applyAlignment="1" applyProtection="1">
      <alignment horizontal="center"/>
      <protection hidden="1"/>
    </xf>
    <xf numFmtId="2" fontId="8" fillId="0" borderId="1" xfId="0" applyNumberFormat="1" applyFont="1" applyBorder="1" applyProtection="1">
      <protection hidden="1"/>
    </xf>
    <xf numFmtId="164" fontId="8" fillId="0" borderId="1" xfId="0" applyNumberFormat="1" applyFont="1" applyBorder="1" applyProtection="1">
      <protection hidden="1"/>
    </xf>
    <xf numFmtId="165" fontId="8" fillId="0" borderId="0" xfId="0" applyNumberFormat="1" applyFont="1" applyAlignment="1" applyProtection="1">
      <alignment horizontal="right"/>
      <protection hidden="1"/>
    </xf>
    <xf numFmtId="0" fontId="5" fillId="0" borderId="2" xfId="0" applyFont="1" applyBorder="1" applyAlignment="1" applyProtection="1">
      <alignment horizontal="centerContinuous"/>
      <protection hidden="1"/>
    </xf>
    <xf numFmtId="0" fontId="4" fillId="0" borderId="1" xfId="0" applyFont="1" applyBorder="1" applyAlignment="1" applyProtection="1">
      <alignment horizontal="center"/>
      <protection locked="0"/>
    </xf>
    <xf numFmtId="0" fontId="11" fillId="0" borderId="0" xfId="0" applyFont="1" applyAlignment="1">
      <alignment horizontal="right"/>
    </xf>
    <xf numFmtId="0" fontId="12" fillId="0" borderId="0" xfId="0" applyFont="1"/>
    <xf numFmtId="0" fontId="11" fillId="0" borderId="0" xfId="0" applyFont="1" applyProtection="1"/>
    <xf numFmtId="0" fontId="4" fillId="0" borderId="1" xfId="0" applyFont="1" applyBorder="1"/>
    <xf numFmtId="0" fontId="4" fillId="0" borderId="0" xfId="0" applyFont="1" applyAlignment="1">
      <alignment horizontal="right"/>
    </xf>
    <xf numFmtId="1" fontId="5" fillId="0" borderId="0" xfId="0" applyNumberFormat="1" applyFont="1" applyFill="1" applyAlignment="1" applyProtection="1">
      <alignment horizontal="right"/>
      <protection hidden="1"/>
    </xf>
    <xf numFmtId="0" fontId="4" fillId="2" borderId="1" xfId="0" applyFont="1" applyFill="1" applyBorder="1" applyAlignment="1" applyProtection="1">
      <alignment horizontal="left"/>
      <protection hidden="1"/>
    </xf>
    <xf numFmtId="0" fontId="4" fillId="2" borderId="1" xfId="0" applyFont="1" applyFill="1" applyBorder="1" applyAlignment="1" applyProtection="1">
      <alignment horizontal="centerContinuous"/>
      <protection hidden="1"/>
    </xf>
    <xf numFmtId="2" fontId="4" fillId="2" borderId="1" xfId="0" applyNumberFormat="1" applyFont="1" applyFill="1" applyBorder="1" applyAlignment="1" applyProtection="1">
      <alignment horizontal="left"/>
      <protection hidden="1"/>
    </xf>
    <xf numFmtId="2" fontId="4" fillId="0" borderId="0" xfId="0" applyNumberFormat="1" applyFont="1" applyProtection="1">
      <protection hidden="1"/>
    </xf>
    <xf numFmtId="0" fontId="4" fillId="0" borderId="0" xfId="0" applyFont="1" applyBorder="1" applyProtection="1">
      <protection hidden="1"/>
    </xf>
    <xf numFmtId="0" fontId="0" fillId="3" borderId="0" xfId="0" applyFill="1"/>
    <xf numFmtId="0" fontId="0" fillId="0" borderId="1" xfId="0" applyBorder="1"/>
    <xf numFmtId="2" fontId="0" fillId="0" borderId="0" xfId="0" applyNumberFormat="1"/>
    <xf numFmtId="2" fontId="5" fillId="0" borderId="0" xfId="0" applyNumberFormat="1" applyFont="1" applyBorder="1" applyAlignment="1" applyProtection="1">
      <alignment horizontal="right"/>
      <protection hidden="1"/>
    </xf>
    <xf numFmtId="0" fontId="4" fillId="0" borderId="0" xfId="0" applyFont="1" applyAlignment="1" applyProtection="1">
      <protection hidden="1"/>
    </xf>
    <xf numFmtId="2" fontId="5" fillId="0" borderId="0" xfId="0" applyNumberFormat="1" applyFont="1" applyAlignment="1" applyProtection="1">
      <protection hidden="1"/>
    </xf>
    <xf numFmtId="1" fontId="5" fillId="0" borderId="0" xfId="0" applyNumberFormat="1" applyFont="1" applyFill="1" applyAlignment="1" applyProtection="1">
      <protection hidden="1"/>
    </xf>
    <xf numFmtId="0" fontId="15" fillId="0" borderId="0" xfId="0" applyFont="1" applyProtection="1">
      <protection hidden="1"/>
    </xf>
    <xf numFmtId="0" fontId="16" fillId="0" borderId="0" xfId="0" applyFont="1"/>
    <xf numFmtId="0" fontId="12" fillId="0" borderId="0" xfId="0" applyFont="1" applyAlignment="1" applyProtection="1">
      <alignment horizontal="right"/>
      <protection hidden="1"/>
    </xf>
    <xf numFmtId="0" fontId="12" fillId="0" borderId="0" xfId="0" applyFont="1" applyProtection="1">
      <protection hidden="1"/>
    </xf>
    <xf numFmtId="0" fontId="16" fillId="0" borderId="0" xfId="0" applyFont="1" applyProtection="1">
      <protection hidden="1"/>
    </xf>
    <xf numFmtId="0" fontId="15" fillId="0" borderId="0" xfId="0" applyFont="1"/>
    <xf numFmtId="0" fontId="17" fillId="0" borderId="0" xfId="0" applyFont="1" applyAlignment="1" applyProtection="1">
      <protection hidden="1"/>
    </xf>
    <xf numFmtId="0" fontId="17" fillId="0" borderId="0" xfId="0" applyFont="1" applyAlignment="1" applyProtection="1">
      <alignment horizontal="centerContinuous"/>
      <protection hidden="1"/>
    </xf>
    <xf numFmtId="0" fontId="17" fillId="0" borderId="0" xfId="0" applyFont="1" applyAlignment="1" applyProtection="1">
      <alignment horizontal="left"/>
      <protection hidden="1"/>
    </xf>
    <xf numFmtId="0" fontId="0" fillId="0" borderId="0" xfId="0" applyBorder="1" applyProtection="1">
      <protection hidden="1"/>
    </xf>
    <xf numFmtId="0" fontId="0" fillId="0" borderId="0" xfId="0" applyAlignment="1" applyProtection="1">
      <protection hidden="1"/>
    </xf>
    <xf numFmtId="0" fontId="0" fillId="0" borderId="1" xfId="0" applyBorder="1" applyProtection="1">
      <protection hidden="1"/>
    </xf>
    <xf numFmtId="0" fontId="4" fillId="0" borderId="3" xfId="0" applyFont="1" applyBorder="1" applyProtection="1">
      <protection locked="0"/>
    </xf>
    <xf numFmtId="0" fontId="10" fillId="0" borderId="4" xfId="0" applyFont="1" applyBorder="1"/>
    <xf numFmtId="0" fontId="4" fillId="0" borderId="5" xfId="0" applyFont="1" applyBorder="1" applyProtection="1">
      <protection locked="0"/>
    </xf>
    <xf numFmtId="0" fontId="19" fillId="0" borderId="0" xfId="0" applyFont="1" applyAlignment="1" applyProtection="1">
      <alignment horizontal="right"/>
    </xf>
    <xf numFmtId="0" fontId="19" fillId="0" borderId="0" xfId="0" applyFont="1" applyProtection="1"/>
    <xf numFmtId="2" fontId="4" fillId="0" borderId="0" xfId="0" applyNumberFormat="1" applyFont="1"/>
    <xf numFmtId="2" fontId="0" fillId="0" borderId="0" xfId="0" applyNumberFormat="1" applyProtection="1">
      <protection hidden="1"/>
    </xf>
    <xf numFmtId="0" fontId="5" fillId="0" borderId="0" xfId="0" applyFont="1" applyBorder="1" applyAlignment="1" applyProtection="1">
      <alignment horizontal="right"/>
      <protection hidden="1"/>
    </xf>
    <xf numFmtId="0" fontId="5" fillId="0" borderId="0" xfId="0" applyFont="1"/>
    <xf numFmtId="0" fontId="20" fillId="0" borderId="0" xfId="0" applyFont="1"/>
    <xf numFmtId="2" fontId="20" fillId="0" borderId="0" xfId="0" applyNumberFormat="1" applyFont="1" applyProtection="1">
      <protection hidden="1"/>
    </xf>
    <xf numFmtId="2" fontId="0" fillId="0" borderId="0" xfId="0" applyNumberFormat="1" applyBorder="1" applyProtection="1">
      <protection hidden="1"/>
    </xf>
    <xf numFmtId="0" fontId="4" fillId="2" borderId="1" xfId="0" applyFont="1" applyFill="1" applyBorder="1" applyAlignment="1" applyProtection="1">
      <protection locked="0" hidden="1"/>
    </xf>
    <xf numFmtId="0" fontId="4" fillId="0" borderId="6" xfId="0" applyFont="1" applyBorder="1"/>
    <xf numFmtId="0" fontId="4" fillId="0" borderId="0" xfId="0" applyFont="1" applyBorder="1"/>
    <xf numFmtId="0" fontId="0" fillId="0" borderId="6" xfId="0" applyBorder="1"/>
    <xf numFmtId="0" fontId="5" fillId="0" borderId="0" xfId="0" applyFont="1" applyBorder="1" applyAlignment="1" applyProtection="1">
      <alignment horizontal="centerContinuous"/>
      <protection hidden="1"/>
    </xf>
    <xf numFmtId="0" fontId="5" fillId="0" borderId="1" xfId="0" applyFont="1" applyBorder="1" applyAlignment="1" applyProtection="1">
      <alignment horizontal="centerContinuous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locked="0"/>
    </xf>
    <xf numFmtId="2" fontId="0" fillId="0" borderId="1" xfId="0" applyNumberFormat="1" applyBorder="1"/>
    <xf numFmtId="165" fontId="0" fillId="0" borderId="1" xfId="0" applyNumberFormat="1" applyBorder="1"/>
    <xf numFmtId="0" fontId="3" fillId="0" borderId="1" xfId="0" applyFont="1" applyBorder="1" applyAlignment="1">
      <alignment horizontal="center"/>
    </xf>
    <xf numFmtId="49" fontId="4" fillId="0" borderId="1" xfId="0" applyNumberFormat="1" applyFont="1" applyBorder="1"/>
    <xf numFmtId="2" fontId="5" fillId="0" borderId="8" xfId="0" applyNumberFormat="1" applyFont="1" applyBorder="1"/>
    <xf numFmtId="165" fontId="5" fillId="0" borderId="8" xfId="0" applyNumberFormat="1" applyFont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3" fillId="0" borderId="0" xfId="0" applyFont="1"/>
    <xf numFmtId="0" fontId="3" fillId="0" borderId="1" xfId="0" applyFont="1" applyBorder="1"/>
    <xf numFmtId="0" fontId="0" fillId="2" borderId="1" xfId="0" applyFill="1" applyBorder="1" applyProtection="1">
      <protection locked="0"/>
    </xf>
    <xf numFmtId="164" fontId="0" fillId="2" borderId="1" xfId="0" applyNumberFormat="1" applyFill="1" applyBorder="1" applyProtection="1">
      <protection locked="0"/>
    </xf>
    <xf numFmtId="0" fontId="3" fillId="0" borderId="0" xfId="0" applyFont="1" applyProtection="1">
      <protection hidden="1"/>
    </xf>
    <xf numFmtId="0" fontId="2" fillId="0" borderId="0" xfId="0" applyFont="1" applyProtection="1">
      <protection hidden="1"/>
    </xf>
    <xf numFmtId="2" fontId="5" fillId="4" borderId="1" xfId="0" applyNumberFormat="1" applyFont="1" applyFill="1" applyBorder="1" applyAlignment="1" applyProtection="1">
      <alignment horizontal="right"/>
      <protection hidden="1"/>
    </xf>
    <xf numFmtId="165" fontId="5" fillId="2" borderId="1" xfId="0" applyNumberFormat="1" applyFont="1" applyFill="1" applyBorder="1" applyProtection="1">
      <protection hidden="1"/>
    </xf>
    <xf numFmtId="2" fontId="5" fillId="5" borderId="1" xfId="0" applyNumberFormat="1" applyFont="1" applyFill="1" applyBorder="1" applyAlignment="1" applyProtection="1">
      <alignment horizontal="right"/>
      <protection hidden="1"/>
    </xf>
    <xf numFmtId="165" fontId="5" fillId="3" borderId="1" xfId="0" applyNumberFormat="1" applyFont="1" applyFill="1" applyBorder="1" applyProtection="1">
      <protection hidden="1"/>
    </xf>
    <xf numFmtId="2" fontId="5" fillId="6" borderId="1" xfId="0" applyNumberFormat="1" applyFont="1" applyFill="1" applyBorder="1"/>
    <xf numFmtId="165" fontId="5" fillId="7" borderId="1" xfId="0" applyNumberFormat="1" applyFont="1" applyFill="1" applyBorder="1"/>
    <xf numFmtId="2" fontId="5" fillId="0" borderId="0" xfId="0" applyNumberFormat="1" applyFont="1" applyBorder="1"/>
    <xf numFmtId="2" fontId="5" fillId="2" borderId="1" xfId="0" applyNumberFormat="1" applyFont="1" applyFill="1" applyBorder="1"/>
    <xf numFmtId="0" fontId="5" fillId="2" borderId="1" xfId="0" applyFont="1" applyFill="1" applyBorder="1" applyAlignment="1" applyProtection="1">
      <alignment horizontal="center"/>
      <protection hidden="1"/>
    </xf>
    <xf numFmtId="0" fontId="4" fillId="2" borderId="1" xfId="0" applyFont="1" applyFill="1" applyBorder="1"/>
    <xf numFmtId="2" fontId="4" fillId="2" borderId="1" xfId="0" applyNumberFormat="1" applyFont="1" applyFill="1" applyBorder="1" applyProtection="1">
      <protection hidden="1"/>
    </xf>
    <xf numFmtId="0" fontId="4" fillId="2" borderId="1" xfId="0" applyFont="1" applyFill="1" applyBorder="1" applyProtection="1">
      <protection hidden="1"/>
    </xf>
    <xf numFmtId="2" fontId="4" fillId="2" borderId="1" xfId="0" applyNumberFormat="1" applyFont="1" applyFill="1" applyBorder="1"/>
    <xf numFmtId="0" fontId="5" fillId="2" borderId="9" xfId="0" applyFont="1" applyFill="1" applyBorder="1"/>
    <xf numFmtId="0" fontId="4" fillId="2" borderId="3" xfId="0" applyFont="1" applyFill="1" applyBorder="1"/>
    <xf numFmtId="0" fontId="4" fillId="2" borderId="10" xfId="0" applyFont="1" applyFill="1" applyBorder="1"/>
    <xf numFmtId="0" fontId="0" fillId="2" borderId="10" xfId="0" applyFill="1" applyBorder="1"/>
    <xf numFmtId="2" fontId="4" fillId="2" borderId="5" xfId="0" applyNumberFormat="1" applyFont="1" applyFill="1" applyBorder="1" applyProtection="1">
      <protection hidden="1"/>
    </xf>
    <xf numFmtId="0" fontId="0" fillId="0" borderId="0" xfId="0" applyBorder="1"/>
    <xf numFmtId="0" fontId="0" fillId="0" borderId="9" xfId="0" applyBorder="1" applyAlignment="1">
      <alignment horizontal="left"/>
    </xf>
    <xf numFmtId="0" fontId="0" fillId="0" borderId="11" xfId="0" applyBorder="1"/>
    <xf numFmtId="0" fontId="0" fillId="0" borderId="3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5" xfId="0" applyBorder="1" applyAlignment="1">
      <alignment horizontal="left"/>
    </xf>
    <xf numFmtId="0" fontId="5" fillId="8" borderId="0" xfId="0" applyFont="1" applyFill="1" applyBorder="1" applyAlignment="1" applyProtection="1">
      <alignment horizontal="left"/>
      <protection locked="0"/>
    </xf>
    <xf numFmtId="0" fontId="4" fillId="0" borderId="0" xfId="0" applyFont="1" applyProtection="1">
      <protection locked="0"/>
    </xf>
    <xf numFmtId="165" fontId="5" fillId="0" borderId="1" xfId="0" applyNumberFormat="1" applyFont="1" applyBorder="1" applyProtection="1">
      <protection locked="0" hidden="1"/>
    </xf>
    <xf numFmtId="2" fontId="5" fillId="0" borderId="1" xfId="0" applyNumberFormat="1" applyFont="1" applyBorder="1" applyAlignment="1" applyProtection="1">
      <alignment horizontal="right"/>
      <protection locked="0" hidden="1"/>
    </xf>
    <xf numFmtId="49" fontId="4" fillId="2" borderId="1" xfId="0" applyNumberFormat="1" applyFont="1" applyFill="1" applyBorder="1" applyAlignment="1" applyProtection="1">
      <alignment horizontal="center"/>
      <protection locked="0"/>
    </xf>
    <xf numFmtId="0" fontId="4" fillId="3" borderId="1" xfId="0" applyFont="1" applyFill="1" applyBorder="1"/>
    <xf numFmtId="0" fontId="5" fillId="0" borderId="1" xfId="0" applyFont="1" applyBorder="1" applyAlignment="1">
      <alignment horizontal="center"/>
    </xf>
    <xf numFmtId="2" fontId="4" fillId="3" borderId="1" xfId="0" applyNumberFormat="1" applyFont="1" applyFill="1" applyBorder="1"/>
    <xf numFmtId="0" fontId="4" fillId="0" borderId="1" xfId="0" applyFont="1" applyBorder="1" applyProtection="1">
      <protection hidden="1"/>
    </xf>
    <xf numFmtId="0" fontId="4" fillId="0" borderId="0" xfId="0" applyFont="1" applyFill="1" applyBorder="1"/>
    <xf numFmtId="165" fontId="4" fillId="3" borderId="1" xfId="0" applyNumberFormat="1" applyFont="1" applyFill="1" applyBorder="1"/>
    <xf numFmtId="165" fontId="4" fillId="2" borderId="1" xfId="0" applyNumberFormat="1" applyFont="1" applyFill="1" applyBorder="1"/>
    <xf numFmtId="2" fontId="4" fillId="0" borderId="1" xfId="0" applyNumberFormat="1" applyFont="1" applyBorder="1" applyProtection="1">
      <protection hidden="1"/>
    </xf>
    <xf numFmtId="165" fontId="4" fillId="0" borderId="13" xfId="0" applyNumberFormat="1" applyFont="1" applyBorder="1" applyAlignment="1" applyProtection="1">
      <alignment horizontal="right"/>
      <protection hidden="1"/>
    </xf>
    <xf numFmtId="165" fontId="4" fillId="0" borderId="3" xfId="0" applyNumberFormat="1" applyFont="1" applyBorder="1" applyAlignment="1" applyProtection="1">
      <alignment horizontal="right"/>
      <protection hidden="1"/>
    </xf>
    <xf numFmtId="165" fontId="4" fillId="0" borderId="1" xfId="0" applyNumberFormat="1" applyFont="1" applyBorder="1" applyAlignment="1" applyProtection="1">
      <alignment horizontal="right"/>
      <protection hidden="1"/>
    </xf>
    <xf numFmtId="165" fontId="12" fillId="0" borderId="0" xfId="0" applyNumberFormat="1" applyFont="1" applyAlignment="1" applyProtection="1">
      <alignment horizontal="right"/>
      <protection hidden="1"/>
    </xf>
    <xf numFmtId="165" fontId="8" fillId="0" borderId="0" xfId="0" applyNumberFormat="1" applyFont="1" applyAlignment="1">
      <alignment horizontal="right"/>
    </xf>
    <xf numFmtId="0" fontId="7" fillId="0" borderId="1" xfId="0" applyFont="1" applyBorder="1"/>
    <xf numFmtId="0" fontId="25" fillId="0" borderId="1" xfId="0" applyFont="1" applyBorder="1"/>
    <xf numFmtId="0" fontId="26" fillId="0" borderId="0" xfId="0" applyFont="1" applyAlignment="1">
      <alignment horizontal="right"/>
    </xf>
    <xf numFmtId="165" fontId="27" fillId="0" borderId="0" xfId="0" applyNumberFormat="1" applyFont="1" applyBorder="1"/>
    <xf numFmtId="0" fontId="28" fillId="0" borderId="1" xfId="0" applyFont="1" applyBorder="1"/>
    <xf numFmtId="164" fontId="0" fillId="0" borderId="0" xfId="0" applyNumberFormat="1" applyProtection="1">
      <protection hidden="1"/>
    </xf>
    <xf numFmtId="164" fontId="0" fillId="0" borderId="1" xfId="0" applyNumberFormat="1" applyBorder="1" applyProtection="1">
      <protection hidden="1"/>
    </xf>
    <xf numFmtId="2" fontId="4" fillId="2" borderId="12" xfId="0" applyNumberFormat="1" applyFont="1" applyFill="1" applyBorder="1" applyProtection="1">
      <protection hidden="1"/>
    </xf>
    <xf numFmtId="0" fontId="0" fillId="2" borderId="14" xfId="0" applyFill="1" applyBorder="1" applyProtection="1">
      <protection hidden="1"/>
    </xf>
    <xf numFmtId="0" fontId="4" fillId="2" borderId="14" xfId="0" applyFont="1" applyFill="1" applyBorder="1" applyAlignment="1" applyProtection="1">
      <alignment horizontal="right"/>
      <protection hidden="1"/>
    </xf>
    <xf numFmtId="2" fontId="4" fillId="2" borderId="14" xfId="0" applyNumberFormat="1" applyFont="1" applyFill="1" applyBorder="1" applyProtection="1">
      <protection hidden="1"/>
    </xf>
    <xf numFmtId="0" fontId="4" fillId="2" borderId="9" xfId="0" applyFont="1" applyFill="1" applyBorder="1"/>
    <xf numFmtId="0" fontId="4" fillId="2" borderId="11" xfId="0" applyFont="1" applyFill="1" applyBorder="1"/>
    <xf numFmtId="0" fontId="21" fillId="0" borderId="0" xfId="0" applyFont="1" applyFill="1" applyAlignment="1">
      <alignment horizontal="left"/>
    </xf>
    <xf numFmtId="14" fontId="0" fillId="0" borderId="10" xfId="0" applyNumberFormat="1" applyBorder="1" applyAlignment="1">
      <alignment horizontal="left"/>
    </xf>
    <xf numFmtId="15" fontId="0" fillId="0" borderId="0" xfId="0" applyNumberFormat="1" applyAlignment="1">
      <alignment horizontal="left"/>
    </xf>
    <xf numFmtId="2" fontId="8" fillId="0" borderId="0" xfId="0" applyNumberFormat="1" applyFont="1" applyAlignment="1">
      <alignment horizontal="right"/>
    </xf>
    <xf numFmtId="0" fontId="0" fillId="9" borderId="1" xfId="0" applyFill="1" applyBorder="1" applyProtection="1">
      <protection hidden="1"/>
    </xf>
    <xf numFmtId="0" fontId="29" fillId="3" borderId="1" xfId="0" applyFont="1" applyFill="1" applyBorder="1" applyProtection="1">
      <protection hidden="1"/>
    </xf>
    <xf numFmtId="0" fontId="29" fillId="8" borderId="1" xfId="0" applyFont="1" applyFill="1" applyBorder="1" applyProtection="1">
      <protection hidden="1"/>
    </xf>
    <xf numFmtId="0" fontId="29" fillId="9" borderId="1" xfId="0" applyFont="1" applyFill="1" applyBorder="1" applyProtection="1">
      <protection hidden="1"/>
    </xf>
    <xf numFmtId="0" fontId="29" fillId="0" borderId="1" xfId="0" applyFont="1" applyBorder="1" applyProtection="1">
      <protection hidden="1"/>
    </xf>
    <xf numFmtId="2" fontId="29" fillId="0" borderId="13" xfId="0" applyNumberFormat="1" applyFont="1" applyBorder="1" applyProtection="1">
      <protection hidden="1"/>
    </xf>
    <xf numFmtId="0" fontId="29" fillId="2" borderId="1" xfId="0" applyFont="1" applyFill="1" applyBorder="1" applyProtection="1">
      <protection hidden="1"/>
    </xf>
    <xf numFmtId="0" fontId="29" fillId="10" borderId="1" xfId="0" applyFont="1" applyFill="1" applyBorder="1" applyProtection="1">
      <protection hidden="1"/>
    </xf>
    <xf numFmtId="0" fontId="4" fillId="11" borderId="1" xfId="0" applyFont="1" applyFill="1" applyBorder="1" applyAlignment="1" applyProtection="1">
      <alignment horizontal="left"/>
      <protection hidden="1"/>
    </xf>
    <xf numFmtId="0" fontId="4" fillId="11" borderId="1" xfId="0" applyFont="1" applyFill="1" applyBorder="1" applyProtection="1">
      <protection hidden="1"/>
    </xf>
    <xf numFmtId="2" fontId="8" fillId="3" borderId="1" xfId="0" applyNumberFormat="1" applyFont="1" applyFill="1" applyBorder="1" applyAlignment="1" applyProtection="1">
      <alignment horizontal="right"/>
      <protection hidden="1"/>
    </xf>
    <xf numFmtId="165" fontId="8" fillId="3" borderId="1" xfId="0" applyNumberFormat="1" applyFont="1" applyFill="1" applyBorder="1" applyAlignment="1" applyProtection="1">
      <alignment horizontal="right"/>
      <protection hidden="1"/>
    </xf>
    <xf numFmtId="1" fontId="8" fillId="9" borderId="1" xfId="0" applyNumberFormat="1" applyFont="1" applyFill="1" applyBorder="1" applyAlignment="1" applyProtection="1">
      <alignment horizontal="right"/>
      <protection hidden="1"/>
    </xf>
    <xf numFmtId="1" fontId="8" fillId="0" borderId="1" xfId="0" applyNumberFormat="1" applyFont="1" applyBorder="1" applyAlignment="1" applyProtection="1">
      <alignment horizontal="right"/>
      <protection hidden="1"/>
    </xf>
    <xf numFmtId="2" fontId="8" fillId="0" borderId="13" xfId="0" applyNumberFormat="1" applyFont="1" applyBorder="1" applyAlignment="1" applyProtection="1">
      <alignment horizontal="right"/>
      <protection hidden="1"/>
    </xf>
    <xf numFmtId="1" fontId="8" fillId="3" borderId="1" xfId="0" applyNumberFormat="1" applyFont="1" applyFill="1" applyBorder="1" applyAlignment="1" applyProtection="1">
      <alignment horizontal="right"/>
      <protection hidden="1"/>
    </xf>
    <xf numFmtId="0" fontId="0" fillId="0" borderId="0" xfId="0" applyAlignment="1" applyProtection="1">
      <alignment horizontal="left"/>
      <protection hidden="1"/>
    </xf>
    <xf numFmtId="0" fontId="4" fillId="5" borderId="1" xfId="0" applyFont="1" applyFill="1" applyBorder="1"/>
    <xf numFmtId="0" fontId="4" fillId="5" borderId="1" xfId="0" applyFont="1" applyFill="1" applyBorder="1" applyAlignment="1">
      <alignment horizontal="left"/>
    </xf>
    <xf numFmtId="0" fontId="0" fillId="9" borderId="0" xfId="0" applyFill="1" applyBorder="1" applyProtection="1">
      <protection hidden="1"/>
    </xf>
    <xf numFmtId="0" fontId="4" fillId="9" borderId="0" xfId="0" applyFont="1" applyFill="1" applyBorder="1"/>
    <xf numFmtId="0" fontId="5" fillId="9" borderId="2" xfId="0" applyFont="1" applyFill="1" applyBorder="1" applyAlignment="1" applyProtection="1">
      <alignment horizontal="centerContinuous"/>
      <protection hidden="1"/>
    </xf>
    <xf numFmtId="0" fontId="0" fillId="9" borderId="15" xfId="0" applyFill="1" applyBorder="1" applyAlignment="1" applyProtection="1">
      <alignment horizontal="centerContinuous"/>
      <protection hidden="1"/>
    </xf>
    <xf numFmtId="0" fontId="0" fillId="9" borderId="13" xfId="0" applyFill="1" applyBorder="1" applyAlignment="1" applyProtection="1">
      <alignment horizontal="centerContinuous"/>
      <protection hidden="1"/>
    </xf>
    <xf numFmtId="0" fontId="13" fillId="9" borderId="1" xfId="0" applyFont="1" applyFill="1" applyBorder="1" applyAlignment="1" applyProtection="1">
      <alignment horizontal="center"/>
      <protection hidden="1"/>
    </xf>
    <xf numFmtId="0" fontId="13" fillId="9" borderId="0" xfId="0" quotePrefix="1" applyFont="1" applyFill="1" applyBorder="1" applyAlignment="1" applyProtection="1">
      <alignment horizontal="center"/>
      <protection hidden="1"/>
    </xf>
    <xf numFmtId="0" fontId="18" fillId="9" borderId="9" xfId="0" applyFont="1" applyFill="1" applyBorder="1" applyAlignment="1" applyProtection="1">
      <alignment horizontal="centerContinuous"/>
      <protection hidden="1"/>
    </xf>
    <xf numFmtId="0" fontId="5" fillId="9" borderId="11" xfId="0" applyFont="1" applyFill="1" applyBorder="1" applyAlignment="1" applyProtection="1">
      <alignment horizontal="centerContinuous"/>
      <protection hidden="1"/>
    </xf>
    <xf numFmtId="0" fontId="5" fillId="9" borderId="3" xfId="0" applyFont="1" applyFill="1" applyBorder="1" applyAlignment="1" applyProtection="1">
      <alignment horizontal="centerContinuous"/>
      <protection hidden="1"/>
    </xf>
    <xf numFmtId="0" fontId="5" fillId="9" borderId="2" xfId="0" applyFont="1" applyFill="1" applyBorder="1"/>
    <xf numFmtId="0" fontId="0" fillId="9" borderId="15" xfId="0" applyFill="1" applyBorder="1" applyProtection="1">
      <protection hidden="1"/>
    </xf>
    <xf numFmtId="0" fontId="4" fillId="9" borderId="13" xfId="0" applyFont="1" applyFill="1" applyBorder="1"/>
    <xf numFmtId="0" fontId="13" fillId="9" borderId="0" xfId="0" applyFont="1" applyFill="1" applyBorder="1" applyAlignment="1" applyProtection="1">
      <alignment horizontal="center"/>
      <protection hidden="1"/>
    </xf>
    <xf numFmtId="0" fontId="5" fillId="9" borderId="9" xfId="0" applyFont="1" applyFill="1" applyBorder="1" applyAlignment="1" applyProtection="1">
      <alignment horizontal="centerContinuous"/>
      <protection hidden="1"/>
    </xf>
    <xf numFmtId="0" fontId="5" fillId="9" borderId="11" xfId="0" applyFont="1" applyFill="1" applyBorder="1" applyAlignment="1" applyProtection="1">
      <alignment horizontal="right"/>
      <protection hidden="1"/>
    </xf>
    <xf numFmtId="164" fontId="5" fillId="9" borderId="16" xfId="0" applyNumberFormat="1" applyFont="1" applyFill="1" applyBorder="1" applyAlignment="1">
      <alignment horizontal="center"/>
    </xf>
    <xf numFmtId="0" fontId="21" fillId="9" borderId="2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14" fillId="9" borderId="14" xfId="0" applyFont="1" applyFill="1" applyBorder="1" applyProtection="1">
      <protection hidden="1"/>
    </xf>
    <xf numFmtId="0" fontId="13" fillId="9" borderId="1" xfId="0" applyFont="1" applyFill="1" applyBorder="1" applyAlignment="1" applyProtection="1">
      <alignment horizontal="right"/>
      <protection hidden="1"/>
    </xf>
    <xf numFmtId="0" fontId="5" fillId="9" borderId="4" xfId="0" applyFont="1" applyFill="1" applyBorder="1" applyAlignment="1" applyProtection="1">
      <alignment horizontal="centerContinuous"/>
      <protection hidden="1"/>
    </xf>
    <xf numFmtId="0" fontId="5" fillId="9" borderId="12" xfId="0" applyFont="1" applyFill="1" applyBorder="1" applyAlignment="1" applyProtection="1">
      <alignment horizontal="centerContinuous"/>
      <protection hidden="1"/>
    </xf>
    <xf numFmtId="0" fontId="5" fillId="9" borderId="12" xfId="0" applyFont="1" applyFill="1" applyBorder="1" applyAlignment="1" applyProtection="1">
      <alignment horizontal="right"/>
      <protection hidden="1"/>
    </xf>
    <xf numFmtId="164" fontId="5" fillId="9" borderId="1" xfId="0" applyNumberFormat="1" applyFont="1" applyFill="1" applyBorder="1" applyAlignment="1">
      <alignment horizontal="center"/>
    </xf>
    <xf numFmtId="164" fontId="5" fillId="9" borderId="2" xfId="0" applyNumberFormat="1" applyFont="1" applyFill="1" applyBorder="1" applyAlignment="1">
      <alignment horizontal="left"/>
    </xf>
    <xf numFmtId="0" fontId="0" fillId="9" borderId="13" xfId="0" applyFill="1" applyBorder="1"/>
    <xf numFmtId="0" fontId="14" fillId="9" borderId="16" xfId="0" applyFont="1" applyFill="1" applyBorder="1" applyProtection="1">
      <protection hidden="1"/>
    </xf>
    <xf numFmtId="164" fontId="5" fillId="9" borderId="1" xfId="0" applyNumberFormat="1" applyFont="1" applyFill="1" applyBorder="1"/>
    <xf numFmtId="164" fontId="5" fillId="9" borderId="2" xfId="0" applyNumberFormat="1" applyFont="1" applyFill="1" applyBorder="1"/>
    <xf numFmtId="0" fontId="4" fillId="9" borderId="0" xfId="0" applyFont="1" applyFill="1" applyBorder="1" applyProtection="1">
      <protection hidden="1"/>
    </xf>
    <xf numFmtId="0" fontId="0" fillId="9" borderId="12" xfId="0" applyFill="1" applyBorder="1" applyProtection="1">
      <protection hidden="1"/>
    </xf>
    <xf numFmtId="0" fontId="4" fillId="9" borderId="1" xfId="0" applyFont="1" applyFill="1" applyBorder="1"/>
    <xf numFmtId="0" fontId="0" fillId="9" borderId="0" xfId="0" applyFill="1" applyBorder="1"/>
    <xf numFmtId="0" fontId="2" fillId="9" borderId="9" xfId="0" applyFont="1" applyFill="1" applyBorder="1" applyProtection="1">
      <protection hidden="1"/>
    </xf>
    <xf numFmtId="0" fontId="0" fillId="9" borderId="11" xfId="0" applyFill="1" applyBorder="1" applyProtection="1">
      <protection hidden="1"/>
    </xf>
    <xf numFmtId="0" fontId="4" fillId="9" borderId="11" xfId="0" applyFont="1" applyFill="1" applyBorder="1"/>
    <xf numFmtId="0" fontId="0" fillId="9" borderId="11" xfId="0" applyFill="1" applyBorder="1"/>
    <xf numFmtId="0" fontId="0" fillId="9" borderId="3" xfId="0" applyFill="1" applyBorder="1"/>
    <xf numFmtId="165" fontId="0" fillId="9" borderId="0" xfId="0" applyNumberFormat="1" applyFill="1" applyBorder="1" applyProtection="1">
      <protection hidden="1"/>
    </xf>
    <xf numFmtId="0" fontId="4" fillId="9" borderId="7" xfId="0" applyFont="1" applyFill="1" applyBorder="1"/>
    <xf numFmtId="0" fontId="0" fillId="9" borderId="10" xfId="0" applyFill="1" applyBorder="1" applyProtection="1">
      <protection hidden="1"/>
    </xf>
    <xf numFmtId="0" fontId="23" fillId="9" borderId="0" xfId="0" applyFont="1" applyFill="1" applyBorder="1" applyProtection="1">
      <protection hidden="1"/>
    </xf>
    <xf numFmtId="0" fontId="9" fillId="9" borderId="0" xfId="0" applyFont="1" applyFill="1" applyBorder="1" applyAlignment="1" applyProtection="1">
      <alignment horizontal="centerContinuous"/>
      <protection hidden="1"/>
    </xf>
    <xf numFmtId="0" fontId="4" fillId="9" borderId="10" xfId="0" applyFont="1" applyFill="1" applyBorder="1"/>
    <xf numFmtId="0" fontId="0" fillId="9" borderId="10" xfId="0" applyFill="1" applyBorder="1"/>
    <xf numFmtId="0" fontId="0" fillId="9" borderId="7" xfId="0" applyFill="1" applyBorder="1" applyProtection="1">
      <protection hidden="1"/>
    </xf>
    <xf numFmtId="0" fontId="2" fillId="9" borderId="0" xfId="0" applyFont="1" applyFill="1" applyBorder="1" applyProtection="1">
      <protection hidden="1"/>
    </xf>
    <xf numFmtId="0" fontId="0" fillId="9" borderId="7" xfId="0" applyFill="1" applyBorder="1"/>
    <xf numFmtId="0" fontId="4" fillId="9" borderId="7" xfId="0" applyFont="1" applyFill="1" applyBorder="1" applyProtection="1">
      <protection hidden="1"/>
    </xf>
    <xf numFmtId="0" fontId="0" fillId="9" borderId="4" xfId="0" applyFill="1" applyBorder="1"/>
    <xf numFmtId="0" fontId="0" fillId="9" borderId="12" xfId="0" applyFill="1" applyBorder="1"/>
    <xf numFmtId="0" fontId="0" fillId="9" borderId="5" xfId="0" applyFill="1" applyBorder="1" applyProtection="1">
      <protection hidden="1"/>
    </xf>
    <xf numFmtId="164" fontId="8" fillId="2" borderId="1" xfId="0" applyNumberFormat="1" applyFont="1" applyFill="1" applyBorder="1" applyAlignment="1" applyProtection="1">
      <alignment horizontal="right"/>
      <protection hidden="1"/>
    </xf>
    <xf numFmtId="0" fontId="0" fillId="12" borderId="1" xfId="0" applyFill="1" applyBorder="1" applyProtection="1">
      <protection hidden="1"/>
    </xf>
    <xf numFmtId="0" fontId="0" fillId="3" borderId="1" xfId="0" applyFill="1" applyBorder="1" applyProtection="1">
      <protection hidden="1"/>
    </xf>
    <xf numFmtId="0" fontId="7" fillId="3" borderId="1" xfId="0" applyFont="1" applyFill="1" applyBorder="1"/>
    <xf numFmtId="2" fontId="7" fillId="3" borderId="1" xfId="0" applyNumberFormat="1" applyFont="1" applyFill="1" applyBorder="1"/>
    <xf numFmtId="164" fontId="4" fillId="3" borderId="1" xfId="0" applyNumberFormat="1" applyFont="1" applyFill="1" applyBorder="1"/>
    <xf numFmtId="164" fontId="4" fillId="2" borderId="1" xfId="0" applyNumberFormat="1" applyFont="1" applyFill="1" applyBorder="1"/>
    <xf numFmtId="0" fontId="7" fillId="13" borderId="1" xfId="0" applyFont="1" applyFill="1" applyBorder="1"/>
    <xf numFmtId="0" fontId="0" fillId="13" borderId="1" xfId="0" applyFill="1" applyBorder="1" applyProtection="1">
      <protection hidden="1"/>
    </xf>
    <xf numFmtId="0" fontId="4" fillId="13" borderId="1" xfId="0" applyFont="1" applyFill="1" applyBorder="1"/>
    <xf numFmtId="165" fontId="4" fillId="13" borderId="1" xfId="0" applyNumberFormat="1" applyFont="1" applyFill="1" applyBorder="1"/>
    <xf numFmtId="0" fontId="7" fillId="11" borderId="1" xfId="0" applyFont="1" applyFill="1" applyBorder="1"/>
    <xf numFmtId="0" fontId="0" fillId="11" borderId="1" xfId="0" applyFill="1" applyBorder="1" applyProtection="1">
      <protection hidden="1"/>
    </xf>
    <xf numFmtId="0" fontId="4" fillId="11" borderId="1" xfId="0" applyFont="1" applyFill="1" applyBorder="1"/>
    <xf numFmtId="165" fontId="4" fillId="11" borderId="1" xfId="0" applyNumberFormat="1" applyFont="1" applyFill="1" applyBorder="1"/>
    <xf numFmtId="165" fontId="4" fillId="9" borderId="1" xfId="0" applyNumberFormat="1" applyFont="1" applyFill="1" applyBorder="1"/>
    <xf numFmtId="14" fontId="4" fillId="11" borderId="1" xfId="0" applyNumberFormat="1" applyFont="1" applyFill="1" applyBorder="1" applyProtection="1">
      <protection hidden="1"/>
    </xf>
    <xf numFmtId="0" fontId="5" fillId="9" borderId="3" xfId="0" applyFont="1" applyFill="1" applyBorder="1" applyAlignment="1" applyProtection="1">
      <alignment horizontal="left"/>
      <protection hidden="1"/>
    </xf>
    <xf numFmtId="0" fontId="5" fillId="9" borderId="5" xfId="0" applyFont="1" applyFill="1" applyBorder="1" applyAlignment="1" applyProtection="1">
      <alignment horizontal="left"/>
      <protection hidden="1"/>
    </xf>
    <xf numFmtId="0" fontId="4" fillId="9" borderId="0" xfId="0" applyFont="1" applyFill="1" applyBorder="1" applyProtection="1"/>
    <xf numFmtId="0" fontId="4" fillId="4" borderId="0" xfId="0" applyFont="1" applyFill="1"/>
    <xf numFmtId="0" fontId="4" fillId="4" borderId="0" xfId="0" applyFont="1" applyFill="1" applyProtection="1"/>
    <xf numFmtId="0" fontId="4" fillId="2" borderId="0" xfId="0" applyFont="1" applyFill="1"/>
    <xf numFmtId="0" fontId="4" fillId="2" borderId="0" xfId="0" applyFont="1" applyFill="1" applyProtection="1"/>
    <xf numFmtId="0" fontId="5" fillId="2" borderId="1" xfId="0" applyFont="1" applyFill="1" applyBorder="1" applyProtection="1"/>
    <xf numFmtId="2" fontId="5" fillId="11" borderId="1" xfId="0" applyNumberFormat="1" applyFont="1" applyFill="1" applyBorder="1"/>
    <xf numFmtId="2" fontId="0" fillId="3" borderId="1" xfId="0" applyNumberFormat="1" applyFill="1" applyBorder="1"/>
    <xf numFmtId="2" fontId="5" fillId="2" borderId="13" xfId="0" applyNumberFormat="1" applyFont="1" applyFill="1" applyBorder="1"/>
    <xf numFmtId="0" fontId="0" fillId="2" borderId="4" xfId="0" applyFill="1" applyBorder="1"/>
    <xf numFmtId="0" fontId="0" fillId="2" borderId="5" xfId="0" applyFill="1" applyBorder="1"/>
    <xf numFmtId="0" fontId="4" fillId="2" borderId="7" xfId="0" applyFont="1" applyFill="1" applyBorder="1" applyAlignment="1">
      <alignment horizontal="right"/>
    </xf>
    <xf numFmtId="0" fontId="5" fillId="9" borderId="2" xfId="0" applyFont="1" applyFill="1" applyBorder="1" applyAlignment="1"/>
    <xf numFmtId="165" fontId="5" fillId="11" borderId="1" xfId="0" applyNumberFormat="1" applyFont="1" applyFill="1" applyBorder="1"/>
    <xf numFmtId="2" fontId="8" fillId="2" borderId="1" xfId="0" applyNumberFormat="1" applyFont="1" applyFill="1" applyBorder="1" applyProtection="1">
      <protection hidden="1"/>
    </xf>
    <xf numFmtId="2" fontId="5" fillId="0" borderId="1" xfId="0" applyNumberFormat="1" applyFont="1" applyFill="1" applyBorder="1" applyAlignment="1" applyProtection="1">
      <alignment horizontal="right"/>
      <protection hidden="1"/>
    </xf>
    <xf numFmtId="2" fontId="12" fillId="0" borderId="0" xfId="0" applyNumberFormat="1" applyFont="1" applyProtection="1">
      <protection hidden="1"/>
    </xf>
    <xf numFmtId="2" fontId="5" fillId="0" borderId="8" xfId="0" applyNumberFormat="1" applyFont="1" applyFill="1" applyBorder="1"/>
    <xf numFmtId="165" fontId="5" fillId="0" borderId="8" xfId="0" applyNumberFormat="1" applyFont="1" applyFill="1" applyBorder="1"/>
    <xf numFmtId="2" fontId="0" fillId="0" borderId="0" xfId="0" applyNumberFormat="1" applyFill="1" applyProtection="1">
      <protection hidden="1"/>
    </xf>
    <xf numFmtId="0" fontId="0" fillId="0" borderId="0" xfId="0" applyFill="1" applyProtection="1">
      <protection hidden="1"/>
    </xf>
    <xf numFmtId="2" fontId="5" fillId="0" borderId="0" xfId="0" applyNumberFormat="1" applyFont="1" applyFill="1" applyProtection="1">
      <protection hidden="1"/>
    </xf>
    <xf numFmtId="2" fontId="0" fillId="0" borderId="0" xfId="0" applyNumberFormat="1" applyFill="1" applyBorder="1" applyProtection="1">
      <protection hidden="1"/>
    </xf>
    <xf numFmtId="2" fontId="20" fillId="0" borderId="0" xfId="0" applyNumberFormat="1" applyFont="1" applyFill="1" applyProtection="1">
      <protection hidden="1"/>
    </xf>
    <xf numFmtId="0" fontId="5" fillId="0" borderId="1" xfId="0" applyFont="1" applyFill="1" applyBorder="1" applyAlignment="1" applyProtection="1">
      <alignment horizontal="center"/>
      <protection hidden="1"/>
    </xf>
    <xf numFmtId="165" fontId="5" fillId="0" borderId="1" xfId="0" applyNumberFormat="1" applyFont="1" applyFill="1" applyBorder="1" applyProtection="1">
      <protection hidden="1"/>
    </xf>
    <xf numFmtId="0" fontId="17" fillId="0" borderId="0" xfId="0" applyFont="1" applyFill="1" applyAlignment="1" applyProtection="1">
      <alignment horizontal="left"/>
      <protection hidden="1"/>
    </xf>
    <xf numFmtId="0" fontId="4" fillId="0" borderId="0" xfId="0" applyFont="1" applyFill="1" applyProtection="1">
      <protection hidden="1"/>
    </xf>
    <xf numFmtId="0" fontId="4" fillId="0" borderId="0" xfId="0" applyFont="1" applyFill="1" applyAlignment="1" applyProtection="1">
      <alignment horizontal="right"/>
      <protection hidden="1"/>
    </xf>
    <xf numFmtId="0" fontId="5" fillId="0" borderId="0" xfId="0" applyFont="1" applyFill="1" applyAlignment="1" applyProtection="1">
      <alignment horizontal="right"/>
      <protection hidden="1"/>
    </xf>
    <xf numFmtId="2" fontId="5" fillId="0" borderId="0" xfId="0" applyNumberFormat="1" applyFont="1" applyProtection="1">
      <protection locked="0" hidden="1"/>
    </xf>
    <xf numFmtId="165" fontId="5" fillId="0" borderId="0" xfId="0" applyNumberFormat="1" applyFont="1" applyBorder="1"/>
    <xf numFmtId="0" fontId="4" fillId="9" borderId="17" xfId="0" applyFont="1" applyFill="1" applyBorder="1" applyAlignment="1">
      <alignment horizontal="left"/>
    </xf>
    <xf numFmtId="0" fontId="4" fillId="9" borderId="18" xfId="0" applyFont="1" applyFill="1" applyBorder="1"/>
    <xf numFmtId="0" fontId="4" fillId="9" borderId="19" xfId="0" applyFont="1" applyFill="1" applyBorder="1"/>
    <xf numFmtId="0" fontId="4" fillId="9" borderId="6" xfId="0" applyFont="1" applyFill="1" applyBorder="1"/>
    <xf numFmtId="0" fontId="4" fillId="2" borderId="9" xfId="0" applyFont="1" applyFill="1" applyBorder="1" applyAlignment="1">
      <alignment horizontal="left"/>
    </xf>
    <xf numFmtId="0" fontId="5" fillId="2" borderId="3" xfId="0" applyFont="1" applyFill="1" applyBorder="1" applyAlignment="1" applyProtection="1">
      <alignment horizontal="left"/>
    </xf>
    <xf numFmtId="0" fontId="4" fillId="2" borderId="10" xfId="0" applyFont="1" applyFill="1" applyBorder="1" applyAlignment="1">
      <alignment horizontal="left"/>
    </xf>
    <xf numFmtId="0" fontId="5" fillId="2" borderId="7" xfId="0" applyFont="1" applyFill="1" applyBorder="1" applyAlignment="1" applyProtection="1">
      <alignment horizontal="left"/>
      <protection locked="0"/>
    </xf>
    <xf numFmtId="0" fontId="4" fillId="2" borderId="4" xfId="0" applyFont="1" applyFill="1" applyBorder="1" applyAlignment="1">
      <alignment horizontal="left"/>
    </xf>
    <xf numFmtId="0" fontId="4" fillId="3" borderId="10" xfId="0" applyFont="1" applyFill="1" applyBorder="1" applyAlignment="1">
      <alignment horizontal="left"/>
    </xf>
    <xf numFmtId="0" fontId="5" fillId="3" borderId="7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Protection="1"/>
    <xf numFmtId="0" fontId="4" fillId="3" borderId="5" xfId="0" applyFont="1" applyFill="1" applyBorder="1" applyProtection="1"/>
    <xf numFmtId="0" fontId="5" fillId="9" borderId="3" xfId="0" applyFont="1" applyFill="1" applyBorder="1" applyAlignment="1" applyProtection="1">
      <alignment horizontal="left"/>
    </xf>
    <xf numFmtId="0" fontId="4" fillId="9" borderId="10" xfId="0" applyFont="1" applyFill="1" applyBorder="1" applyAlignment="1">
      <alignment horizontal="left"/>
    </xf>
    <xf numFmtId="0" fontId="5" fillId="9" borderId="7" xfId="0" applyFont="1" applyFill="1" applyBorder="1" applyAlignment="1" applyProtection="1">
      <alignment horizontal="left"/>
      <protection locked="0"/>
    </xf>
    <xf numFmtId="0" fontId="4" fillId="9" borderId="4" xfId="0" applyFont="1" applyFill="1" applyBorder="1" applyAlignment="1">
      <alignment horizontal="left"/>
    </xf>
    <xf numFmtId="0" fontId="4" fillId="9" borderId="5" xfId="0" applyFont="1" applyFill="1" applyBorder="1" applyAlignment="1" applyProtection="1">
      <alignment horizontal="right"/>
    </xf>
    <xf numFmtId="0" fontId="5" fillId="10" borderId="3" xfId="0" applyFont="1" applyFill="1" applyBorder="1" applyAlignment="1" applyProtection="1">
      <alignment horizontal="left"/>
    </xf>
    <xf numFmtId="0" fontId="4" fillId="10" borderId="10" xfId="0" applyFont="1" applyFill="1" applyBorder="1" applyAlignment="1">
      <alignment horizontal="left"/>
    </xf>
    <xf numFmtId="0" fontId="5" fillId="10" borderId="7" xfId="0" applyFont="1" applyFill="1" applyBorder="1" applyAlignment="1" applyProtection="1">
      <alignment horizontal="left"/>
      <protection locked="0"/>
    </xf>
    <xf numFmtId="0" fontId="5" fillId="10" borderId="4" xfId="0" applyFont="1" applyFill="1" applyBorder="1" applyAlignment="1" applyProtection="1">
      <alignment horizontal="left"/>
    </xf>
    <xf numFmtId="0" fontId="4" fillId="10" borderId="5" xfId="0" applyFont="1" applyFill="1" applyBorder="1" applyAlignment="1" applyProtection="1">
      <alignment horizontal="right"/>
    </xf>
    <xf numFmtId="0" fontId="4" fillId="3" borderId="9" xfId="0" applyFont="1" applyFill="1" applyBorder="1"/>
    <xf numFmtId="0" fontId="5" fillId="3" borderId="3" xfId="0" applyFont="1" applyFill="1" applyBorder="1" applyProtection="1"/>
    <xf numFmtId="0" fontId="4" fillId="9" borderId="9" xfId="0" applyFont="1" applyFill="1" applyBorder="1"/>
    <xf numFmtId="0" fontId="4" fillId="10" borderId="9" xfId="0" applyFont="1" applyFill="1" applyBorder="1"/>
    <xf numFmtId="0" fontId="5" fillId="0" borderId="0" xfId="0" applyFont="1" applyFill="1" applyProtection="1">
      <protection hidden="1"/>
    </xf>
    <xf numFmtId="2" fontId="7" fillId="13" borderId="1" xfId="0" applyNumberFormat="1" applyFont="1" applyFill="1" applyBorder="1"/>
    <xf numFmtId="0" fontId="0" fillId="9" borderId="0" xfId="0" applyFill="1"/>
    <xf numFmtId="0" fontId="0" fillId="9" borderId="1" xfId="0" applyFill="1" applyBorder="1"/>
    <xf numFmtId="0" fontId="3" fillId="9" borderId="2" xfId="0" applyFont="1" applyFill="1" applyBorder="1" applyAlignment="1"/>
    <xf numFmtId="0" fontId="3" fillId="9" borderId="13" xfId="0" applyFont="1" applyFill="1" applyBorder="1" applyAlignment="1"/>
    <xf numFmtId="2" fontId="4" fillId="8" borderId="1" xfId="0" applyNumberFormat="1" applyFont="1" applyFill="1" applyBorder="1"/>
    <xf numFmtId="0" fontId="5" fillId="9" borderId="15" xfId="0" applyFont="1" applyFill="1" applyBorder="1" applyAlignment="1"/>
    <xf numFmtId="0" fontId="5" fillId="9" borderId="15" xfId="0" applyFont="1" applyFill="1" applyBorder="1" applyAlignment="1">
      <alignment horizontal="right"/>
    </xf>
    <xf numFmtId="0" fontId="5" fillId="9" borderId="1" xfId="0" applyFont="1" applyFill="1" applyBorder="1" applyAlignment="1">
      <alignment horizontal="center"/>
    </xf>
    <xf numFmtId="0" fontId="3" fillId="2" borderId="1" xfId="0" applyFont="1" applyFill="1" applyBorder="1"/>
    <xf numFmtId="0" fontId="5" fillId="2" borderId="1" xfId="0" applyFont="1" applyFill="1" applyBorder="1" applyAlignment="1">
      <alignment horizontal="center"/>
    </xf>
    <xf numFmtId="2" fontId="0" fillId="2" borderId="1" xfId="0" applyNumberFormat="1" applyFill="1" applyBorder="1"/>
    <xf numFmtId="164" fontId="4" fillId="9" borderId="1" xfId="0" applyNumberFormat="1" applyFont="1" applyFill="1" applyBorder="1"/>
    <xf numFmtId="0" fontId="4" fillId="2" borderId="4" xfId="0" applyFont="1" applyFill="1" applyBorder="1" applyAlignment="1" applyProtection="1">
      <alignment horizontal="left"/>
      <protection hidden="1"/>
    </xf>
    <xf numFmtId="0" fontId="30" fillId="0" borderId="0" xfId="0" applyFont="1" applyAlignment="1" applyProtection="1">
      <alignment horizontal="right"/>
      <protection hidden="1"/>
    </xf>
    <xf numFmtId="0" fontId="30" fillId="0" borderId="0" xfId="0" applyFont="1" applyProtection="1">
      <protection hidden="1"/>
    </xf>
    <xf numFmtId="0" fontId="10" fillId="0" borderId="0" xfId="0" applyFont="1" applyProtection="1">
      <protection hidden="1"/>
    </xf>
    <xf numFmtId="164" fontId="0" fillId="0" borderId="0" xfId="0" applyNumberFormat="1"/>
    <xf numFmtId="0" fontId="4" fillId="4" borderId="2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5" fillId="3" borderId="1" xfId="0" applyFont="1" applyFill="1" applyBorder="1" applyAlignment="1" applyProtection="1">
      <alignment horizontal="center"/>
      <protection hidden="1"/>
    </xf>
    <xf numFmtId="165" fontId="5" fillId="3" borderId="1" xfId="0" applyNumberFormat="1" applyFont="1" applyFill="1" applyBorder="1" applyAlignment="1" applyProtection="1">
      <alignment horizontal="right"/>
      <protection hidden="1"/>
    </xf>
    <xf numFmtId="165" fontId="5" fillId="2" borderId="1" xfId="0" applyNumberFormat="1" applyFont="1" applyFill="1" applyBorder="1" applyAlignment="1" applyProtection="1">
      <alignment horizontal="right"/>
      <protection hidden="1"/>
    </xf>
    <xf numFmtId="164" fontId="4" fillId="5" borderId="1" xfId="0" applyNumberFormat="1" applyFont="1" applyFill="1" applyBorder="1"/>
    <xf numFmtId="0" fontId="5" fillId="9" borderId="0" xfId="0" applyFont="1" applyFill="1" applyBorder="1" applyAlignment="1" applyProtection="1">
      <alignment horizontal="left"/>
    </xf>
    <xf numFmtId="0" fontId="4" fillId="9" borderId="17" xfId="0" applyFont="1" applyFill="1" applyBorder="1"/>
    <xf numFmtId="2" fontId="4" fillId="5" borderId="1" xfId="0" applyNumberFormat="1" applyFont="1" applyFill="1" applyBorder="1"/>
    <xf numFmtId="0" fontId="0" fillId="4" borderId="1" xfId="0" applyFill="1" applyBorder="1"/>
    <xf numFmtId="0" fontId="0" fillId="4" borderId="1" xfId="0" applyFill="1" applyBorder="1" applyProtection="1">
      <protection hidden="1"/>
    </xf>
    <xf numFmtId="164" fontId="8" fillId="3" borderId="1" xfId="0" applyNumberFormat="1" applyFont="1" applyFill="1" applyBorder="1" applyAlignment="1" applyProtection="1">
      <alignment horizontal="right"/>
      <protection hidden="1"/>
    </xf>
    <xf numFmtId="0" fontId="29" fillId="3" borderId="1" xfId="0" applyFont="1" applyFill="1" applyBorder="1" applyAlignment="1" applyProtection="1">
      <alignment horizontal="left"/>
      <protection hidden="1"/>
    </xf>
    <xf numFmtId="2" fontId="29" fillId="3" borderId="1" xfId="0" applyNumberFormat="1" applyFont="1" applyFill="1" applyBorder="1" applyProtection="1">
      <protection hidden="1"/>
    </xf>
    <xf numFmtId="0" fontId="7" fillId="9" borderId="1" xfId="0" applyFont="1" applyFill="1" applyBorder="1"/>
    <xf numFmtId="164" fontId="29" fillId="9" borderId="1" xfId="0" applyNumberFormat="1" applyFont="1" applyFill="1" applyBorder="1"/>
    <xf numFmtId="165" fontId="5" fillId="0" borderId="1" xfId="0" applyNumberFormat="1" applyFont="1" applyFill="1" applyBorder="1" applyAlignment="1" applyProtection="1">
      <alignment horizontal="right"/>
      <protection hidden="1"/>
    </xf>
    <xf numFmtId="0" fontId="4" fillId="0" borderId="0" xfId="0" applyFont="1" applyAlignment="1">
      <alignment horizontal="center"/>
    </xf>
    <xf numFmtId="0" fontId="31" fillId="9" borderId="1" xfId="0" applyFont="1" applyFill="1" applyBorder="1"/>
    <xf numFmtId="2" fontId="31" fillId="9" borderId="1" xfId="0" applyNumberFormat="1" applyFont="1" applyFill="1" applyBorder="1"/>
    <xf numFmtId="0" fontId="32" fillId="9" borderId="0" xfId="0" applyFont="1" applyFill="1"/>
    <xf numFmtId="2" fontId="32" fillId="9" borderId="14" xfId="0" applyNumberFormat="1" applyFont="1" applyFill="1" applyBorder="1"/>
    <xf numFmtId="0" fontId="32" fillId="9" borderId="1" xfId="0" applyFont="1" applyFill="1" applyBorder="1"/>
    <xf numFmtId="0" fontId="33" fillId="9" borderId="1" xfId="0" applyFont="1" applyFill="1" applyBorder="1"/>
    <xf numFmtId="165" fontId="34" fillId="0" borderId="1" xfId="0" applyNumberFormat="1" applyFont="1" applyBorder="1" applyProtection="1">
      <protection hidden="1"/>
    </xf>
    <xf numFmtId="2" fontId="34" fillId="0" borderId="1" xfId="0" applyNumberFormat="1" applyFont="1" applyBorder="1" applyAlignment="1" applyProtection="1">
      <alignment horizontal="right"/>
      <protection hidden="1"/>
    </xf>
    <xf numFmtId="0" fontId="25" fillId="0" borderId="0" xfId="0" applyFont="1" applyProtection="1">
      <protection hidden="1"/>
    </xf>
    <xf numFmtId="2" fontId="34" fillId="0" borderId="0" xfId="0" applyNumberFormat="1" applyFont="1" applyBorder="1" applyAlignment="1" applyProtection="1">
      <alignment horizontal="right"/>
      <protection hidden="1"/>
    </xf>
    <xf numFmtId="0" fontId="25" fillId="0" borderId="0" xfId="0" applyFont="1"/>
    <xf numFmtId="0" fontId="35" fillId="0" borderId="0" xfId="0" applyFont="1"/>
    <xf numFmtId="0" fontId="0" fillId="2" borderId="0" xfId="0" applyFill="1"/>
    <xf numFmtId="0" fontId="36" fillId="9" borderId="1" xfId="0" applyFont="1" applyFill="1" applyBorder="1"/>
    <xf numFmtId="164" fontId="36" fillId="9" borderId="1" xfId="0" applyNumberFormat="1" applyFont="1" applyFill="1" applyBorder="1"/>
    <xf numFmtId="0" fontId="36" fillId="0" borderId="0" xfId="0" applyFont="1"/>
    <xf numFmtId="0" fontId="37" fillId="0" borderId="0" xfId="0" applyFont="1"/>
    <xf numFmtId="165" fontId="38" fillId="0" borderId="1" xfId="0" applyNumberFormat="1" applyFont="1" applyBorder="1" applyProtection="1">
      <protection hidden="1"/>
    </xf>
    <xf numFmtId="2" fontId="38" fillId="0" borderId="1" xfId="0" applyNumberFormat="1" applyFont="1" applyBorder="1" applyAlignment="1" applyProtection="1">
      <alignment horizontal="right"/>
      <protection hidden="1"/>
    </xf>
    <xf numFmtId="0" fontId="37" fillId="0" borderId="0" xfId="0" applyFont="1" applyProtection="1">
      <protection hidden="1"/>
    </xf>
    <xf numFmtId="2" fontId="38" fillId="0" borderId="0" xfId="0" applyNumberFormat="1" applyFont="1" applyBorder="1" applyAlignment="1" applyProtection="1">
      <alignment horizontal="right"/>
      <protection hidden="1"/>
    </xf>
    <xf numFmtId="0" fontId="39" fillId="9" borderId="1" xfId="0" applyFont="1" applyFill="1" applyBorder="1"/>
    <xf numFmtId="165" fontId="8" fillId="3" borderId="0" xfId="0" applyNumberFormat="1" applyFont="1" applyFill="1" applyAlignment="1" applyProtection="1">
      <alignment horizontal="right"/>
      <protection hidden="1"/>
    </xf>
    <xf numFmtId="2" fontId="8" fillId="3" borderId="1" xfId="0" applyNumberFormat="1" applyFont="1" applyFill="1" applyBorder="1" applyProtection="1">
      <protection hidden="1"/>
    </xf>
    <xf numFmtId="165" fontId="8" fillId="2" borderId="0" xfId="0" applyNumberFormat="1" applyFont="1" applyFill="1" applyAlignment="1" applyProtection="1">
      <alignment horizontal="right"/>
      <protection hidden="1"/>
    </xf>
    <xf numFmtId="165" fontId="8" fillId="9" borderId="0" xfId="0" applyNumberFormat="1" applyFont="1" applyFill="1" applyAlignment="1" applyProtection="1">
      <alignment horizontal="right"/>
      <protection hidden="1"/>
    </xf>
    <xf numFmtId="2" fontId="8" fillId="9" borderId="1" xfId="0" applyNumberFormat="1" applyFont="1" applyFill="1" applyBorder="1" applyProtection="1">
      <protection hidden="1"/>
    </xf>
    <xf numFmtId="165" fontId="8" fillId="10" borderId="0" xfId="0" applyNumberFormat="1" applyFont="1" applyFill="1" applyAlignment="1" applyProtection="1">
      <alignment horizontal="right"/>
      <protection hidden="1"/>
    </xf>
    <xf numFmtId="2" fontId="8" fillId="10" borderId="1" xfId="0" applyNumberFormat="1" applyFont="1" applyFill="1" applyBorder="1" applyProtection="1">
      <protection hidden="1"/>
    </xf>
    <xf numFmtId="165" fontId="8" fillId="11" borderId="0" xfId="0" applyNumberFormat="1" applyFont="1" applyFill="1" applyAlignment="1" applyProtection="1">
      <alignment horizontal="right"/>
      <protection hidden="1"/>
    </xf>
    <xf numFmtId="2" fontId="8" fillId="11" borderId="1" xfId="0" applyNumberFormat="1" applyFont="1" applyFill="1" applyBorder="1" applyProtection="1">
      <protection hidden="1"/>
    </xf>
    <xf numFmtId="2" fontId="8" fillId="11" borderId="14" xfId="0" applyNumberFormat="1" applyFont="1" applyFill="1" applyBorder="1" applyProtection="1">
      <protection hidden="1"/>
    </xf>
    <xf numFmtId="165" fontId="8" fillId="0" borderId="1" xfId="0" applyNumberFormat="1" applyFont="1" applyBorder="1" applyAlignment="1">
      <alignment horizontal="right"/>
    </xf>
    <xf numFmtId="165" fontId="8" fillId="2" borderId="1" xfId="0" applyNumberFormat="1" applyFont="1" applyFill="1" applyBorder="1" applyAlignment="1">
      <alignment horizontal="right"/>
    </xf>
    <xf numFmtId="0" fontId="8" fillId="2" borderId="1" xfId="0" applyFont="1" applyFill="1" applyBorder="1"/>
    <xf numFmtId="165" fontId="8" fillId="12" borderId="1" xfId="0" applyNumberFormat="1" applyFont="1" applyFill="1" applyBorder="1" applyAlignment="1">
      <alignment horizontal="right"/>
    </xf>
    <xf numFmtId="0" fontId="8" fillId="12" borderId="1" xfId="0" applyFont="1" applyFill="1" applyBorder="1"/>
    <xf numFmtId="0" fontId="6" fillId="0" borderId="0" xfId="0" applyFont="1" applyFill="1" applyAlignment="1" applyProtection="1">
      <alignment horizontal="left"/>
    </xf>
    <xf numFmtId="0" fontId="0" fillId="0" borderId="0" xfId="0" applyProtection="1"/>
    <xf numFmtId="0" fontId="5" fillId="9" borderId="1" xfId="0" applyFont="1" applyFill="1" applyBorder="1"/>
    <xf numFmtId="164" fontId="41" fillId="9" borderId="1" xfId="0" applyNumberFormat="1" applyFont="1" applyFill="1" applyBorder="1"/>
    <xf numFmtId="164" fontId="21" fillId="9" borderId="1" xfId="0" applyNumberFormat="1" applyFont="1" applyFill="1" applyBorder="1"/>
    <xf numFmtId="164" fontId="42" fillId="9" borderId="1" xfId="0" applyNumberFormat="1" applyFont="1" applyFill="1" applyBorder="1"/>
    <xf numFmtId="164" fontId="43" fillId="9" borderId="1" xfId="0" applyNumberFormat="1" applyFont="1" applyFill="1" applyBorder="1"/>
    <xf numFmtId="164" fontId="4" fillId="4" borderId="1" xfId="0" applyNumberFormat="1" applyFont="1" applyFill="1" applyBorder="1"/>
    <xf numFmtId="164" fontId="21" fillId="4" borderId="1" xfId="0" applyNumberFormat="1" applyFont="1" applyFill="1" applyBorder="1"/>
    <xf numFmtId="165" fontId="8" fillId="11" borderId="1" xfId="0" applyNumberFormat="1" applyFont="1" applyFill="1" applyBorder="1" applyAlignment="1">
      <alignment horizontal="right"/>
    </xf>
    <xf numFmtId="2" fontId="8" fillId="11" borderId="1" xfId="0" applyNumberFormat="1" applyFont="1" applyFill="1" applyBorder="1"/>
    <xf numFmtId="0" fontId="8" fillId="11" borderId="1" xfId="0" applyFont="1" applyFill="1" applyBorder="1"/>
    <xf numFmtId="2" fontId="4" fillId="0" borderId="1" xfId="0" applyNumberFormat="1" applyFont="1" applyBorder="1"/>
    <xf numFmtId="165" fontId="5" fillId="9" borderId="1" xfId="0" applyNumberFormat="1" applyFont="1" applyFill="1" applyBorder="1"/>
    <xf numFmtId="2" fontId="5" fillId="8" borderId="1" xfId="0" applyNumberFormat="1" applyFont="1" applyFill="1" applyBorder="1"/>
    <xf numFmtId="165" fontId="34" fillId="9" borderId="1" xfId="0" applyNumberFormat="1" applyFont="1" applyFill="1" applyBorder="1"/>
    <xf numFmtId="2" fontId="34" fillId="8" borderId="1" xfId="0" applyNumberFormat="1" applyFont="1" applyFill="1" applyBorder="1"/>
    <xf numFmtId="0" fontId="0" fillId="12" borderId="0" xfId="0" applyFill="1"/>
    <xf numFmtId="165" fontId="44" fillId="9" borderId="1" xfId="0" applyNumberFormat="1" applyFont="1" applyFill="1" applyBorder="1"/>
    <xf numFmtId="165" fontId="45" fillId="9" borderId="1" xfId="0" applyNumberFormat="1" applyFont="1" applyFill="1" applyBorder="1"/>
    <xf numFmtId="165" fontId="20" fillId="9" borderId="1" xfId="0" applyNumberFormat="1" applyFont="1" applyFill="1" applyBorder="1"/>
    <xf numFmtId="165" fontId="45" fillId="8" borderId="1" xfId="0" applyNumberFormat="1" applyFont="1" applyFill="1" applyBorder="1"/>
    <xf numFmtId="165" fontId="5" fillId="8" borderId="1" xfId="0" applyNumberFormat="1" applyFont="1" applyFill="1" applyBorder="1"/>
    <xf numFmtId="165" fontId="4" fillId="8" borderId="1" xfId="0" applyNumberFormat="1" applyFont="1" applyFill="1" applyBorder="1"/>
    <xf numFmtId="165" fontId="34" fillId="8" borderId="1" xfId="0" applyNumberFormat="1" applyFont="1" applyFill="1" applyBorder="1"/>
    <xf numFmtId="165" fontId="20" fillId="8" borderId="1" xfId="0" applyNumberFormat="1" applyFont="1" applyFill="1" applyBorder="1"/>
    <xf numFmtId="165" fontId="44" fillId="8" borderId="1" xfId="0" applyNumberFormat="1" applyFont="1" applyFill="1" applyBorder="1"/>
    <xf numFmtId="0" fontId="4" fillId="3" borderId="3" xfId="0" applyFont="1" applyFill="1" applyBorder="1" applyProtection="1"/>
    <xf numFmtId="0" fontId="4" fillId="8" borderId="9" xfId="0" applyFont="1" applyFill="1" applyBorder="1"/>
    <xf numFmtId="0" fontId="5" fillId="8" borderId="3" xfId="0" applyFont="1" applyFill="1" applyBorder="1" applyAlignment="1" applyProtection="1">
      <alignment horizontal="left"/>
    </xf>
    <xf numFmtId="0" fontId="4" fillId="8" borderId="10" xfId="0" applyFont="1" applyFill="1" applyBorder="1" applyAlignment="1">
      <alignment horizontal="left"/>
    </xf>
    <xf numFmtId="0" fontId="5" fillId="8" borderId="7" xfId="0" applyFont="1" applyFill="1" applyBorder="1" applyAlignment="1" applyProtection="1">
      <alignment horizontal="left"/>
      <protection locked="0"/>
    </xf>
    <xf numFmtId="0" fontId="4" fillId="8" borderId="4" xfId="0" applyFont="1" applyFill="1" applyBorder="1" applyAlignment="1">
      <alignment horizontal="left"/>
    </xf>
    <xf numFmtId="0" fontId="5" fillId="8" borderId="5" xfId="0" applyFont="1" applyFill="1" applyBorder="1" applyAlignment="1" applyProtection="1">
      <alignment horizontal="left"/>
      <protection locked="0"/>
    </xf>
    <xf numFmtId="0" fontId="4" fillId="14" borderId="9" xfId="0" applyFont="1" applyFill="1" applyBorder="1"/>
    <xf numFmtId="0" fontId="5" fillId="14" borderId="3" xfId="0" applyFont="1" applyFill="1" applyBorder="1" applyAlignment="1" applyProtection="1">
      <alignment horizontal="left"/>
    </xf>
    <xf numFmtId="0" fontId="4" fillId="14" borderId="10" xfId="0" applyFont="1" applyFill="1" applyBorder="1" applyAlignment="1">
      <alignment horizontal="left"/>
    </xf>
    <xf numFmtId="0" fontId="5" fillId="14" borderId="7" xfId="0" applyFont="1" applyFill="1" applyBorder="1" applyAlignment="1" applyProtection="1">
      <alignment horizontal="left"/>
      <protection locked="0"/>
    </xf>
    <xf numFmtId="0" fontId="4" fillId="14" borderId="4" xfId="0" applyFont="1" applyFill="1" applyBorder="1" applyAlignment="1" applyProtection="1">
      <alignment horizontal="right"/>
    </xf>
    <xf numFmtId="0" fontId="4" fillId="14" borderId="5" xfId="0" applyFont="1" applyFill="1" applyBorder="1" applyAlignment="1" applyProtection="1">
      <alignment horizontal="right"/>
    </xf>
    <xf numFmtId="0" fontId="4" fillId="8" borderId="3" xfId="0" applyFont="1" applyFill="1" applyBorder="1" applyProtection="1"/>
    <xf numFmtId="0" fontId="5" fillId="8" borderId="5" xfId="0" applyFont="1" applyFill="1" applyBorder="1" applyProtection="1">
      <protection locked="0"/>
    </xf>
    <xf numFmtId="0" fontId="5" fillId="8" borderId="6" xfId="0" applyFont="1" applyFill="1" applyBorder="1" applyAlignment="1" applyProtection="1">
      <alignment horizontal="left"/>
      <protection locked="0"/>
    </xf>
    <xf numFmtId="0" fontId="5" fillId="0" borderId="0" xfId="0" applyFont="1" applyProtection="1">
      <protection locked="0"/>
    </xf>
    <xf numFmtId="0" fontId="4" fillId="9" borderId="1" xfId="0" applyFont="1" applyFill="1" applyBorder="1" applyProtection="1"/>
    <xf numFmtId="0" fontId="4" fillId="8" borderId="17" xfId="0" applyFont="1" applyFill="1" applyBorder="1" applyProtection="1"/>
    <xf numFmtId="0" fontId="4" fillId="8" borderId="17" xfId="0" applyFont="1" applyFill="1" applyBorder="1" applyAlignment="1" applyProtection="1">
      <alignment horizontal="left"/>
    </xf>
    <xf numFmtId="0" fontId="4" fillId="8" borderId="20" xfId="0" applyFont="1" applyFill="1" applyBorder="1" applyProtection="1"/>
    <xf numFmtId="0" fontId="4" fillId="8" borderId="6" xfId="0" applyFont="1" applyFill="1" applyBorder="1" applyAlignment="1" applyProtection="1">
      <alignment horizontal="left"/>
    </xf>
    <xf numFmtId="49" fontId="4" fillId="2" borderId="1" xfId="0" applyNumberFormat="1" applyFont="1" applyFill="1" applyBorder="1" applyAlignment="1" applyProtection="1">
      <alignment horizontal="center"/>
    </xf>
    <xf numFmtId="0" fontId="29" fillId="11" borderId="1" xfId="0" applyFont="1" applyFill="1" applyBorder="1" applyProtection="1">
      <protection hidden="1"/>
    </xf>
    <xf numFmtId="165" fontId="8" fillId="11" borderId="1" xfId="0" applyNumberFormat="1" applyFont="1" applyFill="1" applyBorder="1" applyAlignment="1" applyProtection="1">
      <alignment horizontal="right"/>
      <protection hidden="1"/>
    </xf>
    <xf numFmtId="0" fontId="0" fillId="3" borderId="1" xfId="0" applyFill="1" applyBorder="1"/>
    <xf numFmtId="0" fontId="4" fillId="9" borderId="21" xfId="0" applyFont="1" applyFill="1" applyBorder="1" applyProtection="1"/>
    <xf numFmtId="0" fontId="4" fillId="9" borderId="22" xfId="0" applyFont="1" applyFill="1" applyBorder="1" applyProtection="1">
      <protection locked="0"/>
    </xf>
    <xf numFmtId="0" fontId="29" fillId="5" borderId="1" xfId="0" applyFont="1" applyFill="1" applyBorder="1" applyProtection="1">
      <protection hidden="1"/>
    </xf>
    <xf numFmtId="2" fontId="4" fillId="11" borderId="1" xfId="0" applyNumberFormat="1" applyFont="1" applyFill="1" applyBorder="1"/>
    <xf numFmtId="1" fontId="4" fillId="3" borderId="1" xfId="0" applyNumberFormat="1" applyFont="1" applyFill="1" applyBorder="1"/>
    <xf numFmtId="0" fontId="47" fillId="3" borderId="1" xfId="0" applyFont="1" applyFill="1" applyBorder="1" applyProtection="1">
      <protection hidden="1"/>
    </xf>
    <xf numFmtId="1" fontId="4" fillId="2" borderId="1" xfId="0" applyNumberFormat="1" applyFont="1" applyFill="1" applyBorder="1"/>
    <xf numFmtId="1" fontId="4" fillId="9" borderId="1" xfId="0" applyNumberFormat="1" applyFont="1" applyFill="1" applyBorder="1"/>
    <xf numFmtId="0" fontId="29" fillId="6" borderId="1" xfId="0" applyFont="1" applyFill="1" applyBorder="1" applyProtection="1">
      <protection hidden="1"/>
    </xf>
    <xf numFmtId="1" fontId="4" fillId="6" borderId="1" xfId="0" applyNumberFormat="1" applyFont="1" applyFill="1" applyBorder="1"/>
    <xf numFmtId="164" fontId="4" fillId="6" borderId="1" xfId="0" applyNumberFormat="1" applyFont="1" applyFill="1" applyBorder="1"/>
    <xf numFmtId="165" fontId="4" fillId="6" borderId="1" xfId="0" applyNumberFormat="1" applyFont="1" applyFill="1" applyBorder="1"/>
    <xf numFmtId="0" fontId="29" fillId="13" borderId="1" xfId="0" applyFont="1" applyFill="1" applyBorder="1" applyProtection="1">
      <protection hidden="1"/>
    </xf>
    <xf numFmtId="164" fontId="29" fillId="13" borderId="1" xfId="0" applyNumberFormat="1" applyFont="1" applyFill="1" applyBorder="1"/>
    <xf numFmtId="165" fontId="29" fillId="13" borderId="1" xfId="0" applyNumberFormat="1" applyFont="1" applyFill="1" applyBorder="1"/>
    <xf numFmtId="2" fontId="29" fillId="13" borderId="1" xfId="0" applyNumberFormat="1" applyFont="1" applyFill="1" applyBorder="1"/>
    <xf numFmtId="164" fontId="29" fillId="10" borderId="1" xfId="0" applyNumberFormat="1" applyFont="1" applyFill="1" applyBorder="1" applyProtection="1">
      <protection hidden="1"/>
    </xf>
    <xf numFmtId="165" fontId="29" fillId="10" borderId="1" xfId="0" applyNumberFormat="1" applyFont="1" applyFill="1" applyBorder="1" applyProtection="1">
      <protection hidden="1"/>
    </xf>
    <xf numFmtId="2" fontId="29" fillId="10" borderId="1" xfId="0" applyNumberFormat="1" applyFont="1" applyFill="1" applyBorder="1" applyProtection="1">
      <protection hidden="1"/>
    </xf>
    <xf numFmtId="165" fontId="29" fillId="11" borderId="1" xfId="0" applyNumberFormat="1" applyFont="1" applyFill="1" applyBorder="1" applyProtection="1">
      <protection hidden="1"/>
    </xf>
    <xf numFmtId="164" fontId="29" fillId="11" borderId="1" xfId="0" applyNumberFormat="1" applyFont="1" applyFill="1" applyBorder="1" applyProtection="1">
      <protection hidden="1"/>
    </xf>
    <xf numFmtId="0" fontId="29" fillId="2" borderId="1" xfId="0" applyFont="1" applyFill="1" applyBorder="1"/>
    <xf numFmtId="165" fontId="29" fillId="2" borderId="1" xfId="0" applyNumberFormat="1" applyFont="1" applyFill="1" applyBorder="1"/>
    <xf numFmtId="164" fontId="29" fillId="2" borderId="1" xfId="0" applyNumberFormat="1" applyFont="1" applyFill="1" applyBorder="1"/>
    <xf numFmtId="0" fontId="29" fillId="10" borderId="1" xfId="0" applyFont="1" applyFill="1" applyBorder="1"/>
    <xf numFmtId="165" fontId="29" fillId="10" borderId="1" xfId="0" applyNumberFormat="1" applyFont="1" applyFill="1" applyBorder="1"/>
    <xf numFmtId="164" fontId="29" fillId="10" borderId="1" xfId="0" applyNumberFormat="1" applyFont="1" applyFill="1" applyBorder="1"/>
    <xf numFmtId="0" fontId="29" fillId="0" borderId="1" xfId="0" applyFont="1" applyFill="1" applyBorder="1" applyProtection="1">
      <protection hidden="1"/>
    </xf>
    <xf numFmtId="0" fontId="4" fillId="8" borderId="0" xfId="0" applyFont="1" applyFill="1" applyBorder="1"/>
    <xf numFmtId="0" fontId="4" fillId="8" borderId="23" xfId="0" applyFont="1" applyFill="1" applyBorder="1"/>
    <xf numFmtId="0" fontId="4" fillId="8" borderId="6" xfId="0" applyFont="1" applyFill="1" applyBorder="1"/>
    <xf numFmtId="0" fontId="6" fillId="9" borderId="24" xfId="0" applyFont="1" applyFill="1" applyBorder="1" applyProtection="1"/>
    <xf numFmtId="0" fontId="4" fillId="9" borderId="17" xfId="0" applyFont="1" applyFill="1" applyBorder="1" applyProtection="1"/>
    <xf numFmtId="0" fontId="4" fillId="9" borderId="17" xfId="0" applyFont="1" applyFill="1" applyBorder="1" applyAlignment="1" applyProtection="1">
      <alignment horizontal="left"/>
    </xf>
    <xf numFmtId="0" fontId="5" fillId="9" borderId="0" xfId="0" applyFont="1" applyFill="1" applyBorder="1" applyAlignment="1" applyProtection="1">
      <alignment horizontal="left"/>
      <protection locked="0"/>
    </xf>
    <xf numFmtId="0" fontId="5" fillId="9" borderId="6" xfId="0" applyFont="1" applyFill="1" applyBorder="1" applyAlignment="1" applyProtection="1">
      <alignment horizontal="left"/>
      <protection locked="0"/>
    </xf>
    <xf numFmtId="0" fontId="6" fillId="0" borderId="24" xfId="0" applyFont="1" applyFill="1" applyBorder="1" applyProtection="1"/>
    <xf numFmtId="0" fontId="0" fillId="0" borderId="17" xfId="0" applyBorder="1"/>
    <xf numFmtId="0" fontId="0" fillId="0" borderId="20" xfId="0" applyBorder="1"/>
    <xf numFmtId="0" fontId="5" fillId="3" borderId="18" xfId="0" applyFont="1" applyFill="1" applyBorder="1"/>
    <xf numFmtId="0" fontId="4" fillId="3" borderId="0" xfId="0" applyFont="1" applyFill="1" applyBorder="1"/>
    <xf numFmtId="0" fontId="5" fillId="3" borderId="0" xfId="0" applyFont="1" applyFill="1" applyBorder="1" applyAlignment="1" applyProtection="1">
      <alignment horizontal="left"/>
      <protection locked="0"/>
    </xf>
    <xf numFmtId="0" fontId="4" fillId="8" borderId="0" xfId="0" applyFont="1" applyFill="1" applyBorder="1" applyAlignment="1">
      <alignment horizontal="left"/>
    </xf>
    <xf numFmtId="0" fontId="5" fillId="3" borderId="19" xfId="0" applyFont="1" applyFill="1" applyBorder="1"/>
    <xf numFmtId="0" fontId="4" fillId="3" borderId="6" xfId="0" applyFont="1" applyFill="1" applyBorder="1"/>
    <xf numFmtId="0" fontId="5" fillId="3" borderId="6" xfId="0" applyFont="1" applyFill="1" applyBorder="1" applyAlignment="1" applyProtection="1">
      <alignment horizontal="left"/>
      <protection locked="0"/>
    </xf>
    <xf numFmtId="0" fontId="4" fillId="8" borderId="6" xfId="0" applyFont="1" applyFill="1" applyBorder="1" applyAlignment="1">
      <alignment horizontal="left"/>
    </xf>
    <xf numFmtId="0" fontId="0" fillId="8" borderId="6" xfId="0" applyFill="1" applyBorder="1"/>
    <xf numFmtId="0" fontId="0" fillId="8" borderId="25" xfId="0" applyFill="1" applyBorder="1"/>
    <xf numFmtId="0" fontId="0" fillId="9" borderId="17" xfId="0" applyFill="1" applyBorder="1"/>
    <xf numFmtId="0" fontId="0" fillId="9" borderId="17" xfId="0" applyFill="1" applyBorder="1" applyAlignment="1">
      <alignment horizontal="left"/>
    </xf>
    <xf numFmtId="0" fontId="0" fillId="9" borderId="20" xfId="0" applyFill="1" applyBorder="1"/>
    <xf numFmtId="0" fontId="0" fillId="9" borderId="19" xfId="0" applyFill="1" applyBorder="1"/>
    <xf numFmtId="0" fontId="0" fillId="8" borderId="17" xfId="0" applyFill="1" applyBorder="1"/>
    <xf numFmtId="0" fontId="4" fillId="8" borderId="19" xfId="0" applyFont="1" applyFill="1" applyBorder="1"/>
    <xf numFmtId="0" fontId="6" fillId="8" borderId="24" xfId="0" applyFont="1" applyFill="1" applyBorder="1" applyProtection="1"/>
    <xf numFmtId="0" fontId="4" fillId="8" borderId="18" xfId="0" applyFont="1" applyFill="1" applyBorder="1"/>
    <xf numFmtId="0" fontId="4" fillId="8" borderId="17" xfId="0" applyFont="1" applyFill="1" applyBorder="1"/>
    <xf numFmtId="0" fontId="5" fillId="8" borderId="20" xfId="0" applyFont="1" applyFill="1" applyBorder="1" applyAlignment="1" applyProtection="1">
      <alignment horizontal="left"/>
      <protection locked="0"/>
    </xf>
    <xf numFmtId="0" fontId="5" fillId="8" borderId="23" xfId="0" applyFont="1" applyFill="1" applyBorder="1" applyAlignment="1" applyProtection="1">
      <alignment horizontal="left"/>
      <protection locked="0"/>
    </xf>
    <xf numFmtId="1" fontId="4" fillId="3" borderId="1" xfId="0" applyNumberFormat="1" applyFont="1" applyFill="1" applyBorder="1" applyAlignment="1">
      <alignment horizontal="center"/>
    </xf>
    <xf numFmtId="1" fontId="4" fillId="3" borderId="1" xfId="0" applyNumberFormat="1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>
      <alignment horizontal="centerContinuous"/>
    </xf>
    <xf numFmtId="0" fontId="4" fillId="3" borderId="1" xfId="0" applyFont="1" applyFill="1" applyBorder="1" applyAlignment="1" applyProtection="1">
      <alignment horizontal="right"/>
      <protection locked="0"/>
    </xf>
    <xf numFmtId="0" fontId="4" fillId="3" borderId="1" xfId="0" applyFont="1" applyFill="1" applyBorder="1" applyAlignment="1">
      <alignment horizontal="right"/>
    </xf>
    <xf numFmtId="0" fontId="4" fillId="3" borderId="1" xfId="0" applyFont="1" applyFill="1" applyBorder="1" applyAlignment="1" applyProtection="1">
      <alignment horizontal="right"/>
    </xf>
    <xf numFmtId="0" fontId="29" fillId="3" borderId="1" xfId="0" applyFont="1" applyFill="1" applyBorder="1"/>
    <xf numFmtId="0" fontId="5" fillId="2" borderId="1" xfId="0" applyFont="1" applyFill="1" applyBorder="1" applyAlignment="1" applyProtection="1">
      <alignment horizontal="left"/>
      <protection locked="0"/>
    </xf>
    <xf numFmtId="0" fontId="30" fillId="2" borderId="1" xfId="0" applyFont="1" applyFill="1" applyBorder="1"/>
    <xf numFmtId="14" fontId="4" fillId="8" borderId="0" xfId="0" applyNumberFormat="1" applyFont="1" applyFill="1" applyAlignment="1"/>
    <xf numFmtId="0" fontId="10" fillId="8" borderId="0" xfId="0" applyFont="1" applyFill="1"/>
    <xf numFmtId="0" fontId="4" fillId="8" borderId="0" xfId="0" applyFont="1" applyFill="1"/>
    <xf numFmtId="14" fontId="48" fillId="3" borderId="1" xfId="0" applyNumberFormat="1" applyFont="1" applyFill="1" applyBorder="1" applyAlignment="1" applyProtection="1">
      <alignment horizontal="left"/>
      <protection hidden="1"/>
    </xf>
    <xf numFmtId="1" fontId="4" fillId="0" borderId="1" xfId="0" applyNumberFormat="1" applyFont="1" applyFill="1" applyBorder="1"/>
    <xf numFmtId="164" fontId="29" fillId="3" borderId="1" xfId="0" applyNumberFormat="1" applyFont="1" applyFill="1" applyBorder="1"/>
    <xf numFmtId="165" fontId="29" fillId="3" borderId="1" xfId="0" applyNumberFormat="1" applyFont="1" applyFill="1" applyBorder="1"/>
    <xf numFmtId="0" fontId="0" fillId="0" borderId="0" xfId="0" applyProtection="1">
      <protection locked="0"/>
    </xf>
    <xf numFmtId="0" fontId="6" fillId="8" borderId="11" xfId="0" applyFont="1" applyFill="1" applyBorder="1" applyProtection="1"/>
    <xf numFmtId="0" fontId="4" fillId="8" borderId="12" xfId="0" applyFont="1" applyFill="1" applyBorder="1" applyProtection="1"/>
    <xf numFmtId="0" fontId="5" fillId="3" borderId="4" xfId="0" applyFont="1" applyFill="1" applyBorder="1"/>
    <xf numFmtId="0" fontId="6" fillId="3" borderId="9" xfId="0" applyFont="1" applyFill="1" applyBorder="1"/>
    <xf numFmtId="165" fontId="5" fillId="3" borderId="5" xfId="0" applyNumberFormat="1" applyFont="1" applyFill="1" applyBorder="1" applyProtection="1">
      <protection locked="0"/>
    </xf>
    <xf numFmtId="165" fontId="5" fillId="8" borderId="25" xfId="0" applyNumberFormat="1" applyFont="1" applyFill="1" applyBorder="1" applyAlignment="1" applyProtection="1">
      <alignment horizontal="left"/>
      <protection locked="0"/>
    </xf>
    <xf numFmtId="0" fontId="4" fillId="9" borderId="0" xfId="0" applyFont="1" applyFill="1"/>
    <xf numFmtId="0" fontId="29" fillId="3" borderId="14" xfId="0" applyFont="1" applyFill="1" applyBorder="1" applyProtection="1">
      <protection hidden="1"/>
    </xf>
    <xf numFmtId="0" fontId="0" fillId="3" borderId="16" xfId="0" applyFill="1" applyBorder="1" applyProtection="1">
      <protection hidden="1"/>
    </xf>
    <xf numFmtId="1" fontId="8" fillId="9" borderId="16" xfId="0" applyNumberFormat="1" applyFont="1" applyFill="1" applyBorder="1" applyAlignment="1" applyProtection="1">
      <alignment horizontal="right"/>
      <protection hidden="1"/>
    </xf>
    <xf numFmtId="2" fontId="29" fillId="8" borderId="0" xfId="0" applyNumberFormat="1" applyFont="1" applyFill="1" applyBorder="1" applyProtection="1">
      <protection hidden="1"/>
    </xf>
    <xf numFmtId="0" fontId="0" fillId="2" borderId="16" xfId="0" applyFill="1" applyBorder="1" applyProtection="1">
      <protection hidden="1"/>
    </xf>
    <xf numFmtId="0" fontId="0" fillId="3" borderId="14" xfId="0" applyFill="1" applyBorder="1" applyProtection="1">
      <protection hidden="1"/>
    </xf>
    <xf numFmtId="0" fontId="0" fillId="9" borderId="14" xfId="0" applyFill="1" applyBorder="1" applyProtection="1">
      <protection hidden="1"/>
    </xf>
    <xf numFmtId="2" fontId="29" fillId="10" borderId="14" xfId="0" applyNumberFormat="1" applyFont="1" applyFill="1" applyBorder="1" applyProtection="1">
      <protection hidden="1"/>
    </xf>
    <xf numFmtId="2" fontId="29" fillId="10" borderId="16" xfId="0" applyNumberFormat="1" applyFont="1" applyFill="1" applyBorder="1" applyProtection="1">
      <protection hidden="1"/>
    </xf>
    <xf numFmtId="2" fontId="29" fillId="13" borderId="0" xfId="0" applyNumberFormat="1" applyFont="1" applyFill="1" applyBorder="1" applyProtection="1">
      <protection hidden="1"/>
    </xf>
    <xf numFmtId="0" fontId="29" fillId="9" borderId="16" xfId="0" applyFont="1" applyFill="1" applyBorder="1" applyProtection="1">
      <protection hidden="1"/>
    </xf>
    <xf numFmtId="1" fontId="8" fillId="0" borderId="14" xfId="0" applyNumberFormat="1" applyFont="1" applyBorder="1" applyAlignment="1" applyProtection="1">
      <alignment horizontal="right"/>
      <protection hidden="1"/>
    </xf>
    <xf numFmtId="165" fontId="49" fillId="0" borderId="1" xfId="0" applyNumberFormat="1" applyFont="1" applyBorder="1" applyProtection="1">
      <protection hidden="1"/>
    </xf>
    <xf numFmtId="2" fontId="49" fillId="0" borderId="1" xfId="0" applyNumberFormat="1" applyFont="1" applyBorder="1" applyAlignment="1" applyProtection="1">
      <alignment horizontal="right"/>
      <protection hidden="1"/>
    </xf>
    <xf numFmtId="0" fontId="50" fillId="0" borderId="0" xfId="0" applyFont="1" applyProtection="1">
      <protection hidden="1"/>
    </xf>
    <xf numFmtId="2" fontId="49" fillId="0" borderId="0" xfId="0" applyNumberFormat="1" applyFont="1" applyBorder="1" applyAlignment="1" applyProtection="1">
      <alignment horizontal="right"/>
      <protection hidden="1"/>
    </xf>
    <xf numFmtId="0" fontId="50" fillId="0" borderId="0" xfId="0" applyFont="1"/>
    <xf numFmtId="0" fontId="51" fillId="0" borderId="0" xfId="0" applyFont="1"/>
    <xf numFmtId="166" fontId="48" fillId="3" borderId="1" xfId="0" applyNumberFormat="1" applyFont="1" applyFill="1" applyBorder="1" applyAlignment="1" applyProtection="1">
      <alignment horizontal="left"/>
      <protection hidden="1"/>
    </xf>
    <xf numFmtId="0" fontId="52" fillId="0" borderId="0" xfId="0" applyNumberFormat="1" applyFont="1" applyProtection="1">
      <protection hidden="1"/>
    </xf>
    <xf numFmtId="0" fontId="29" fillId="0" borderId="0" xfId="0" applyFont="1" applyAlignment="1" applyProtection="1">
      <alignment horizontal="left"/>
      <protection hidden="1"/>
    </xf>
    <xf numFmtId="2" fontId="5" fillId="2" borderId="8" xfId="0" applyNumberFormat="1" applyFont="1" applyFill="1" applyBorder="1"/>
    <xf numFmtId="165" fontId="5" fillId="2" borderId="8" xfId="0" applyNumberFormat="1" applyFont="1" applyFill="1" applyBorder="1"/>
    <xf numFmtId="0" fontId="4" fillId="2" borderId="4" xfId="0" applyFont="1" applyFill="1" applyBorder="1" applyProtection="1">
      <protection hidden="1"/>
    </xf>
    <xf numFmtId="0" fontId="13" fillId="2" borderId="1" xfId="0" applyFont="1" applyFill="1" applyBorder="1" applyAlignment="1" applyProtection="1">
      <alignment horizontal="center"/>
      <protection hidden="1"/>
    </xf>
    <xf numFmtId="0" fontId="4" fillId="9" borderId="11" xfId="0" applyFont="1" applyFill="1" applyBorder="1" applyAlignment="1">
      <alignment horizontal="left"/>
    </xf>
    <xf numFmtId="0" fontId="4" fillId="5" borderId="1" xfId="0" applyFont="1" applyFill="1" applyBorder="1" applyAlignment="1" applyProtection="1">
      <alignment horizontal="left"/>
      <protection hidden="1"/>
    </xf>
    <xf numFmtId="0" fontId="4" fillId="5" borderId="1" xfId="0" applyFont="1" applyFill="1" applyBorder="1" applyAlignment="1" applyProtection="1">
      <protection locked="0" hidden="1"/>
    </xf>
    <xf numFmtId="0" fontId="4" fillId="2" borderId="26" xfId="0" applyFont="1" applyFill="1" applyBorder="1" applyAlignment="1" applyProtection="1">
      <alignment horizontal="left"/>
      <protection hidden="1"/>
    </xf>
    <xf numFmtId="0" fontId="4" fillId="5" borderId="26" xfId="0" applyFont="1" applyFill="1" applyBorder="1" applyAlignment="1" applyProtection="1">
      <alignment horizontal="left"/>
      <protection hidden="1"/>
    </xf>
    <xf numFmtId="0" fontId="4" fillId="11" borderId="26" xfId="0" applyFont="1" applyFill="1" applyBorder="1" applyAlignment="1" applyProtection="1">
      <alignment horizontal="left"/>
      <protection hidden="1"/>
    </xf>
    <xf numFmtId="0" fontId="4" fillId="9" borderId="27" xfId="0" applyFont="1" applyFill="1" applyBorder="1" applyAlignment="1" applyProtection="1">
      <alignment horizontal="left"/>
      <protection hidden="1"/>
    </xf>
    <xf numFmtId="0" fontId="4" fillId="9" borderId="28" xfId="0" applyFont="1" applyFill="1" applyBorder="1" applyAlignment="1" applyProtection="1">
      <alignment horizontal="left"/>
      <protection hidden="1"/>
    </xf>
    <xf numFmtId="0" fontId="29" fillId="12" borderId="29" xfId="0" applyFont="1" applyFill="1" applyBorder="1"/>
    <xf numFmtId="0" fontId="29" fillId="12" borderId="30" xfId="0" applyFont="1" applyFill="1" applyBorder="1"/>
    <xf numFmtId="0" fontId="29" fillId="9" borderId="31" xfId="0" applyFont="1" applyFill="1" applyBorder="1"/>
    <xf numFmtId="0" fontId="4" fillId="11" borderId="1" xfId="0" applyFont="1" applyFill="1" applyBorder="1" applyAlignment="1" applyProtection="1">
      <alignment horizontal="left"/>
      <protection locked="0" hidden="1"/>
    </xf>
    <xf numFmtId="0" fontId="29" fillId="12" borderId="29" xfId="0" applyFont="1" applyFill="1" applyBorder="1" applyProtection="1">
      <protection locked="0"/>
    </xf>
    <xf numFmtId="0" fontId="53" fillId="9" borderId="18" xfId="0" applyFont="1" applyFill="1" applyBorder="1" applyProtection="1">
      <protection hidden="1"/>
    </xf>
    <xf numFmtId="165" fontId="5" fillId="9" borderId="23" xfId="0" applyNumberFormat="1" applyFont="1" applyFill="1" applyBorder="1" applyAlignment="1" applyProtection="1">
      <alignment horizontal="right"/>
      <protection hidden="1"/>
    </xf>
    <xf numFmtId="0" fontId="53" fillId="9" borderId="19" xfId="0" applyFont="1" applyFill="1" applyBorder="1" applyProtection="1">
      <protection hidden="1"/>
    </xf>
    <xf numFmtId="2" fontId="5" fillId="2" borderId="32" xfId="0" applyNumberFormat="1" applyFont="1" applyFill="1" applyBorder="1"/>
    <xf numFmtId="165" fontId="5" fillId="2" borderId="32" xfId="0" applyNumberFormat="1" applyFont="1" applyFill="1" applyBorder="1"/>
    <xf numFmtId="0" fontId="4" fillId="9" borderId="6" xfId="0" applyFont="1" applyFill="1" applyBorder="1" applyProtection="1">
      <protection hidden="1"/>
    </xf>
    <xf numFmtId="165" fontId="5" fillId="9" borderId="25" xfId="0" applyNumberFormat="1" applyFont="1" applyFill="1" applyBorder="1" applyAlignment="1" applyProtection="1">
      <alignment horizontal="right"/>
      <protection hidden="1"/>
    </xf>
    <xf numFmtId="0" fontId="0" fillId="9" borderId="18" xfId="0" applyFill="1" applyBorder="1"/>
    <xf numFmtId="0" fontId="0" fillId="9" borderId="23" xfId="0" applyFill="1" applyBorder="1"/>
    <xf numFmtId="2" fontId="5" fillId="2" borderId="33" xfId="0" applyNumberFormat="1" applyFont="1" applyFill="1" applyBorder="1"/>
    <xf numFmtId="165" fontId="5" fillId="2" borderId="33" xfId="0" applyNumberFormat="1" applyFont="1" applyFill="1" applyBorder="1"/>
    <xf numFmtId="0" fontId="4" fillId="9" borderId="1" xfId="0" applyFont="1" applyFill="1" applyBorder="1" applyAlignment="1">
      <alignment horizontal="left"/>
    </xf>
    <xf numFmtId="0" fontId="5" fillId="9" borderId="1" xfId="0" applyFont="1" applyFill="1" applyBorder="1" applyAlignment="1" applyProtection="1">
      <alignment horizontal="left"/>
      <protection locked="0"/>
    </xf>
    <xf numFmtId="0" fontId="53" fillId="10" borderId="1" xfId="0" applyFont="1" applyFill="1" applyBorder="1"/>
    <xf numFmtId="0" fontId="4" fillId="10" borderId="1" xfId="0" applyFont="1" applyFill="1" applyBorder="1" applyProtection="1"/>
    <xf numFmtId="165" fontId="8" fillId="10" borderId="1" xfId="0" applyNumberFormat="1" applyFont="1" applyFill="1" applyBorder="1" applyAlignment="1">
      <alignment horizontal="right"/>
    </xf>
    <xf numFmtId="0" fontId="8" fillId="10" borderId="1" xfId="0" applyFont="1" applyFill="1" applyBorder="1"/>
    <xf numFmtId="0" fontId="0" fillId="10" borderId="1" xfId="0" applyFill="1" applyBorder="1"/>
    <xf numFmtId="165" fontId="4" fillId="0" borderId="0" xfId="0" applyNumberFormat="1" applyFont="1"/>
    <xf numFmtId="165" fontId="8" fillId="3" borderId="1" xfId="0" applyNumberFormat="1" applyFont="1" applyFill="1" applyBorder="1" applyAlignment="1">
      <alignment horizontal="right"/>
    </xf>
    <xf numFmtId="164" fontId="8" fillId="3" borderId="1" xfId="0" applyNumberFormat="1" applyFont="1" applyFill="1" applyBorder="1"/>
    <xf numFmtId="0" fontId="8" fillId="3" borderId="1" xfId="0" applyFont="1" applyFill="1" applyBorder="1"/>
    <xf numFmtId="0" fontId="29" fillId="0" borderId="0" xfId="0" applyFont="1"/>
    <xf numFmtId="2" fontId="8" fillId="3" borderId="1" xfId="0" applyNumberFormat="1" applyFont="1" applyFill="1" applyBorder="1"/>
    <xf numFmtId="1" fontId="5" fillId="2" borderId="5" xfId="0" applyNumberFormat="1" applyFont="1" applyFill="1" applyBorder="1" applyAlignment="1" applyProtection="1">
      <alignment horizontal="left"/>
      <protection locked="0"/>
    </xf>
    <xf numFmtId="0" fontId="55" fillId="0" borderId="0" xfId="0" applyFont="1" applyAlignment="1">
      <alignment horizontal="right"/>
    </xf>
    <xf numFmtId="0" fontId="55" fillId="0" borderId="0" xfId="0" applyFont="1" applyAlignment="1" applyProtection="1">
      <alignment horizontal="left"/>
    </xf>
    <xf numFmtId="164" fontId="5" fillId="3" borderId="1" xfId="0" applyNumberFormat="1" applyFont="1" applyFill="1" applyBorder="1"/>
    <xf numFmtId="2" fontId="29" fillId="3" borderId="1" xfId="0" applyNumberFormat="1" applyFont="1" applyFill="1" applyBorder="1"/>
    <xf numFmtId="0" fontId="29" fillId="3" borderId="14" xfId="0" applyFont="1" applyFill="1" applyBorder="1"/>
    <xf numFmtId="2" fontId="29" fillId="3" borderId="14" xfId="0" applyNumberFormat="1" applyFont="1" applyFill="1" applyBorder="1"/>
    <xf numFmtId="165" fontId="3" fillId="3" borderId="1" xfId="0" applyNumberFormat="1" applyFont="1" applyFill="1" applyBorder="1"/>
    <xf numFmtId="164" fontId="3" fillId="3" borderId="1" xfId="0" applyNumberFormat="1" applyFont="1" applyFill="1" applyBorder="1"/>
    <xf numFmtId="165" fontId="54" fillId="3" borderId="1" xfId="0" applyNumberFormat="1" applyFont="1" applyFill="1" applyBorder="1"/>
    <xf numFmtId="164" fontId="54" fillId="3" borderId="1" xfId="0" applyNumberFormat="1" applyFont="1" applyFill="1" applyBorder="1"/>
    <xf numFmtId="0" fontId="0" fillId="3" borderId="0" xfId="0" applyFill="1" applyBorder="1"/>
    <xf numFmtId="2" fontId="0" fillId="8" borderId="1" xfId="0" applyNumberFormat="1" applyFill="1" applyBorder="1"/>
    <xf numFmtId="0" fontId="0" fillId="8" borderId="1" xfId="0" applyFill="1" applyBorder="1"/>
    <xf numFmtId="0" fontId="0" fillId="15" borderId="1" xfId="0" applyFill="1" applyBorder="1"/>
    <xf numFmtId="2" fontId="0" fillId="15" borderId="1" xfId="0" applyNumberFormat="1" applyFill="1" applyBorder="1"/>
    <xf numFmtId="2" fontId="0" fillId="4" borderId="1" xfId="0" applyNumberFormat="1" applyFill="1" applyBorder="1"/>
    <xf numFmtId="165" fontId="0" fillId="4" borderId="1" xfId="0" applyNumberFormat="1" applyFill="1" applyBorder="1"/>
    <xf numFmtId="0" fontId="56" fillId="16" borderId="1" xfId="0" applyFont="1" applyFill="1" applyBorder="1"/>
    <xf numFmtId="2" fontId="56" fillId="16" borderId="1" xfId="0" applyNumberFormat="1" applyFont="1" applyFill="1" applyBorder="1"/>
    <xf numFmtId="165" fontId="56" fillId="16" borderId="0" xfId="0" applyNumberFormat="1" applyFont="1" applyFill="1"/>
    <xf numFmtId="2" fontId="0" fillId="15" borderId="1" xfId="0" applyNumberFormat="1" applyFill="1" applyBorder="1" applyProtection="1"/>
    <xf numFmtId="164" fontId="0" fillId="15" borderId="1" xfId="0" applyNumberFormat="1" applyFill="1" applyBorder="1"/>
    <xf numFmtId="164" fontId="0" fillId="17" borderId="1" xfId="0" applyNumberFormat="1" applyFill="1" applyBorder="1"/>
    <xf numFmtId="2" fontId="0" fillId="17" borderId="1" xfId="0" applyNumberFormat="1" applyFill="1" applyBorder="1"/>
    <xf numFmtId="164" fontId="0" fillId="4" borderId="1" xfId="0" applyNumberFormat="1" applyFill="1" applyBorder="1"/>
    <xf numFmtId="164" fontId="56" fillId="16" borderId="1" xfId="0" applyNumberFormat="1" applyFont="1" applyFill="1" applyBorder="1"/>
    <xf numFmtId="165" fontId="49" fillId="0" borderId="1" xfId="0" applyNumberFormat="1" applyFont="1" applyFill="1" applyBorder="1" applyProtection="1">
      <protection hidden="1"/>
    </xf>
    <xf numFmtId="2" fontId="49" fillId="0" borderId="1" xfId="0" applyNumberFormat="1" applyFont="1" applyFill="1" applyBorder="1" applyAlignment="1" applyProtection="1">
      <alignment horizontal="right"/>
      <protection hidden="1"/>
    </xf>
    <xf numFmtId="0" fontId="50" fillId="0" borderId="0" xfId="0" applyFont="1" applyFill="1" applyProtection="1">
      <protection hidden="1"/>
    </xf>
    <xf numFmtId="0" fontId="50" fillId="0" borderId="0" xfId="0" applyFont="1" applyFill="1"/>
    <xf numFmtId="0" fontId="51" fillId="0" borderId="0" xfId="0" applyFont="1" applyFill="1"/>
    <xf numFmtId="1" fontId="5" fillId="3" borderId="1" xfId="0" applyNumberFormat="1" applyFont="1" applyFill="1" applyBorder="1" applyAlignment="1" applyProtection="1">
      <alignment horizontal="right"/>
      <protection hidden="1"/>
    </xf>
    <xf numFmtId="0" fontId="0" fillId="6" borderId="18" xfId="0" applyFill="1" applyBorder="1"/>
    <xf numFmtId="0" fontId="0" fillId="6" borderId="4" xfId="0" applyFill="1" applyBorder="1" applyAlignment="1"/>
    <xf numFmtId="0" fontId="0" fillId="6" borderId="16" xfId="0" applyFill="1" applyBorder="1"/>
    <xf numFmtId="0" fontId="0" fillId="6" borderId="34" xfId="0" applyFill="1" applyBorder="1"/>
    <xf numFmtId="165" fontId="5" fillId="6" borderId="27" xfId="0" applyNumberFormat="1" applyFont="1" applyFill="1" applyBorder="1" applyAlignment="1" applyProtection="1">
      <alignment horizontal="right"/>
      <protection hidden="1"/>
    </xf>
    <xf numFmtId="2" fontId="5" fillId="6" borderId="1" xfId="0" applyNumberFormat="1" applyFont="1" applyFill="1" applyBorder="1" applyAlignment="1" applyProtection="1">
      <alignment horizontal="right"/>
      <protection hidden="1"/>
    </xf>
    <xf numFmtId="2" fontId="3" fillId="6" borderId="1" xfId="0" applyNumberFormat="1" applyFont="1" applyFill="1" applyBorder="1"/>
    <xf numFmtId="2" fontId="3" fillId="6" borderId="29" xfId="0" applyNumberFormat="1" applyFont="1" applyFill="1" applyBorder="1"/>
    <xf numFmtId="0" fontId="0" fillId="6" borderId="19" xfId="0" applyFill="1" applyBorder="1"/>
    <xf numFmtId="0" fontId="0" fillId="6" borderId="6" xfId="0" applyFill="1" applyBorder="1" applyAlignment="1">
      <alignment horizontal="right"/>
    </xf>
    <xf numFmtId="1" fontId="7" fillId="6" borderId="26" xfId="0" applyNumberFormat="1" applyFont="1" applyFill="1" applyBorder="1"/>
    <xf numFmtId="1" fontId="7" fillId="6" borderId="30" xfId="0" applyNumberFormat="1" applyFont="1" applyFill="1" applyBorder="1"/>
    <xf numFmtId="0" fontId="0" fillId="0" borderId="0" xfId="0" applyFill="1"/>
    <xf numFmtId="0" fontId="3" fillId="6" borderId="31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2" fontId="5" fillId="6" borderId="2" xfId="0" applyNumberFormat="1" applyFont="1" applyFill="1" applyBorder="1" applyAlignment="1" applyProtection="1">
      <alignment horizontal="right"/>
      <protection hidden="1"/>
    </xf>
    <xf numFmtId="2" fontId="3" fillId="6" borderId="35" xfId="0" applyNumberFormat="1" applyFont="1" applyFill="1" applyBorder="1"/>
    <xf numFmtId="0" fontId="0" fillId="6" borderId="36" xfId="0" applyFill="1" applyBorder="1"/>
    <xf numFmtId="1" fontId="7" fillId="6" borderId="37" xfId="0" applyNumberFormat="1" applyFont="1" applyFill="1" applyBorder="1"/>
    <xf numFmtId="0" fontId="40" fillId="9" borderId="1" xfId="0" applyFont="1" applyFill="1" applyBorder="1" applyAlignment="1">
      <alignment horizontal="left"/>
    </xf>
    <xf numFmtId="0" fontId="57" fillId="9" borderId="1" xfId="0" applyFont="1" applyFill="1" applyBorder="1" applyAlignment="1" applyProtection="1">
      <alignment horizontal="left"/>
    </xf>
    <xf numFmtId="0" fontId="4" fillId="9" borderId="1" xfId="0" applyFont="1" applyFill="1" applyBorder="1" applyAlignment="1">
      <alignment horizontal="right"/>
    </xf>
    <xf numFmtId="0" fontId="29" fillId="3" borderId="0" xfId="0" applyFont="1" applyFill="1"/>
    <xf numFmtId="0" fontId="0" fillId="12" borderId="1" xfId="0" applyFill="1" applyBorder="1"/>
    <xf numFmtId="0" fontId="29" fillId="12" borderId="1" xfId="0" applyFont="1" applyFill="1" applyBorder="1"/>
    <xf numFmtId="2" fontId="29" fillId="5" borderId="1" xfId="0" applyNumberFormat="1" applyFont="1" applyFill="1" applyBorder="1"/>
    <xf numFmtId="0" fontId="29" fillId="5" borderId="1" xfId="0" applyFont="1" applyFill="1" applyBorder="1"/>
    <xf numFmtId="165" fontId="29" fillId="5" borderId="1" xfId="0" applyNumberFormat="1" applyFont="1" applyFill="1" applyBorder="1"/>
    <xf numFmtId="2" fontId="29" fillId="12" borderId="1" xfId="0" applyNumberFormat="1" applyFont="1" applyFill="1" applyBorder="1"/>
    <xf numFmtId="165" fontId="29" fillId="12" borderId="1" xfId="0" applyNumberFormat="1" applyFont="1" applyFill="1" applyBorder="1"/>
    <xf numFmtId="165" fontId="4" fillId="5" borderId="1" xfId="0" applyNumberFormat="1" applyFont="1" applyFill="1" applyBorder="1"/>
    <xf numFmtId="0" fontId="29" fillId="12" borderId="1" xfId="0" applyFont="1" applyFill="1" applyBorder="1" applyAlignment="1">
      <alignment horizontal="right"/>
    </xf>
    <xf numFmtId="0" fontId="4" fillId="9" borderId="1" xfId="0" applyFont="1" applyFill="1" applyBorder="1" applyAlignment="1" applyProtection="1">
      <alignment horizontal="left"/>
      <protection locked="0"/>
    </xf>
    <xf numFmtId="0" fontId="4" fillId="9" borderId="1" xfId="0" applyFont="1" applyFill="1" applyBorder="1" applyAlignment="1" applyProtection="1">
      <alignment horizontal="center"/>
      <protection locked="0"/>
    </xf>
    <xf numFmtId="0" fontId="4" fillId="9" borderId="1" xfId="0" applyFont="1" applyFill="1" applyBorder="1" applyAlignment="1" applyProtection="1">
      <alignment horizontal="right"/>
      <protection locked="0"/>
    </xf>
    <xf numFmtId="2" fontId="5" fillId="11" borderId="33" xfId="0" applyNumberFormat="1" applyFont="1" applyFill="1" applyBorder="1"/>
    <xf numFmtId="165" fontId="5" fillId="11" borderId="33" xfId="0" applyNumberFormat="1" applyFont="1" applyFill="1" applyBorder="1"/>
    <xf numFmtId="2" fontId="5" fillId="11" borderId="8" xfId="0" applyNumberFormat="1" applyFont="1" applyFill="1" applyBorder="1"/>
    <xf numFmtId="165" fontId="5" fillId="11" borderId="8" xfId="0" applyNumberFormat="1" applyFont="1" applyFill="1" applyBorder="1"/>
    <xf numFmtId="2" fontId="5" fillId="11" borderId="32" xfId="0" applyNumberFormat="1" applyFont="1" applyFill="1" applyBorder="1"/>
    <xf numFmtId="165" fontId="5" fillId="11" borderId="32" xfId="0" applyNumberFormat="1" applyFont="1" applyFill="1" applyBorder="1"/>
    <xf numFmtId="1" fontId="29" fillId="3" borderId="1" xfId="0" applyNumberFormat="1" applyFont="1" applyFill="1" applyBorder="1"/>
    <xf numFmtId="164" fontId="4" fillId="0" borderId="0" xfId="0" applyNumberFormat="1" applyFont="1" applyProtection="1"/>
    <xf numFmtId="0" fontId="29" fillId="9" borderId="1" xfId="0" applyFont="1" applyFill="1" applyBorder="1"/>
    <xf numFmtId="165" fontId="29" fillId="9" borderId="1" xfId="0" applyNumberFormat="1" applyFont="1" applyFill="1" applyBorder="1"/>
    <xf numFmtId="0" fontId="4" fillId="3" borderId="16" xfId="0" applyFont="1" applyFill="1" applyBorder="1"/>
    <xf numFmtId="0" fontId="4" fillId="2" borderId="1" xfId="0" applyFont="1" applyFill="1" applyBorder="1" applyProtection="1"/>
    <xf numFmtId="0" fontId="4" fillId="2" borderId="1" xfId="0" applyFont="1" applyFill="1" applyBorder="1" applyAlignment="1" applyProtection="1">
      <alignment horizontal="right"/>
    </xf>
    <xf numFmtId="0" fontId="5" fillId="10" borderId="1" xfId="0" applyFont="1" applyFill="1" applyBorder="1" applyAlignment="1" applyProtection="1">
      <alignment horizontal="left"/>
    </xf>
    <xf numFmtId="22" fontId="4" fillId="11" borderId="1" xfId="0" applyNumberFormat="1" applyFont="1" applyFill="1" applyBorder="1" applyProtection="1">
      <protection hidden="1"/>
    </xf>
    <xf numFmtId="0" fontId="4" fillId="0" borderId="10" xfId="0" applyFont="1" applyBorder="1" applyAlignment="1">
      <alignment horizontal="right"/>
    </xf>
    <xf numFmtId="0" fontId="4" fillId="8" borderId="1" xfId="0" applyFont="1" applyFill="1" applyBorder="1"/>
    <xf numFmtId="1" fontId="0" fillId="8" borderId="1" xfId="0" applyNumberFormat="1" applyFill="1" applyBorder="1"/>
    <xf numFmtId="1" fontId="8" fillId="8" borderId="1" xfId="0" applyNumberFormat="1" applyFont="1" applyFill="1" applyBorder="1" applyAlignment="1">
      <alignment horizontal="right"/>
    </xf>
    <xf numFmtId="0" fontId="4" fillId="8" borderId="1" xfId="0" applyFont="1" applyFill="1" applyBorder="1" applyProtection="1">
      <protection locked="0"/>
    </xf>
    <xf numFmtId="0" fontId="5" fillId="8" borderId="1" xfId="0" applyFont="1" applyFill="1" applyBorder="1"/>
    <xf numFmtId="0" fontId="5" fillId="8" borderId="1" xfId="0" applyFont="1" applyFill="1" applyBorder="1" applyProtection="1">
      <protection locked="0"/>
    </xf>
    <xf numFmtId="0" fontId="8" fillId="10" borderId="1" xfId="0" applyFont="1" applyFill="1" applyBorder="1" applyAlignment="1">
      <alignment horizontal="right"/>
    </xf>
    <xf numFmtId="0" fontId="29" fillId="4" borderId="1" xfId="0" applyFont="1" applyFill="1" applyBorder="1"/>
    <xf numFmtId="0" fontId="29" fillId="11" borderId="1" xfId="0" applyFont="1" applyFill="1" applyBorder="1"/>
    <xf numFmtId="2" fontId="5" fillId="17" borderId="25" xfId="0" applyNumberFormat="1" applyFont="1" applyFill="1" applyBorder="1" applyAlignment="1" applyProtection="1">
      <alignment horizontal="left"/>
      <protection locked="0"/>
    </xf>
    <xf numFmtId="0" fontId="4" fillId="17" borderId="9" xfId="0" applyFont="1" applyFill="1" applyBorder="1" applyAlignment="1" applyProtection="1">
      <alignment horizontal="left"/>
    </xf>
    <xf numFmtId="2" fontId="5" fillId="17" borderId="38" xfId="0" applyNumberFormat="1" applyFont="1" applyFill="1" applyBorder="1" applyAlignment="1" applyProtection="1">
      <alignment horizontal="left"/>
      <protection locked="0"/>
    </xf>
    <xf numFmtId="0" fontId="4" fillId="17" borderId="39" xfId="0" applyFont="1" applyFill="1" applyBorder="1" applyAlignment="1" applyProtection="1">
      <alignment horizontal="left"/>
    </xf>
    <xf numFmtId="2" fontId="29" fillId="11" borderId="1" xfId="0" applyNumberFormat="1" applyFont="1" applyFill="1" applyBorder="1"/>
    <xf numFmtId="0" fontId="29" fillId="11" borderId="0" xfId="0" applyFont="1" applyFill="1"/>
    <xf numFmtId="0" fontId="29" fillId="11" borderId="9" xfId="0" applyFont="1" applyFill="1" applyBorder="1" applyAlignment="1">
      <alignment horizontal="right"/>
    </xf>
    <xf numFmtId="167" fontId="29" fillId="11" borderId="4" xfId="0" applyNumberFormat="1" applyFont="1" applyFill="1" applyBorder="1"/>
    <xf numFmtId="0" fontId="5" fillId="3" borderId="1" xfId="0" applyFont="1" applyFill="1" applyBorder="1"/>
    <xf numFmtId="2" fontId="5" fillId="2" borderId="1" xfId="0" applyNumberFormat="1" applyFont="1" applyFill="1" applyBorder="1" applyProtection="1">
      <protection hidden="1"/>
    </xf>
    <xf numFmtId="2" fontId="5" fillId="5" borderId="1" xfId="0" applyNumberFormat="1" applyFont="1" applyFill="1" applyBorder="1" applyProtection="1">
      <protection hidden="1"/>
    </xf>
    <xf numFmtId="2" fontId="5" fillId="2" borderId="0" xfId="0" applyNumberFormat="1" applyFont="1" applyFill="1" applyBorder="1" applyProtection="1">
      <protection hidden="1"/>
    </xf>
    <xf numFmtId="2" fontId="5" fillId="11" borderId="1" xfId="0" applyNumberFormat="1" applyFont="1" applyFill="1" applyBorder="1" applyProtection="1">
      <protection hidden="1"/>
    </xf>
    <xf numFmtId="2" fontId="5" fillId="12" borderId="1" xfId="0" applyNumberFormat="1" applyFont="1" applyFill="1" applyBorder="1" applyProtection="1">
      <protection hidden="1"/>
    </xf>
    <xf numFmtId="2" fontId="5" fillId="12" borderId="1" xfId="0" applyNumberFormat="1" applyFont="1" applyFill="1" applyBorder="1"/>
    <xf numFmtId="0" fontId="17" fillId="0" borderId="0" xfId="0" applyFont="1" applyFill="1" applyAlignment="1" applyProtection="1">
      <alignment horizontal="centerContinuous"/>
      <protection hidden="1"/>
    </xf>
    <xf numFmtId="0" fontId="3" fillId="3" borderId="1" xfId="0" applyFont="1" applyFill="1" applyBorder="1"/>
    <xf numFmtId="0" fontId="0" fillId="3" borderId="1" xfId="0" applyFill="1" applyBorder="1" applyProtection="1">
      <protection locked="0"/>
    </xf>
    <xf numFmtId="165" fontId="5" fillId="3" borderId="1" xfId="0" applyNumberFormat="1" applyFont="1" applyFill="1" applyBorder="1" applyProtection="1">
      <protection locked="0"/>
    </xf>
    <xf numFmtId="0" fontId="4" fillId="9" borderId="1" xfId="0" applyFont="1" applyFill="1" applyBorder="1" applyAlignment="1" applyProtection="1">
      <alignment horizontal="center"/>
    </xf>
    <xf numFmtId="0" fontId="5" fillId="10" borderId="1" xfId="0" applyFont="1" applyFill="1" applyBorder="1" applyAlignment="1" applyProtection="1">
      <alignment horizontal="left"/>
      <protection locked="0"/>
    </xf>
    <xf numFmtId="0" fontId="5" fillId="14" borderId="1" xfId="0" applyFont="1" applyFill="1" applyBorder="1" applyAlignment="1" applyProtection="1">
      <alignment horizontal="left"/>
      <protection locked="0"/>
    </xf>
    <xf numFmtId="0" fontId="53" fillId="3" borderId="1" xfId="0" applyFont="1" applyFill="1" applyBorder="1"/>
    <xf numFmtId="0" fontId="0" fillId="3" borderId="13" xfId="0" applyFill="1" applyBorder="1"/>
    <xf numFmtId="0" fontId="23" fillId="9" borderId="11" xfId="0" applyFont="1" applyFill="1" applyBorder="1" applyProtection="1">
      <protection hidden="1"/>
    </xf>
    <xf numFmtId="164" fontId="7" fillId="11" borderId="1" xfId="0" applyNumberFormat="1" applyFont="1" applyFill="1" applyBorder="1"/>
    <xf numFmtId="0" fontId="29" fillId="4" borderId="14" xfId="0" applyFont="1" applyFill="1" applyBorder="1" applyProtection="1">
      <protection hidden="1"/>
    </xf>
    <xf numFmtId="0" fontId="4" fillId="12" borderId="1" xfId="0" applyFont="1" applyFill="1" applyBorder="1"/>
    <xf numFmtId="0" fontId="29" fillId="11" borderId="1" xfId="0" applyNumberFormat="1" applyFont="1" applyFill="1" applyBorder="1"/>
    <xf numFmtId="0" fontId="0" fillId="8" borderId="20" xfId="0" applyFill="1" applyBorder="1"/>
    <xf numFmtId="0" fontId="0" fillId="8" borderId="23" xfId="0" applyFill="1" applyBorder="1"/>
    <xf numFmtId="2" fontId="5" fillId="8" borderId="25" xfId="0" applyNumberFormat="1" applyFont="1" applyFill="1" applyBorder="1" applyAlignment="1" applyProtection="1">
      <alignment horizontal="left"/>
      <protection locked="0"/>
    </xf>
    <xf numFmtId="2" fontId="4" fillId="9" borderId="10" xfId="0" applyNumberFormat="1" applyFont="1" applyFill="1" applyBorder="1"/>
    <xf numFmtId="165" fontId="4" fillId="4" borderId="1" xfId="0" applyNumberFormat="1" applyFont="1" applyFill="1" applyBorder="1" applyProtection="1">
      <protection locked="0"/>
    </xf>
    <xf numFmtId="49" fontId="4" fillId="0" borderId="0" xfId="0" applyNumberFormat="1" applyFont="1"/>
    <xf numFmtId="0" fontId="29" fillId="0" borderId="1" xfId="0" applyFont="1" applyBorder="1" applyProtection="1">
      <protection locked="0"/>
    </xf>
    <xf numFmtId="0" fontId="29" fillId="3" borderId="1" xfId="0" applyFont="1" applyFill="1" applyBorder="1" applyAlignment="1" applyProtection="1">
      <alignment horizontal="center"/>
      <protection locked="0"/>
    </xf>
    <xf numFmtId="0" fontId="3" fillId="8" borderId="12" xfId="0" applyFont="1" applyFill="1" applyBorder="1" applyAlignment="1" applyProtection="1">
      <alignment horizontal="right"/>
    </xf>
    <xf numFmtId="0" fontId="3" fillId="8" borderId="12" xfId="0" applyFont="1" applyFill="1" applyBorder="1" applyProtection="1"/>
    <xf numFmtId="0" fontId="5" fillId="8" borderId="12" xfId="0" applyFont="1" applyFill="1" applyBorder="1" applyProtection="1"/>
    <xf numFmtId="0" fontId="7" fillId="8" borderId="12" xfId="0" applyFont="1" applyFill="1" applyBorder="1" applyProtection="1"/>
    <xf numFmtId="0" fontId="0" fillId="8" borderId="0" xfId="0" applyFill="1" applyProtection="1"/>
    <xf numFmtId="0" fontId="53" fillId="8" borderId="0" xfId="0" applyFont="1" applyFill="1" applyProtection="1">
      <protection hidden="1"/>
    </xf>
    <xf numFmtId="0" fontId="44" fillId="8" borderId="0" xfId="0" applyFont="1" applyFill="1" applyBorder="1" applyAlignment="1" applyProtection="1">
      <alignment horizontal="center"/>
      <protection hidden="1"/>
    </xf>
    <xf numFmtId="0" fontId="0" fillId="8" borderId="0" xfId="0" applyFill="1" applyProtection="1">
      <protection hidden="1"/>
    </xf>
    <xf numFmtId="14" fontId="53" fillId="8" borderId="0" xfId="0" applyNumberFormat="1" applyFont="1" applyFill="1" applyAlignment="1" applyProtection="1">
      <alignment horizontal="left"/>
      <protection hidden="1"/>
    </xf>
    <xf numFmtId="0" fontId="0" fillId="3" borderId="2" xfId="0" applyFill="1" applyBorder="1" applyProtection="1">
      <protection hidden="1"/>
    </xf>
    <xf numFmtId="0" fontId="0" fillId="9" borderId="1" xfId="0" applyFill="1" applyBorder="1" applyProtection="1">
      <protection locked="0"/>
    </xf>
    <xf numFmtId="0" fontId="0" fillId="8" borderId="2" xfId="0" applyFill="1" applyBorder="1"/>
    <xf numFmtId="0" fontId="0" fillId="8" borderId="15" xfId="0" applyFill="1" applyBorder="1" applyProtection="1">
      <protection locked="0"/>
    </xf>
    <xf numFmtId="0" fontId="3" fillId="8" borderId="13" xfId="0" applyFont="1" applyFill="1" applyBorder="1" applyProtection="1">
      <protection locked="0"/>
    </xf>
    <xf numFmtId="0" fontId="3" fillId="8" borderId="0" xfId="0" applyFont="1" applyFill="1" applyBorder="1" applyAlignment="1" applyProtection="1">
      <alignment horizontal="right"/>
    </xf>
    <xf numFmtId="0" fontId="60" fillId="8" borderId="0" xfId="0" applyFont="1" applyFill="1" applyBorder="1" applyAlignment="1" applyProtection="1">
      <alignment horizontal="left"/>
      <protection locked="0"/>
    </xf>
    <xf numFmtId="0" fontId="0" fillId="8" borderId="0" xfId="0" applyFill="1" applyBorder="1" applyProtection="1"/>
    <xf numFmtId="0" fontId="0" fillId="0" borderId="16" xfId="0" applyBorder="1"/>
    <xf numFmtId="9" fontId="44" fillId="8" borderId="0" xfId="0" applyNumberFormat="1" applyFont="1" applyFill="1" applyBorder="1" applyAlignment="1" applyProtection="1">
      <alignment horizontal="right"/>
    </xf>
    <xf numFmtId="2" fontId="4" fillId="0" borderId="0" xfId="0" applyNumberFormat="1" applyFont="1" applyAlignment="1" applyProtection="1">
      <alignment horizontal="left"/>
      <protection hidden="1"/>
    </xf>
    <xf numFmtId="9" fontId="57" fillId="8" borderId="1" xfId="0" applyNumberFormat="1" applyFont="1" applyFill="1" applyBorder="1" applyAlignment="1" applyProtection="1">
      <alignment horizontal="left"/>
    </xf>
    <xf numFmtId="0" fontId="57" fillId="8" borderId="1" xfId="0" applyFont="1" applyFill="1" applyBorder="1" applyProtection="1"/>
    <xf numFmtId="0" fontId="57" fillId="8" borderId="0" xfId="0" applyFont="1" applyFill="1" applyBorder="1" applyProtection="1"/>
    <xf numFmtId="0" fontId="0" fillId="8" borderId="0" xfId="0" applyFill="1" applyBorder="1" applyProtection="1">
      <protection hidden="1"/>
    </xf>
    <xf numFmtId="0" fontId="4" fillId="0" borderId="1" xfId="0" applyFont="1" applyFill="1" applyBorder="1" applyAlignment="1" applyProtection="1">
      <alignment horizontal="right"/>
      <protection hidden="1"/>
    </xf>
    <xf numFmtId="0" fontId="0" fillId="0" borderId="1" xfId="0" applyBorder="1" applyProtection="1">
      <protection locked="0" hidden="1"/>
    </xf>
    <xf numFmtId="2" fontId="57" fillId="8" borderId="2" xfId="0" applyNumberFormat="1" applyFont="1" applyFill="1" applyBorder="1" applyAlignment="1" applyProtection="1">
      <alignment horizontal="right"/>
    </xf>
    <xf numFmtId="9" fontId="44" fillId="10" borderId="1" xfId="0" applyNumberFormat="1" applyFont="1" applyFill="1" applyBorder="1" applyAlignment="1" applyProtection="1">
      <alignment horizontal="left"/>
    </xf>
    <xf numFmtId="1" fontId="44" fillId="10" borderId="1" xfId="0" applyNumberFormat="1" applyFont="1" applyFill="1" applyBorder="1" applyAlignment="1" applyProtection="1">
      <alignment horizontal="right"/>
      <protection locked="0"/>
    </xf>
    <xf numFmtId="9" fontId="59" fillId="8" borderId="0" xfId="0" applyNumberFormat="1" applyFont="1" applyFill="1" applyBorder="1" applyAlignment="1" applyProtection="1">
      <alignment horizontal="left"/>
    </xf>
    <xf numFmtId="1" fontId="59" fillId="8" borderId="0" xfId="0" applyNumberFormat="1" applyFont="1" applyFill="1" applyBorder="1" applyAlignment="1" applyProtection="1">
      <alignment horizontal="right"/>
      <protection locked="0"/>
    </xf>
    <xf numFmtId="0" fontId="4" fillId="0" borderId="16" xfId="0" applyFont="1" applyBorder="1"/>
    <xf numFmtId="0" fontId="0" fillId="8" borderId="0" xfId="0" applyFill="1"/>
    <xf numFmtId="9" fontId="44" fillId="8" borderId="0" xfId="0" applyNumberFormat="1" applyFont="1" applyFill="1" applyBorder="1" applyAlignment="1" applyProtection="1">
      <alignment horizontal="left"/>
    </xf>
    <xf numFmtId="2" fontId="5" fillId="8" borderId="0" xfId="0" applyNumberFormat="1" applyFont="1" applyFill="1" applyBorder="1" applyAlignment="1" applyProtection="1">
      <alignment horizontal="right"/>
    </xf>
    <xf numFmtId="0" fontId="0" fillId="17" borderId="18" xfId="0" applyFill="1" applyBorder="1" applyProtection="1">
      <protection hidden="1"/>
    </xf>
    <xf numFmtId="0" fontId="0" fillId="17" borderId="0" xfId="0" applyFill="1" applyBorder="1" applyProtection="1">
      <protection hidden="1"/>
    </xf>
    <xf numFmtId="0" fontId="0" fillId="17" borderId="0" xfId="0" applyFill="1" applyBorder="1" applyProtection="1"/>
    <xf numFmtId="0" fontId="0" fillId="17" borderId="23" xfId="0" applyFill="1" applyBorder="1" applyProtection="1"/>
    <xf numFmtId="0" fontId="4" fillId="0" borderId="1" xfId="0" applyFont="1" applyBorder="1" applyProtection="1">
      <protection locked="0"/>
    </xf>
    <xf numFmtId="0" fontId="1" fillId="17" borderId="18" xfId="0" applyFont="1" applyFill="1" applyBorder="1" applyProtection="1"/>
    <xf numFmtId="0" fontId="1" fillId="17" borderId="0" xfId="0" applyFont="1" applyFill="1" applyBorder="1" applyProtection="1"/>
    <xf numFmtId="0" fontId="1" fillId="17" borderId="23" xfId="0" applyFont="1" applyFill="1" applyBorder="1" applyProtection="1"/>
    <xf numFmtId="0" fontId="3" fillId="3" borderId="1" xfId="0" applyFont="1" applyFill="1" applyBorder="1" applyAlignment="1" applyProtection="1">
      <alignment horizontal="center"/>
      <protection locked="0"/>
    </xf>
    <xf numFmtId="0" fontId="61" fillId="8" borderId="0" xfId="0" applyFont="1" applyFill="1" applyBorder="1" applyProtection="1"/>
    <xf numFmtId="9" fontId="5" fillId="8" borderId="0" xfId="0" applyNumberFormat="1" applyFont="1" applyFill="1" applyBorder="1" applyAlignment="1" applyProtection="1">
      <alignment horizontal="right"/>
    </xf>
    <xf numFmtId="0" fontId="1" fillId="17" borderId="0" xfId="0" applyFont="1" applyFill="1" applyBorder="1" applyProtection="1">
      <protection hidden="1"/>
    </xf>
    <xf numFmtId="0" fontId="1" fillId="17" borderId="23" xfId="0" applyFont="1" applyFill="1" applyBorder="1" applyProtection="1">
      <protection hidden="1"/>
    </xf>
    <xf numFmtId="0" fontId="3" fillId="8" borderId="0" xfId="0" applyFont="1" applyFill="1" applyProtection="1">
      <protection locked="0"/>
    </xf>
    <xf numFmtId="0" fontId="3" fillId="8" borderId="14" xfId="0" applyFont="1" applyFill="1" applyBorder="1" applyAlignment="1" applyProtection="1">
      <alignment horizontal="center"/>
      <protection locked="0"/>
    </xf>
    <xf numFmtId="10" fontId="40" fillId="8" borderId="0" xfId="0" applyNumberFormat="1" applyFont="1" applyFill="1" applyBorder="1" applyAlignment="1" applyProtection="1">
      <alignment horizontal="left"/>
    </xf>
    <xf numFmtId="9" fontId="40" fillId="8" borderId="0" xfId="0" applyNumberFormat="1" applyFont="1" applyFill="1" applyBorder="1" applyAlignment="1" applyProtection="1">
      <alignment horizontal="left"/>
    </xf>
    <xf numFmtId="0" fontId="13" fillId="17" borderId="27" xfId="0" applyFont="1" applyFill="1" applyBorder="1" applyAlignment="1" applyProtection="1">
      <alignment horizontal="left"/>
    </xf>
    <xf numFmtId="2" fontId="13" fillId="17" borderId="1" xfId="0" applyNumberFormat="1" applyFont="1" applyFill="1" applyBorder="1" applyProtection="1">
      <protection locked="0"/>
    </xf>
    <xf numFmtId="9" fontId="13" fillId="17" borderId="1" xfId="0" applyNumberFormat="1" applyFont="1" applyFill="1" applyBorder="1" applyAlignment="1" applyProtection="1">
      <alignment horizontal="left"/>
    </xf>
    <xf numFmtId="2" fontId="13" fillId="17" borderId="29" xfId="0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13" fillId="17" borderId="28" xfId="0" applyFont="1" applyFill="1" applyBorder="1" applyAlignment="1" applyProtection="1">
      <alignment horizontal="left"/>
    </xf>
    <xf numFmtId="2" fontId="13" fillId="17" borderId="26" xfId="0" applyNumberFormat="1" applyFont="1" applyFill="1" applyBorder="1" applyProtection="1">
      <protection locked="0"/>
    </xf>
    <xf numFmtId="9" fontId="13" fillId="17" borderId="26" xfId="0" applyNumberFormat="1" applyFont="1" applyFill="1" applyBorder="1" applyAlignment="1" applyProtection="1">
      <alignment horizontal="left"/>
    </xf>
    <xf numFmtId="2" fontId="13" fillId="17" borderId="30" xfId="0" applyNumberFormat="1" applyFont="1" applyFill="1" applyBorder="1" applyProtection="1">
      <protection locked="0"/>
    </xf>
    <xf numFmtId="0" fontId="0" fillId="2" borderId="1" xfId="0" applyFill="1" applyBorder="1" applyProtection="1"/>
    <xf numFmtId="10" fontId="57" fillId="8" borderId="1" xfId="0" applyNumberFormat="1" applyFont="1" applyFill="1" applyBorder="1" applyAlignment="1" applyProtection="1">
      <alignment horizontal="right"/>
    </xf>
    <xf numFmtId="0" fontId="0" fillId="8" borderId="17" xfId="0" applyFill="1" applyBorder="1" applyProtection="1"/>
    <xf numFmtId="0" fontId="4" fillId="9" borderId="2" xfId="0" applyFont="1" applyFill="1" applyBorder="1" applyProtection="1">
      <protection hidden="1"/>
    </xf>
    <xf numFmtId="9" fontId="5" fillId="8" borderId="1" xfId="0" applyNumberFormat="1" applyFont="1" applyFill="1" applyBorder="1" applyAlignment="1" applyProtection="1">
      <alignment horizontal="center"/>
      <protection locked="0"/>
    </xf>
    <xf numFmtId="9" fontId="5" fillId="2" borderId="1" xfId="0" applyNumberFormat="1" applyFont="1" applyFill="1" applyBorder="1" applyAlignment="1" applyProtection="1">
      <alignment horizontal="center"/>
      <protection locked="0"/>
    </xf>
    <xf numFmtId="0" fontId="2" fillId="8" borderId="0" xfId="0" applyFont="1" applyFill="1" applyProtection="1"/>
    <xf numFmtId="0" fontId="5" fillId="8" borderId="0" xfId="0" applyFont="1" applyFill="1" applyProtection="1">
      <protection hidden="1"/>
    </xf>
    <xf numFmtId="0" fontId="0" fillId="10" borderId="1" xfId="0" applyFill="1" applyBorder="1" applyProtection="1">
      <protection hidden="1"/>
    </xf>
    <xf numFmtId="2" fontId="58" fillId="8" borderId="1" xfId="0" applyNumberFormat="1" applyFont="1" applyFill="1" applyBorder="1" applyAlignment="1" applyProtection="1">
      <alignment horizontal="right"/>
      <protection locked="0"/>
    </xf>
    <xf numFmtId="2" fontId="58" fillId="2" borderId="1" xfId="0" applyNumberFormat="1" applyFont="1" applyFill="1" applyBorder="1" applyAlignment="1" applyProtection="1">
      <alignment horizontal="right"/>
      <protection locked="0"/>
    </xf>
    <xf numFmtId="165" fontId="0" fillId="8" borderId="0" xfId="0" applyNumberFormat="1" applyFill="1" applyProtection="1"/>
    <xf numFmtId="0" fontId="4" fillId="9" borderId="1" xfId="0" applyFont="1" applyFill="1" applyBorder="1" applyProtection="1">
      <protection hidden="1"/>
    </xf>
    <xf numFmtId="0" fontId="0" fillId="18" borderId="1" xfId="0" applyFill="1" applyBorder="1" applyProtection="1">
      <protection hidden="1"/>
    </xf>
    <xf numFmtId="0" fontId="5" fillId="8" borderId="18" xfId="0" applyFont="1" applyFill="1" applyBorder="1" applyAlignment="1" applyProtection="1">
      <alignment horizontal="right"/>
    </xf>
    <xf numFmtId="0" fontId="5" fillId="8" borderId="0" xfId="0" applyFont="1" applyFill="1" applyBorder="1" applyProtection="1"/>
    <xf numFmtId="0" fontId="4" fillId="9" borderId="1" xfId="0" applyFont="1" applyFill="1" applyBorder="1" applyProtection="1">
      <protection locked="0" hidden="1"/>
    </xf>
    <xf numFmtId="0" fontId="29" fillId="8" borderId="0" xfId="0" applyFont="1" applyFill="1" applyProtection="1"/>
    <xf numFmtId="164" fontId="27" fillId="8" borderId="1" xfId="0" applyNumberFormat="1" applyFont="1" applyFill="1" applyBorder="1" applyAlignment="1" applyProtection="1">
      <alignment horizontal="right"/>
    </xf>
    <xf numFmtId="165" fontId="27" fillId="8" borderId="1" xfId="0" applyNumberFormat="1" applyFont="1" applyFill="1" applyBorder="1" applyAlignment="1" applyProtection="1">
      <alignment horizontal="right"/>
    </xf>
    <xf numFmtId="164" fontId="27" fillId="17" borderId="1" xfId="0" applyNumberFormat="1" applyFont="1" applyFill="1" applyBorder="1" applyAlignment="1" applyProtection="1">
      <alignment horizontal="right"/>
    </xf>
    <xf numFmtId="165" fontId="27" fillId="17" borderId="1" xfId="0" applyNumberFormat="1" applyFont="1" applyFill="1" applyBorder="1" applyAlignment="1" applyProtection="1">
      <alignment horizontal="right"/>
    </xf>
    <xf numFmtId="164" fontId="27" fillId="6" borderId="1" xfId="0" applyNumberFormat="1" applyFont="1" applyFill="1" applyBorder="1" applyAlignment="1" applyProtection="1">
      <alignment horizontal="right"/>
    </xf>
    <xf numFmtId="165" fontId="27" fillId="6" borderId="1" xfId="0" applyNumberFormat="1" applyFont="1" applyFill="1" applyBorder="1" applyAlignment="1" applyProtection="1">
      <alignment horizontal="right"/>
    </xf>
    <xf numFmtId="164" fontId="27" fillId="2" borderId="1" xfId="0" applyNumberFormat="1" applyFont="1" applyFill="1" applyBorder="1" applyAlignment="1" applyProtection="1">
      <alignment horizontal="right"/>
    </xf>
    <xf numFmtId="165" fontId="27" fillId="2" borderId="1" xfId="0" applyNumberFormat="1" applyFont="1" applyFill="1" applyBorder="1" applyAlignment="1" applyProtection="1">
      <alignment horizontal="right"/>
    </xf>
    <xf numFmtId="0" fontId="3" fillId="8" borderId="0" xfId="0" applyFont="1" applyFill="1" applyProtection="1"/>
    <xf numFmtId="0" fontId="13" fillId="8" borderId="0" xfId="0" applyFont="1" applyFill="1" applyAlignment="1" applyProtection="1">
      <alignment horizontal="right"/>
    </xf>
    <xf numFmtId="0" fontId="62" fillId="0" borderId="31" xfId="0" applyFont="1" applyFill="1" applyBorder="1" applyAlignment="1" applyProtection="1">
      <alignment horizontal="center"/>
      <protection hidden="1"/>
    </xf>
    <xf numFmtId="0" fontId="62" fillId="0" borderId="22" xfId="0" applyFont="1" applyFill="1" applyBorder="1" applyAlignment="1" applyProtection="1">
      <alignment horizontal="center"/>
      <protection hidden="1"/>
    </xf>
    <xf numFmtId="2" fontId="58" fillId="0" borderId="27" xfId="0" applyNumberFormat="1" applyFont="1" applyFill="1" applyBorder="1" applyProtection="1">
      <protection hidden="1"/>
    </xf>
    <xf numFmtId="2" fontId="58" fillId="0" borderId="29" xfId="0" applyNumberFormat="1" applyFont="1" applyFill="1" applyBorder="1" applyProtection="1">
      <protection hidden="1"/>
    </xf>
    <xf numFmtId="2" fontId="58" fillId="2" borderId="27" xfId="0" applyNumberFormat="1" applyFont="1" applyFill="1" applyBorder="1" applyProtection="1">
      <protection hidden="1"/>
    </xf>
    <xf numFmtId="2" fontId="58" fillId="2" borderId="29" xfId="0" applyNumberFormat="1" applyFont="1" applyFill="1" applyBorder="1" applyProtection="1">
      <protection hidden="1"/>
    </xf>
    <xf numFmtId="2" fontId="58" fillId="2" borderId="28" xfId="0" applyNumberFormat="1" applyFont="1" applyFill="1" applyBorder="1" applyProtection="1">
      <protection hidden="1"/>
    </xf>
    <xf numFmtId="2" fontId="58" fillId="2" borderId="30" xfId="0" applyNumberFormat="1" applyFont="1" applyFill="1" applyBorder="1" applyProtection="1">
      <protection hidden="1"/>
    </xf>
    <xf numFmtId="0" fontId="5" fillId="8" borderId="1" xfId="0" applyFont="1" applyFill="1" applyBorder="1" applyAlignment="1">
      <alignment horizontal="center"/>
    </xf>
    <xf numFmtId="2" fontId="58" fillId="0" borderId="28" xfId="0" applyNumberFormat="1" applyFont="1" applyFill="1" applyBorder="1" applyProtection="1">
      <protection hidden="1"/>
    </xf>
    <xf numFmtId="2" fontId="58" fillId="0" borderId="30" xfId="0" applyNumberFormat="1" applyFont="1" applyFill="1" applyBorder="1" applyProtection="1">
      <protection hidden="1"/>
    </xf>
    <xf numFmtId="0" fontId="62" fillId="2" borderId="31" xfId="0" applyFont="1" applyFill="1" applyBorder="1" applyAlignment="1" applyProtection="1">
      <alignment horizontal="center"/>
      <protection hidden="1"/>
    </xf>
    <xf numFmtId="0" fontId="62" fillId="2" borderId="22" xfId="0" applyFont="1" applyFill="1" applyBorder="1" applyAlignment="1" applyProtection="1">
      <alignment horizontal="center"/>
      <protection hidden="1"/>
    </xf>
    <xf numFmtId="2" fontId="0" fillId="0" borderId="0" xfId="0" applyNumberFormat="1" applyProtection="1"/>
    <xf numFmtId="0" fontId="0" fillId="0" borderId="0" xfId="0" applyFill="1" applyProtection="1"/>
    <xf numFmtId="9" fontId="0" fillId="0" borderId="0" xfId="0" applyNumberFormat="1"/>
    <xf numFmtId="0" fontId="5" fillId="0" borderId="31" xfId="0" applyFont="1" applyFill="1" applyBorder="1" applyAlignment="1">
      <alignment horizontal="left"/>
    </xf>
    <xf numFmtId="0" fontId="0" fillId="0" borderId="17" xfId="0" applyFill="1" applyBorder="1" applyProtection="1">
      <protection hidden="1"/>
    </xf>
    <xf numFmtId="0" fontId="0" fillId="0" borderId="17" xfId="0" applyFill="1" applyBorder="1"/>
    <xf numFmtId="0" fontId="0" fillId="0" borderId="20" xfId="0" applyFill="1" applyBorder="1"/>
    <xf numFmtId="0" fontId="29" fillId="0" borderId="0" xfId="0" applyFont="1" applyFill="1" applyBorder="1" applyProtection="1"/>
    <xf numFmtId="0" fontId="0" fillId="0" borderId="0" xfId="0" applyFill="1" applyBorder="1" applyProtection="1"/>
    <xf numFmtId="164" fontId="27" fillId="8" borderId="27" xfId="0" applyNumberFormat="1" applyFont="1" applyFill="1" applyBorder="1" applyAlignment="1" applyProtection="1">
      <alignment horizontal="right"/>
    </xf>
    <xf numFmtId="164" fontId="27" fillId="3" borderId="1" xfId="0" applyNumberFormat="1" applyFont="1" applyFill="1" applyBorder="1" applyAlignment="1" applyProtection="1">
      <alignment horizontal="right"/>
    </xf>
    <xf numFmtId="165" fontId="27" fillId="3" borderId="1" xfId="0" applyNumberFormat="1" applyFont="1" applyFill="1" applyBorder="1" applyAlignment="1" applyProtection="1">
      <alignment horizontal="right"/>
    </xf>
    <xf numFmtId="165" fontId="27" fillId="3" borderId="29" xfId="0" applyNumberFormat="1" applyFont="1" applyFill="1" applyBorder="1" applyAlignment="1" applyProtection="1">
      <alignment horizontal="right"/>
    </xf>
    <xf numFmtId="164" fontId="27" fillId="8" borderId="28" xfId="0" applyNumberFormat="1" applyFont="1" applyFill="1" applyBorder="1" applyAlignment="1" applyProtection="1">
      <alignment horizontal="right"/>
    </xf>
    <xf numFmtId="165" fontId="27" fillId="8" borderId="26" xfId="0" applyNumberFormat="1" applyFont="1" applyFill="1" applyBorder="1" applyAlignment="1" applyProtection="1">
      <alignment horizontal="right"/>
    </xf>
    <xf numFmtId="164" fontId="27" fillId="17" borderId="26" xfId="0" applyNumberFormat="1" applyFont="1" applyFill="1" applyBorder="1" applyAlignment="1" applyProtection="1">
      <alignment horizontal="right"/>
    </xf>
    <xf numFmtId="165" fontId="27" fillId="17" borderId="26" xfId="0" applyNumberFormat="1" applyFont="1" applyFill="1" applyBorder="1" applyAlignment="1" applyProtection="1">
      <alignment horizontal="right"/>
    </xf>
    <xf numFmtId="164" fontId="27" fillId="3" borderId="26" xfId="0" applyNumberFormat="1" applyFont="1" applyFill="1" applyBorder="1" applyAlignment="1" applyProtection="1">
      <alignment horizontal="right"/>
    </xf>
    <xf numFmtId="165" fontId="27" fillId="3" borderId="26" xfId="0" applyNumberFormat="1" applyFont="1" applyFill="1" applyBorder="1" applyAlignment="1" applyProtection="1">
      <alignment horizontal="right"/>
    </xf>
    <xf numFmtId="165" fontId="27" fillId="3" borderId="30" xfId="0" applyNumberFormat="1" applyFont="1" applyFill="1" applyBorder="1" applyAlignment="1" applyProtection="1">
      <alignment horizontal="right"/>
    </xf>
    <xf numFmtId="22" fontId="53" fillId="11" borderId="1" xfId="0" applyNumberFormat="1" applyFont="1" applyFill="1" applyBorder="1" applyAlignment="1" applyProtection="1">
      <alignment horizontal="left"/>
      <protection hidden="1"/>
    </xf>
    <xf numFmtId="0" fontId="4" fillId="0" borderId="1" xfId="0" applyFont="1" applyBorder="1" applyAlignment="1" applyProtection="1">
      <alignment horizontal="left"/>
      <protection hidden="1"/>
    </xf>
    <xf numFmtId="1" fontId="4" fillId="0" borderId="1" xfId="0" applyNumberFormat="1" applyFont="1" applyBorder="1"/>
    <xf numFmtId="9" fontId="57" fillId="8" borderId="0" xfId="0" applyNumberFormat="1" applyFont="1" applyFill="1" applyBorder="1" applyAlignment="1" applyProtection="1">
      <alignment horizontal="right"/>
    </xf>
    <xf numFmtId="1" fontId="57" fillId="8" borderId="0" xfId="0" applyNumberFormat="1" applyFont="1" applyFill="1" applyBorder="1" applyAlignment="1" applyProtection="1">
      <alignment horizontal="right"/>
    </xf>
    <xf numFmtId="0" fontId="28" fillId="8" borderId="0" xfId="0" applyFont="1" applyFill="1" applyProtection="1"/>
    <xf numFmtId="165" fontId="57" fillId="8" borderId="0" xfId="0" applyNumberFormat="1" applyFont="1" applyFill="1" applyBorder="1" applyAlignment="1" applyProtection="1">
      <alignment horizontal="right"/>
    </xf>
    <xf numFmtId="2" fontId="7" fillId="15" borderId="1" xfId="0" applyNumberFormat="1" applyFont="1" applyFill="1" applyBorder="1"/>
    <xf numFmtId="2" fontId="0" fillId="15" borderId="16" xfId="0" applyNumberFormat="1" applyFill="1" applyBorder="1"/>
    <xf numFmtId="0" fontId="63" fillId="8" borderId="0" xfId="0" applyFont="1" applyFill="1"/>
    <xf numFmtId="9" fontId="57" fillId="8" borderId="16" xfId="0" applyNumberFormat="1" applyFont="1" applyFill="1" applyBorder="1" applyAlignment="1" applyProtection="1">
      <alignment horizontal="left"/>
    </xf>
    <xf numFmtId="0" fontId="57" fillId="8" borderId="1" xfId="0" applyFont="1" applyFill="1" applyBorder="1"/>
    <xf numFmtId="2" fontId="57" fillId="8" borderId="1" xfId="0" applyNumberFormat="1" applyFont="1" applyFill="1" applyBorder="1"/>
    <xf numFmtId="0" fontId="4" fillId="3" borderId="1" xfId="0" applyFont="1" applyFill="1" applyBorder="1" applyProtection="1"/>
    <xf numFmtId="0" fontId="29" fillId="19" borderId="1" xfId="0" applyFont="1" applyFill="1" applyBorder="1"/>
    <xf numFmtId="164" fontId="29" fillId="19" borderId="1" xfId="0" applyNumberFormat="1" applyFont="1" applyFill="1" applyBorder="1"/>
    <xf numFmtId="0" fontId="5" fillId="9" borderId="1" xfId="0" applyFont="1" applyFill="1" applyBorder="1" applyProtection="1">
      <protection locked="0"/>
    </xf>
    <xf numFmtId="0" fontId="5" fillId="9" borderId="1" xfId="0" applyFont="1" applyFill="1" applyBorder="1" applyAlignment="1" applyProtection="1">
      <alignment horizontal="left"/>
    </xf>
    <xf numFmtId="0" fontId="4" fillId="9" borderId="2" xfId="0" applyFont="1" applyFill="1" applyBorder="1" applyProtection="1">
      <protection locked="0"/>
    </xf>
    <xf numFmtId="2" fontId="5" fillId="8" borderId="1" xfId="0" applyNumberFormat="1" applyFont="1" applyFill="1" applyBorder="1" applyAlignment="1" applyProtection="1">
      <alignment horizontal="left"/>
      <protection locked="0"/>
    </xf>
    <xf numFmtId="0" fontId="6" fillId="19" borderId="24" xfId="0" applyFont="1" applyFill="1" applyBorder="1" applyProtection="1"/>
    <xf numFmtId="0" fontId="0" fillId="19" borderId="17" xfId="0" applyFill="1" applyBorder="1" applyAlignment="1">
      <alignment horizontal="left"/>
    </xf>
    <xf numFmtId="0" fontId="0" fillId="19" borderId="17" xfId="0" applyFill="1" applyBorder="1"/>
    <xf numFmtId="0" fontId="0" fillId="19" borderId="19" xfId="0" applyFill="1" applyBorder="1"/>
    <xf numFmtId="0" fontId="4" fillId="19" borderId="26" xfId="0" applyFont="1" applyFill="1" applyBorder="1"/>
    <xf numFmtId="2" fontId="5" fillId="19" borderId="26" xfId="0" applyNumberFormat="1" applyFont="1" applyFill="1" applyBorder="1" applyAlignment="1" applyProtection="1">
      <alignment horizontal="left"/>
      <protection locked="0"/>
    </xf>
    <xf numFmtId="0" fontId="4" fillId="9" borderId="26" xfId="0" applyFont="1" applyFill="1" applyBorder="1"/>
    <xf numFmtId="0" fontId="5" fillId="9" borderId="26" xfId="0" applyFont="1" applyFill="1" applyBorder="1" applyAlignment="1" applyProtection="1">
      <alignment horizontal="left"/>
      <protection locked="0"/>
    </xf>
    <xf numFmtId="0" fontId="5" fillId="9" borderId="30" xfId="0" applyFont="1" applyFill="1" applyBorder="1" applyAlignment="1" applyProtection="1">
      <alignment horizontal="left"/>
      <protection locked="0"/>
    </xf>
    <xf numFmtId="0" fontId="5" fillId="9" borderId="19" xfId="0" applyFont="1" applyFill="1" applyBorder="1" applyAlignment="1">
      <alignment horizontal="left"/>
    </xf>
    <xf numFmtId="0" fontId="4" fillId="9" borderId="37" xfId="0" applyFont="1" applyFill="1" applyBorder="1" applyAlignment="1">
      <alignment horizontal="left"/>
    </xf>
    <xf numFmtId="2" fontId="5" fillId="9" borderId="26" xfId="0" applyNumberFormat="1" applyFont="1" applyFill="1" applyBorder="1" applyAlignment="1" applyProtection="1">
      <alignment horizontal="center"/>
      <protection locked="0"/>
    </xf>
    <xf numFmtId="0" fontId="4" fillId="9" borderId="37" xfId="0" applyFont="1" applyFill="1" applyBorder="1" applyAlignment="1">
      <alignment horizontal="right"/>
    </xf>
    <xf numFmtId="0" fontId="4" fillId="9" borderId="26" xfId="0" applyFont="1" applyFill="1" applyBorder="1" applyAlignment="1">
      <alignment horizontal="right"/>
    </xf>
    <xf numFmtId="167" fontId="5" fillId="9" borderId="37" xfId="0" applyNumberFormat="1" applyFont="1" applyFill="1" applyBorder="1" applyAlignment="1" applyProtection="1">
      <alignment horizontal="center"/>
    </xf>
    <xf numFmtId="167" fontId="5" fillId="9" borderId="40" xfId="0" applyNumberFormat="1" applyFont="1" applyFill="1" applyBorder="1" applyAlignment="1" applyProtection="1">
      <alignment horizontal="center"/>
    </xf>
    <xf numFmtId="0" fontId="4" fillId="8" borderId="27" xfId="0" applyFont="1" applyFill="1" applyBorder="1" applyAlignment="1" applyProtection="1">
      <alignment horizontal="left"/>
    </xf>
    <xf numFmtId="0" fontId="4" fillId="8" borderId="28" xfId="0" applyFont="1" applyFill="1" applyBorder="1" applyAlignment="1" applyProtection="1">
      <alignment horizontal="left"/>
    </xf>
    <xf numFmtId="2" fontId="5" fillId="8" borderId="26" xfId="0" applyNumberFormat="1" applyFont="1" applyFill="1" applyBorder="1" applyAlignment="1" applyProtection="1">
      <alignment horizontal="left"/>
      <protection locked="0"/>
    </xf>
    <xf numFmtId="0" fontId="4" fillId="8" borderId="26" xfId="0" applyFont="1" applyFill="1" applyBorder="1" applyAlignment="1" applyProtection="1">
      <alignment horizontal="left"/>
    </xf>
    <xf numFmtId="0" fontId="5" fillId="9" borderId="41" xfId="0" applyFont="1" applyFill="1" applyBorder="1" applyAlignment="1">
      <alignment horizontal="center"/>
    </xf>
    <xf numFmtId="0" fontId="4" fillId="9" borderId="1" xfId="0" applyFont="1" applyFill="1" applyBorder="1" applyAlignment="1" applyProtection="1">
      <alignment horizontal="left"/>
    </xf>
    <xf numFmtId="0" fontId="6" fillId="9" borderId="17" xfId="0" applyFont="1" applyFill="1" applyBorder="1"/>
    <xf numFmtId="0" fontId="5" fillId="9" borderId="6" xfId="0" applyFont="1" applyFill="1" applyBorder="1" applyAlignment="1">
      <alignment horizontal="right"/>
    </xf>
    <xf numFmtId="2" fontId="5" fillId="9" borderId="26" xfId="0" applyNumberFormat="1" applyFont="1" applyFill="1" applyBorder="1" applyAlignment="1" applyProtection="1">
      <alignment horizontal="left"/>
      <protection locked="0"/>
    </xf>
    <xf numFmtId="165" fontId="5" fillId="19" borderId="30" xfId="0" applyNumberFormat="1" applyFont="1" applyFill="1" applyBorder="1" applyAlignment="1" applyProtection="1">
      <alignment horizontal="left"/>
      <protection locked="0"/>
    </xf>
    <xf numFmtId="10" fontId="57" fillId="8" borderId="2" xfId="0" applyNumberFormat="1" applyFont="1" applyFill="1" applyBorder="1" applyAlignment="1" applyProtection="1">
      <alignment horizontal="right"/>
    </xf>
    <xf numFmtId="2" fontId="57" fillId="8" borderId="0" xfId="0" applyNumberFormat="1" applyFont="1" applyFill="1" applyBorder="1"/>
    <xf numFmtId="167" fontId="57" fillId="8" borderId="0" xfId="0" applyNumberFormat="1" applyFont="1" applyFill="1" applyBorder="1"/>
    <xf numFmtId="0" fontId="0" fillId="4" borderId="1" xfId="0" applyFill="1" applyBorder="1" applyAlignment="1" applyProtection="1">
      <alignment horizontal="left"/>
    </xf>
    <xf numFmtId="0" fontId="0" fillId="0" borderId="0" xfId="0" applyProtection="1">
      <protection locked="0" hidden="1"/>
    </xf>
    <xf numFmtId="0" fontId="29" fillId="8" borderId="0" xfId="0" applyFont="1" applyFill="1" applyProtection="1">
      <protection locked="0" hidden="1"/>
    </xf>
    <xf numFmtId="0" fontId="5" fillId="8" borderId="0" xfId="0" applyFont="1" applyFill="1" applyAlignment="1" applyProtection="1">
      <alignment horizontal="right"/>
      <protection hidden="1"/>
    </xf>
    <xf numFmtId="0" fontId="29" fillId="8" borderId="1" xfId="0" applyFont="1" applyFill="1" applyBorder="1"/>
    <xf numFmtId="164" fontId="29" fillId="8" borderId="1" xfId="0" applyNumberFormat="1" applyFont="1" applyFill="1" applyBorder="1" applyProtection="1">
      <protection hidden="1"/>
    </xf>
    <xf numFmtId="0" fontId="5" fillId="8" borderId="1" xfId="0" applyFont="1" applyFill="1" applyBorder="1" applyProtection="1">
      <protection hidden="1"/>
    </xf>
    <xf numFmtId="9" fontId="29" fillId="6" borderId="2" xfId="0" applyNumberFormat="1" applyFont="1" applyFill="1" applyBorder="1" applyAlignment="1" applyProtection="1">
      <alignment horizontal="center"/>
    </xf>
    <xf numFmtId="9" fontId="29" fillId="6" borderId="13" xfId="0" applyNumberFormat="1" applyFont="1" applyFill="1" applyBorder="1" applyAlignment="1" applyProtection="1">
      <alignment horizontal="center"/>
    </xf>
    <xf numFmtId="0" fontId="57" fillId="15" borderId="1" xfId="0" applyFont="1" applyFill="1" applyBorder="1"/>
    <xf numFmtId="0" fontId="4" fillId="8" borderId="16" xfId="0" applyFont="1" applyFill="1" applyBorder="1" applyAlignment="1" applyProtection="1">
      <alignment horizontal="left"/>
    </xf>
    <xf numFmtId="2" fontId="5" fillId="8" borderId="16" xfId="0" applyNumberFormat="1" applyFont="1" applyFill="1" applyBorder="1" applyAlignment="1" applyProtection="1">
      <alignment horizontal="left"/>
      <protection locked="0"/>
    </xf>
    <xf numFmtId="0" fontId="4" fillId="8" borderId="21" xfId="0" applyFont="1" applyFill="1" applyBorder="1" applyAlignment="1">
      <alignment horizontal="left"/>
    </xf>
    <xf numFmtId="1" fontId="5" fillId="8" borderId="21" xfId="0" applyNumberFormat="1" applyFont="1" applyFill="1" applyBorder="1" applyAlignment="1" applyProtection="1">
      <alignment horizontal="left"/>
      <protection locked="0"/>
    </xf>
    <xf numFmtId="1" fontId="57" fillId="8" borderId="1" xfId="0" applyNumberFormat="1" applyFont="1" applyFill="1" applyBorder="1"/>
    <xf numFmtId="1" fontId="57" fillId="8" borderId="2" xfId="0" applyNumberFormat="1" applyFont="1" applyFill="1" applyBorder="1" applyAlignment="1" applyProtection="1">
      <alignment horizontal="right"/>
    </xf>
    <xf numFmtId="0" fontId="29" fillId="8" borderId="1" xfId="0" applyFont="1" applyFill="1" applyBorder="1" applyProtection="1">
      <protection locked="0"/>
    </xf>
    <xf numFmtId="0" fontId="29" fillId="8" borderId="14" xfId="0" applyFont="1" applyFill="1" applyBorder="1"/>
    <xf numFmtId="0" fontId="29" fillId="8" borderId="14" xfId="0" applyFont="1" applyFill="1" applyBorder="1" applyProtection="1"/>
    <xf numFmtId="165" fontId="29" fillId="8" borderId="1" xfId="0" applyNumberFormat="1" applyFont="1" applyFill="1" applyBorder="1"/>
    <xf numFmtId="164" fontId="0" fillId="8" borderId="1" xfId="0" applyNumberFormat="1" applyFill="1" applyBorder="1"/>
    <xf numFmtId="0" fontId="0" fillId="17" borderId="0" xfId="0" applyFill="1"/>
    <xf numFmtId="0" fontId="0" fillId="17" borderId="1" xfId="0" applyFill="1" applyBorder="1"/>
    <xf numFmtId="0" fontId="5" fillId="8" borderId="14" xfId="0" applyFont="1" applyFill="1" applyBorder="1" applyProtection="1">
      <protection hidden="1"/>
    </xf>
    <xf numFmtId="164" fontId="29" fillId="8" borderId="14" xfId="0" applyNumberFormat="1" applyFont="1" applyFill="1" applyBorder="1" applyProtection="1">
      <protection hidden="1"/>
    </xf>
    <xf numFmtId="0" fontId="29" fillId="9" borderId="1" xfId="0" applyFont="1" applyFill="1" applyBorder="1" applyProtection="1">
      <protection locked="0"/>
    </xf>
    <xf numFmtId="164" fontId="29" fillId="9" borderId="1" xfId="0" applyNumberFormat="1" applyFont="1" applyFill="1" applyBorder="1" applyProtection="1">
      <protection hidden="1"/>
    </xf>
    <xf numFmtId="164" fontId="29" fillId="8" borderId="1" xfId="0" applyNumberFormat="1" applyFont="1" applyFill="1" applyBorder="1"/>
    <xf numFmtId="0" fontId="5" fillId="9" borderId="1" xfId="0" applyFont="1" applyFill="1" applyBorder="1" applyProtection="1">
      <protection hidden="1"/>
    </xf>
    <xf numFmtId="165" fontId="5" fillId="15" borderId="1" xfId="0" applyNumberFormat="1" applyFont="1" applyFill="1" applyBorder="1" applyProtection="1">
      <protection locked="0"/>
    </xf>
    <xf numFmtId="2" fontId="5" fillId="15" borderId="1" xfId="0" applyNumberFormat="1" applyFont="1" applyFill="1" applyBorder="1" applyProtection="1">
      <protection locked="0"/>
    </xf>
    <xf numFmtId="0" fontId="57" fillId="15" borderId="1" xfId="0" applyFont="1" applyFill="1" applyBorder="1" applyProtection="1"/>
    <xf numFmtId="0" fontId="0" fillId="0" borderId="31" xfId="0" applyBorder="1" applyAlignment="1">
      <alignment horizontal="center"/>
    </xf>
    <xf numFmtId="0" fontId="0" fillId="0" borderId="22" xfId="0" applyBorder="1" applyAlignment="1">
      <alignment horizontal="center"/>
    </xf>
    <xf numFmtId="164" fontId="29" fillId="2" borderId="27" xfId="0" applyNumberFormat="1" applyFont="1" applyFill="1" applyBorder="1" applyProtection="1"/>
    <xf numFmtId="2" fontId="29" fillId="2" borderId="29" xfId="0" applyNumberFormat="1" applyFont="1" applyFill="1" applyBorder="1" applyProtection="1"/>
    <xf numFmtId="164" fontId="29" fillId="2" borderId="28" xfId="0" applyNumberFormat="1" applyFont="1" applyFill="1" applyBorder="1" applyProtection="1"/>
    <xf numFmtId="2" fontId="29" fillId="2" borderId="30" xfId="0" applyNumberFormat="1" applyFont="1" applyFill="1" applyBorder="1" applyProtection="1"/>
    <xf numFmtId="2" fontId="29" fillId="2" borderId="27" xfId="0" applyNumberFormat="1" applyFont="1" applyFill="1" applyBorder="1"/>
    <xf numFmtId="2" fontId="29" fillId="2" borderId="29" xfId="0" applyNumberFormat="1" applyFont="1" applyFill="1" applyBorder="1"/>
    <xf numFmtId="2" fontId="29" fillId="2" borderId="28" xfId="0" applyNumberFormat="1" applyFont="1" applyFill="1" applyBorder="1"/>
    <xf numFmtId="2" fontId="29" fillId="2" borderId="30" xfId="0" applyNumberFormat="1" applyFont="1" applyFill="1" applyBorder="1"/>
    <xf numFmtId="0" fontId="29" fillId="17" borderId="1" xfId="0" applyFont="1" applyFill="1" applyBorder="1" applyProtection="1">
      <protection locked="0"/>
    </xf>
    <xf numFmtId="164" fontId="0" fillId="12" borderId="1" xfId="0" applyNumberFormat="1" applyFill="1" applyBorder="1"/>
    <xf numFmtId="164" fontId="0" fillId="12" borderId="1" xfId="0" applyNumberFormat="1" applyFill="1" applyBorder="1" applyProtection="1"/>
    <xf numFmtId="164" fontId="29" fillId="3" borderId="1" xfId="0" applyNumberFormat="1" applyFont="1" applyFill="1" applyBorder="1" applyProtection="1">
      <protection hidden="1"/>
    </xf>
    <xf numFmtId="0" fontId="5" fillId="4" borderId="1" xfId="0" applyFont="1" applyFill="1" applyBorder="1" applyProtection="1">
      <protection hidden="1"/>
    </xf>
    <xf numFmtId="0" fontId="5" fillId="4" borderId="1" xfId="0" applyFont="1" applyFill="1" applyBorder="1"/>
    <xf numFmtId="164" fontId="29" fillId="4" borderId="1" xfId="0" applyNumberFormat="1" applyFont="1" applyFill="1" applyBorder="1"/>
    <xf numFmtId="165" fontId="29" fillId="4" borderId="1" xfId="0" applyNumberFormat="1" applyFont="1" applyFill="1" applyBorder="1"/>
    <xf numFmtId="164" fontId="65" fillId="3" borderId="1" xfId="0" applyNumberFormat="1" applyFont="1" applyFill="1" applyBorder="1" applyProtection="1">
      <protection hidden="1"/>
    </xf>
    <xf numFmtId="165" fontId="65" fillId="3" borderId="1" xfId="0" applyNumberFormat="1" applyFont="1" applyFill="1" applyBorder="1"/>
    <xf numFmtId="164" fontId="65" fillId="4" borderId="1" xfId="0" applyNumberFormat="1" applyFont="1" applyFill="1" applyBorder="1"/>
    <xf numFmtId="165" fontId="65" fillId="4" borderId="1" xfId="0" applyNumberFormat="1" applyFont="1" applyFill="1" applyBorder="1"/>
    <xf numFmtId="9" fontId="5" fillId="4" borderId="1" xfId="0" applyNumberFormat="1" applyFont="1" applyFill="1" applyBorder="1" applyAlignment="1">
      <alignment horizontal="center"/>
    </xf>
    <xf numFmtId="164" fontId="29" fillId="11" borderId="1" xfId="0" applyNumberFormat="1" applyFont="1" applyFill="1" applyBorder="1"/>
    <xf numFmtId="165" fontId="5" fillId="19" borderId="26" xfId="0" applyNumberFormat="1" applyFont="1" applyFill="1" applyBorder="1" applyAlignment="1" applyProtection="1">
      <alignment horizontal="left"/>
      <protection locked="0"/>
    </xf>
    <xf numFmtId="0" fontId="4" fillId="19" borderId="26" xfId="0" applyFont="1" applyFill="1" applyBorder="1" applyProtection="1"/>
    <xf numFmtId="2" fontId="5" fillId="19" borderId="26" xfId="0" applyNumberFormat="1" applyFont="1" applyFill="1" applyBorder="1" applyAlignment="1" applyProtection="1">
      <alignment horizontal="left"/>
    </xf>
    <xf numFmtId="0" fontId="29" fillId="0" borderId="1" xfId="0" applyFont="1" applyBorder="1"/>
    <xf numFmtId="2" fontId="29" fillId="0" borderId="1" xfId="0" applyNumberFormat="1" applyFont="1" applyBorder="1"/>
    <xf numFmtId="165" fontId="29" fillId="0" borderId="1" xfId="0" applyNumberFormat="1" applyFont="1" applyBorder="1"/>
    <xf numFmtId="0" fontId="29" fillId="0" borderId="36" xfId="0" applyFont="1" applyFill="1" applyBorder="1"/>
    <xf numFmtId="1" fontId="29" fillId="0" borderId="1" xfId="0" applyNumberFormat="1" applyFont="1" applyBorder="1"/>
    <xf numFmtId="2" fontId="5" fillId="19" borderId="1" xfId="0" applyNumberFormat="1" applyFont="1" applyFill="1" applyBorder="1"/>
    <xf numFmtId="167" fontId="5" fillId="19" borderId="1" xfId="0" applyNumberFormat="1" applyFont="1" applyFill="1" applyBorder="1"/>
    <xf numFmtId="164" fontId="65" fillId="3" borderId="1" xfId="0" applyNumberFormat="1" applyFont="1" applyFill="1" applyBorder="1"/>
    <xf numFmtId="0" fontId="3" fillId="8" borderId="1" xfId="0" applyFont="1" applyFill="1" applyBorder="1"/>
    <xf numFmtId="0" fontId="64" fillId="9" borderId="1" xfId="0" applyFont="1" applyFill="1" applyBorder="1" applyProtection="1"/>
    <xf numFmtId="0" fontId="59" fillId="9" borderId="1" xfId="0" applyFont="1" applyFill="1" applyBorder="1" applyAlignment="1" applyProtection="1">
      <alignment horizontal="left"/>
    </xf>
    <xf numFmtId="0" fontId="66" fillId="9" borderId="1" xfId="0" applyFont="1" applyFill="1" applyBorder="1" applyProtection="1"/>
    <xf numFmtId="0" fontId="0" fillId="0" borderId="17" xfId="0" applyFill="1" applyBorder="1" applyProtection="1"/>
    <xf numFmtId="2" fontId="0" fillId="0" borderId="0" xfId="0" applyNumberFormat="1" applyFill="1" applyProtection="1"/>
    <xf numFmtId="2" fontId="57" fillId="19" borderId="1" xfId="0" applyNumberFormat="1" applyFont="1" applyFill="1" applyBorder="1"/>
    <xf numFmtId="0" fontId="5" fillId="19" borderId="1" xfId="0" applyFont="1" applyFill="1" applyBorder="1"/>
    <xf numFmtId="167" fontId="57" fillId="19" borderId="1" xfId="0" applyNumberFormat="1" applyFont="1" applyFill="1" applyBorder="1"/>
    <xf numFmtId="2" fontId="5" fillId="5" borderId="8" xfId="0" applyNumberFormat="1" applyFont="1" applyFill="1" applyBorder="1"/>
    <xf numFmtId="165" fontId="5" fillId="5" borderId="8" xfId="0" applyNumberFormat="1" applyFont="1" applyFill="1" applyBorder="1"/>
    <xf numFmtId="2" fontId="5" fillId="5" borderId="32" xfId="0" applyNumberFormat="1" applyFont="1" applyFill="1" applyBorder="1"/>
    <xf numFmtId="165" fontId="5" fillId="5" borderId="32" xfId="0" applyNumberFormat="1" applyFont="1" applyFill="1" applyBorder="1"/>
    <xf numFmtId="2" fontId="5" fillId="9" borderId="25" xfId="0" applyNumberFormat="1" applyFont="1" applyFill="1" applyBorder="1" applyAlignment="1" applyProtection="1">
      <alignment horizontal="right"/>
      <protection hidden="1"/>
    </xf>
    <xf numFmtId="2" fontId="5" fillId="12" borderId="8" xfId="0" applyNumberFormat="1" applyFont="1" applyFill="1" applyBorder="1"/>
    <xf numFmtId="165" fontId="5" fillId="12" borderId="8" xfId="0" applyNumberFormat="1" applyFont="1" applyFill="1" applyBorder="1"/>
    <xf numFmtId="2" fontId="5" fillId="12" borderId="32" xfId="0" applyNumberFormat="1" applyFont="1" applyFill="1" applyBorder="1"/>
    <xf numFmtId="165" fontId="5" fillId="12" borderId="32" xfId="0" applyNumberFormat="1" applyFont="1" applyFill="1" applyBorder="1"/>
    <xf numFmtId="0" fontId="0" fillId="5" borderId="0" xfId="0" applyFill="1"/>
    <xf numFmtId="0" fontId="29" fillId="0" borderId="0" xfId="0" applyFont="1" applyAlignment="1">
      <alignment horizontal="right"/>
    </xf>
    <xf numFmtId="164" fontId="29" fillId="15" borderId="1" xfId="0" applyNumberFormat="1" applyFont="1" applyFill="1" applyBorder="1"/>
    <xf numFmtId="0" fontId="29" fillId="8" borderId="2" xfId="0" applyFont="1" applyFill="1" applyBorder="1"/>
    <xf numFmtId="164" fontId="67" fillId="16" borderId="1" xfId="0" applyNumberFormat="1" applyFont="1" applyFill="1" applyBorder="1"/>
    <xf numFmtId="164" fontId="4" fillId="0" borderId="1" xfId="0" applyNumberFormat="1" applyFont="1" applyBorder="1" applyProtection="1">
      <protection hidden="1"/>
    </xf>
    <xf numFmtId="0" fontId="29" fillId="8" borderId="15" xfId="0" applyNumberFormat="1" applyFont="1" applyFill="1" applyBorder="1" applyProtection="1">
      <protection hidden="1"/>
    </xf>
    <xf numFmtId="0" fontId="29" fillId="0" borderId="13" xfId="0" applyNumberFormat="1" applyFont="1" applyBorder="1" applyProtection="1">
      <protection hidden="1"/>
    </xf>
    <xf numFmtId="0" fontId="8" fillId="8" borderId="15" xfId="0" applyNumberFormat="1" applyFont="1" applyFill="1" applyBorder="1" applyAlignment="1" applyProtection="1">
      <alignment horizontal="right"/>
      <protection hidden="1"/>
    </xf>
    <xf numFmtId="0" fontId="8" fillId="0" borderId="13" xfId="0" applyNumberFormat="1" applyFont="1" applyBorder="1" applyAlignment="1" applyProtection="1">
      <alignment horizontal="right"/>
      <protection hidden="1"/>
    </xf>
    <xf numFmtId="0" fontId="29" fillId="12" borderId="1" xfId="0" applyFont="1" applyFill="1" applyBorder="1" applyProtection="1">
      <protection locked="0"/>
    </xf>
    <xf numFmtId="0" fontId="29" fillId="0" borderId="1" xfId="0" applyFont="1" applyFill="1" applyBorder="1"/>
    <xf numFmtId="2" fontId="29" fillId="9" borderId="1" xfId="0" applyNumberFormat="1" applyFont="1" applyFill="1" applyBorder="1"/>
    <xf numFmtId="1" fontId="29" fillId="19" borderId="1" xfId="0" applyNumberFormat="1" applyFont="1" applyFill="1" applyBorder="1"/>
    <xf numFmtId="2" fontId="0" fillId="12" borderId="1" xfId="0" applyNumberFormat="1" applyFill="1" applyBorder="1"/>
    <xf numFmtId="2" fontId="0" fillId="5" borderId="1" xfId="0" applyNumberFormat="1" applyFill="1" applyBorder="1"/>
    <xf numFmtId="0" fontId="67" fillId="20" borderId="0" xfId="0" applyFont="1" applyFill="1"/>
    <xf numFmtId="0" fontId="67" fillId="20" borderId="1" xfId="0" applyFont="1" applyFill="1" applyBorder="1" applyAlignment="1" applyProtection="1">
      <alignment horizontal="centerContinuous"/>
      <protection hidden="1"/>
    </xf>
    <xf numFmtId="164" fontId="29" fillId="0" borderId="1" xfId="0" applyNumberFormat="1" applyFont="1" applyBorder="1"/>
    <xf numFmtId="1" fontId="44" fillId="8" borderId="0" xfId="0" applyNumberFormat="1" applyFont="1" applyFill="1" applyBorder="1" applyAlignment="1" applyProtection="1">
      <alignment horizontal="left"/>
    </xf>
    <xf numFmtId="1" fontId="68" fillId="3" borderId="1" xfId="0" applyNumberFormat="1" applyFont="1" applyFill="1" applyBorder="1" applyAlignment="1" applyProtection="1">
      <alignment horizontal="center"/>
    </xf>
    <xf numFmtId="165" fontId="0" fillId="0" borderId="0" xfId="0" applyNumberFormat="1"/>
    <xf numFmtId="2" fontId="4" fillId="9" borderId="1" xfId="0" applyNumberFormat="1" applyFont="1" applyFill="1" applyBorder="1"/>
    <xf numFmtId="0" fontId="5" fillId="8" borderId="0" xfId="0" applyFont="1" applyFill="1" applyAlignment="1">
      <alignment horizontal="right"/>
    </xf>
    <xf numFmtId="0" fontId="5" fillId="8" borderId="0" xfId="0" applyFont="1" applyFill="1" applyAlignment="1" applyProtection="1">
      <alignment horizontal="center"/>
      <protection locked="0"/>
    </xf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2" fontId="29" fillId="9" borderId="31" xfId="0" applyNumberFormat="1" applyFont="1" applyFill="1" applyBorder="1"/>
    <xf numFmtId="165" fontId="29" fillId="9" borderId="21" xfId="0" applyNumberFormat="1" applyFont="1" applyFill="1" applyBorder="1"/>
    <xf numFmtId="2" fontId="29" fillId="9" borderId="21" xfId="0" applyNumberFormat="1" applyFont="1" applyFill="1" applyBorder="1"/>
    <xf numFmtId="165" fontId="29" fillId="9" borderId="22" xfId="0" applyNumberFormat="1" applyFont="1" applyFill="1" applyBorder="1"/>
    <xf numFmtId="2" fontId="29" fillId="9" borderId="27" xfId="0" applyNumberFormat="1" applyFont="1" applyFill="1" applyBorder="1"/>
    <xf numFmtId="165" fontId="29" fillId="9" borderId="29" xfId="0" applyNumberFormat="1" applyFont="1" applyFill="1" applyBorder="1"/>
    <xf numFmtId="0" fontId="29" fillId="9" borderId="3" xfId="0" applyFont="1" applyFill="1" applyBorder="1" applyAlignment="1" applyProtection="1">
      <alignment horizontal="center"/>
      <protection locked="0"/>
    </xf>
    <xf numFmtId="0" fontId="29" fillId="9" borderId="44" xfId="0" applyFont="1" applyFill="1" applyBorder="1" applyAlignment="1" applyProtection="1">
      <alignment horizontal="center"/>
      <protection locked="0"/>
    </xf>
    <xf numFmtId="0" fontId="29" fillId="9" borderId="45" xfId="0" applyFont="1" applyFill="1" applyBorder="1" applyAlignment="1">
      <alignment horizontal="center"/>
    </xf>
    <xf numFmtId="0" fontId="29" fillId="9" borderId="30" xfId="0" applyFont="1" applyFill="1" applyBorder="1" applyAlignment="1">
      <alignment horizontal="center"/>
    </xf>
    <xf numFmtId="164" fontId="29" fillId="9" borderId="27" xfId="0" applyNumberFormat="1" applyFont="1" applyFill="1" applyBorder="1"/>
    <xf numFmtId="164" fontId="29" fillId="9" borderId="28" xfId="0" applyNumberFormat="1" applyFont="1" applyFill="1" applyBorder="1"/>
    <xf numFmtId="165" fontId="29" fillId="9" borderId="26" xfId="0" applyNumberFormat="1" applyFont="1" applyFill="1" applyBorder="1"/>
    <xf numFmtId="164" fontId="29" fillId="9" borderId="26" xfId="0" applyNumberFormat="1" applyFont="1" applyFill="1" applyBorder="1"/>
    <xf numFmtId="165" fontId="29" fillId="9" borderId="30" xfId="0" applyNumberFormat="1" applyFont="1" applyFill="1" applyBorder="1"/>
    <xf numFmtId="164" fontId="29" fillId="9" borderId="13" xfId="0" applyNumberFormat="1" applyFont="1" applyFill="1" applyBorder="1"/>
    <xf numFmtId="164" fontId="29" fillId="9" borderId="3" xfId="0" applyNumberFormat="1" applyFont="1" applyFill="1" applyBorder="1"/>
    <xf numFmtId="165" fontId="29" fillId="9" borderId="14" xfId="0" applyNumberFormat="1" applyFont="1" applyFill="1" applyBorder="1"/>
    <xf numFmtId="0" fontId="29" fillId="9" borderId="46" xfId="0" applyFont="1" applyFill="1" applyBorder="1" applyAlignment="1">
      <alignment horizontal="center"/>
    </xf>
    <xf numFmtId="0" fontId="29" fillId="17" borderId="47" xfId="0" applyFont="1" applyFill="1" applyBorder="1" applyAlignment="1" applyProtection="1">
      <alignment horizontal="center"/>
      <protection locked="0"/>
    </xf>
    <xf numFmtId="0" fontId="29" fillId="17" borderId="46" xfId="0" applyFont="1" applyFill="1" applyBorder="1" applyAlignment="1" applyProtection="1">
      <alignment horizontal="center"/>
      <protection locked="0"/>
    </xf>
    <xf numFmtId="0" fontId="29" fillId="9" borderId="47" xfId="0" applyFont="1" applyFill="1" applyBorder="1" applyAlignment="1">
      <alignment horizontal="center"/>
    </xf>
    <xf numFmtId="0" fontId="29" fillId="3" borderId="1" xfId="0" applyFont="1" applyFill="1" applyBorder="1" applyAlignment="1">
      <alignment horizontal="left"/>
    </xf>
    <xf numFmtId="164" fontId="29" fillId="3" borderId="13" xfId="0" applyNumberFormat="1" applyFont="1" applyFill="1" applyBorder="1"/>
    <xf numFmtId="164" fontId="29" fillId="3" borderId="29" xfId="0" applyNumberFormat="1" applyFont="1" applyFill="1" applyBorder="1"/>
    <xf numFmtId="164" fontId="29" fillId="3" borderId="27" xfId="0" applyNumberFormat="1" applyFont="1" applyFill="1" applyBorder="1"/>
    <xf numFmtId="164" fontId="29" fillId="2" borderId="13" xfId="0" applyNumberFormat="1" applyFont="1" applyFill="1" applyBorder="1"/>
    <xf numFmtId="164" fontId="29" fillId="2" borderId="29" xfId="0" applyNumberFormat="1" applyFont="1" applyFill="1" applyBorder="1"/>
    <xf numFmtId="164" fontId="29" fillId="2" borderId="27" xfId="0" applyNumberFormat="1" applyFont="1" applyFill="1" applyBorder="1"/>
    <xf numFmtId="2" fontId="29" fillId="21" borderId="3" xfId="0" applyNumberFormat="1" applyFont="1" applyFill="1" applyBorder="1"/>
    <xf numFmtId="165" fontId="29" fillId="21" borderId="44" xfId="0" applyNumberFormat="1" applyFont="1" applyFill="1" applyBorder="1"/>
    <xf numFmtId="2" fontId="29" fillId="21" borderId="48" xfId="0" applyNumberFormat="1" applyFont="1" applyFill="1" applyBorder="1"/>
    <xf numFmtId="2" fontId="29" fillId="2" borderId="1" xfId="0" applyNumberFormat="1" applyFont="1" applyFill="1" applyBorder="1"/>
    <xf numFmtId="2" fontId="13" fillId="21" borderId="49" xfId="0" applyNumberFormat="1" applyFont="1" applyFill="1" applyBorder="1"/>
    <xf numFmtId="165" fontId="13" fillId="21" borderId="46" xfId="0" applyNumberFormat="1" applyFont="1" applyFill="1" applyBorder="1"/>
    <xf numFmtId="2" fontId="13" fillId="21" borderId="47" xfId="0" applyNumberFormat="1" applyFont="1" applyFill="1" applyBorder="1"/>
    <xf numFmtId="0" fontId="29" fillId="9" borderId="31" xfId="0" applyFont="1" applyFill="1" applyBorder="1" applyAlignment="1" applyProtection="1">
      <alignment horizontal="center"/>
      <protection locked="0"/>
    </xf>
    <xf numFmtId="0" fontId="13" fillId="9" borderId="22" xfId="0" applyFont="1" applyFill="1" applyBorder="1" applyAlignment="1" applyProtection="1">
      <alignment horizontal="center"/>
      <protection locked="0"/>
    </xf>
    <xf numFmtId="0" fontId="29" fillId="17" borderId="31" xfId="0" applyFont="1" applyFill="1" applyBorder="1" applyAlignment="1" applyProtection="1">
      <alignment horizontal="center"/>
      <protection locked="0"/>
    </xf>
    <xf numFmtId="0" fontId="13" fillId="17" borderId="22" xfId="0" applyFont="1" applyFill="1" applyBorder="1" applyAlignment="1" applyProtection="1">
      <alignment horizontal="center"/>
      <protection locked="0"/>
    </xf>
    <xf numFmtId="164" fontId="29" fillId="9" borderId="48" xfId="0" applyNumberFormat="1" applyFont="1" applyFill="1" applyBorder="1" applyAlignment="1">
      <alignment horizontal="center"/>
    </xf>
    <xf numFmtId="164" fontId="29" fillId="9" borderId="44" xfId="0" applyNumberFormat="1" applyFont="1" applyFill="1" applyBorder="1" applyAlignment="1">
      <alignment horizontal="center"/>
    </xf>
    <xf numFmtId="164" fontId="29" fillId="17" borderId="48" xfId="0" applyNumberFormat="1" applyFont="1" applyFill="1" applyBorder="1" applyAlignment="1">
      <alignment horizontal="center"/>
    </xf>
    <xf numFmtId="164" fontId="29" fillId="17" borderId="44" xfId="0" applyNumberFormat="1" applyFont="1" applyFill="1" applyBorder="1" applyAlignment="1">
      <alignment horizontal="center"/>
    </xf>
    <xf numFmtId="164" fontId="29" fillId="9" borderId="28" xfId="0" applyNumberFormat="1" applyFont="1" applyFill="1" applyBorder="1" applyAlignment="1">
      <alignment horizontal="center"/>
    </xf>
    <xf numFmtId="164" fontId="29" fillId="9" borderId="30" xfId="0" applyNumberFormat="1" applyFont="1" applyFill="1" applyBorder="1" applyAlignment="1">
      <alignment horizontal="center"/>
    </xf>
    <xf numFmtId="0" fontId="29" fillId="0" borderId="47" xfId="0" applyFont="1" applyBorder="1"/>
    <xf numFmtId="0" fontId="5" fillId="0" borderId="46" xfId="0" applyFont="1" applyBorder="1" applyAlignment="1" applyProtection="1">
      <alignment horizontal="center"/>
      <protection locked="0"/>
    </xf>
    <xf numFmtId="0" fontId="29" fillId="0" borderId="0" xfId="0" applyFont="1" applyAlignment="1">
      <alignment horizontal="left"/>
    </xf>
    <xf numFmtId="0" fontId="29" fillId="21" borderId="50" xfId="0" applyFont="1" applyFill="1" applyBorder="1"/>
    <xf numFmtId="164" fontId="29" fillId="21" borderId="1" xfId="0" applyNumberFormat="1" applyFont="1" applyFill="1" applyBorder="1"/>
    <xf numFmtId="0" fontId="29" fillId="21" borderId="1" xfId="0" applyFont="1" applyFill="1" applyBorder="1"/>
    <xf numFmtId="0" fontId="13" fillId="9" borderId="22" xfId="0" applyFont="1" applyFill="1" applyBorder="1" applyAlignment="1" applyProtection="1">
      <protection locked="0"/>
    </xf>
    <xf numFmtId="0" fontId="13" fillId="17" borderId="22" xfId="0" applyFont="1" applyFill="1" applyBorder="1" applyAlignment="1" applyProtection="1">
      <protection locked="0"/>
    </xf>
    <xf numFmtId="164" fontId="29" fillId="9" borderId="48" xfId="0" applyNumberFormat="1" applyFont="1" applyFill="1" applyBorder="1"/>
    <xf numFmtId="164" fontId="29" fillId="9" borderId="44" xfId="0" applyNumberFormat="1" applyFont="1" applyFill="1" applyBorder="1"/>
    <xf numFmtId="164" fontId="29" fillId="17" borderId="48" xfId="0" applyNumberFormat="1" applyFont="1" applyFill="1" applyBorder="1"/>
    <xf numFmtId="164" fontId="29" fillId="17" borderId="44" xfId="0" applyNumberFormat="1" applyFont="1" applyFill="1" applyBorder="1"/>
    <xf numFmtId="164" fontId="29" fillId="9" borderId="30" xfId="0" applyNumberFormat="1" applyFont="1" applyFill="1" applyBorder="1"/>
    <xf numFmtId="0" fontId="0" fillId="9" borderId="0" xfId="0" applyFill="1" applyAlignment="1">
      <alignment horizontal="left"/>
    </xf>
    <xf numFmtId="164" fontId="29" fillId="9" borderId="51" xfId="0" applyNumberFormat="1" applyFont="1" applyFill="1" applyBorder="1" applyAlignment="1">
      <alignment horizontal="center"/>
    </xf>
    <xf numFmtId="164" fontId="29" fillId="9" borderId="22" xfId="0" applyNumberFormat="1" applyFont="1" applyFill="1" applyBorder="1" applyAlignment="1">
      <alignment horizontal="center"/>
    </xf>
    <xf numFmtId="0" fontId="24" fillId="9" borderId="0" xfId="0" applyFont="1" applyFill="1" applyAlignment="1">
      <alignment horizontal="left"/>
    </xf>
    <xf numFmtId="164" fontId="29" fillId="9" borderId="46" xfId="0" applyNumberFormat="1" applyFont="1" applyFill="1" applyBorder="1" applyAlignment="1">
      <alignment horizontal="center"/>
    </xf>
    <xf numFmtId="164" fontId="29" fillId="9" borderId="52" xfId="0" applyNumberFormat="1" applyFont="1" applyFill="1" applyBorder="1"/>
    <xf numFmtId="164" fontId="0" fillId="21" borderId="1" xfId="0" applyNumberFormat="1" applyFill="1" applyBorder="1"/>
    <xf numFmtId="165" fontId="0" fillId="21" borderId="1" xfId="0" applyNumberFormat="1" applyFill="1" applyBorder="1" applyAlignment="1">
      <alignment horizontal="left"/>
    </xf>
    <xf numFmtId="0" fontId="29" fillId="9" borderId="27" xfId="0" applyFont="1" applyFill="1" applyBorder="1" applyAlignment="1">
      <alignment horizontal="left"/>
    </xf>
    <xf numFmtId="2" fontId="29" fillId="9" borderId="29" xfId="0" applyNumberFormat="1" applyFont="1" applyFill="1" applyBorder="1" applyAlignment="1" applyProtection="1">
      <alignment horizontal="center"/>
    </xf>
    <xf numFmtId="0" fontId="5" fillId="9" borderId="0" xfId="0" applyFont="1" applyFill="1" applyBorder="1" applyAlignment="1">
      <alignment horizontal="right"/>
    </xf>
    <xf numFmtId="0" fontId="29" fillId="3" borderId="27" xfId="0" applyFont="1" applyFill="1" applyBorder="1" applyProtection="1">
      <protection locked="0"/>
    </xf>
    <xf numFmtId="0" fontId="29" fillId="3" borderId="22" xfId="0" applyFont="1" applyFill="1" applyBorder="1" applyProtection="1">
      <protection locked="0"/>
    </xf>
    <xf numFmtId="0" fontId="69" fillId="9" borderId="10" xfId="0" applyFont="1" applyFill="1" applyBorder="1"/>
    <xf numFmtId="0" fontId="69" fillId="9" borderId="0" xfId="0" applyFont="1" applyFill="1" applyBorder="1"/>
    <xf numFmtId="0" fontId="29" fillId="9" borderId="29" xfId="0" applyFont="1" applyFill="1" applyBorder="1" applyAlignment="1" applyProtection="1">
      <alignment horizontal="center"/>
      <protection locked="0"/>
    </xf>
    <xf numFmtId="0" fontId="29" fillId="3" borderId="29" xfId="0" applyFont="1" applyFill="1" applyBorder="1" applyProtection="1">
      <protection locked="0"/>
    </xf>
    <xf numFmtId="0" fontId="29" fillId="8" borderId="27" xfId="0" applyFont="1" applyFill="1" applyBorder="1" applyAlignment="1">
      <alignment horizontal="left"/>
    </xf>
    <xf numFmtId="2" fontId="29" fillId="8" borderId="29" xfId="0" applyNumberFormat="1" applyFont="1" applyFill="1" applyBorder="1" applyAlignment="1" applyProtection="1">
      <alignment horizontal="center"/>
    </xf>
    <xf numFmtId="2" fontId="29" fillId="8" borderId="29" xfId="0" applyNumberFormat="1" applyFont="1" applyFill="1" applyBorder="1"/>
    <xf numFmtId="0" fontId="69" fillId="9" borderId="4" xfId="0" applyFont="1" applyFill="1" applyBorder="1"/>
    <xf numFmtId="0" fontId="0" fillId="9" borderId="5" xfId="0" applyFill="1" applyBorder="1"/>
    <xf numFmtId="0" fontId="29" fillId="8" borderId="28" xfId="0" applyFont="1" applyFill="1" applyBorder="1" applyAlignment="1">
      <alignment horizontal="left"/>
    </xf>
    <xf numFmtId="164" fontId="29" fillId="8" borderId="30" xfId="0" applyNumberFormat="1" applyFont="1" applyFill="1" applyBorder="1" applyAlignment="1">
      <alignment horizontal="center"/>
    </xf>
    <xf numFmtId="0" fontId="29" fillId="2" borderId="27" xfId="0" applyFont="1" applyFill="1" applyBorder="1" applyProtection="1">
      <protection locked="0"/>
    </xf>
    <xf numFmtId="0" fontId="29" fillId="2" borderId="29" xfId="0" applyFont="1" applyFill="1" applyBorder="1" applyProtection="1">
      <protection locked="0"/>
    </xf>
    <xf numFmtId="164" fontId="29" fillId="8" borderId="30" xfId="0" applyNumberFormat="1" applyFont="1" applyFill="1" applyBorder="1"/>
    <xf numFmtId="0" fontId="29" fillId="2" borderId="28" xfId="0" applyFont="1" applyFill="1" applyBorder="1" applyProtection="1">
      <protection locked="0"/>
    </xf>
    <xf numFmtId="0" fontId="29" fillId="2" borderId="30" xfId="0" applyFont="1" applyFill="1" applyBorder="1" applyProtection="1">
      <protection locked="0"/>
    </xf>
    <xf numFmtId="164" fontId="29" fillId="3" borderId="31" xfId="0" applyNumberFormat="1" applyFont="1" applyFill="1" applyBorder="1"/>
    <xf numFmtId="165" fontId="29" fillId="3" borderId="22" xfId="0" applyNumberFormat="1" applyFont="1" applyFill="1" applyBorder="1"/>
    <xf numFmtId="0" fontId="29" fillId="2" borderId="53" xfId="0" applyFont="1" applyFill="1" applyBorder="1" applyAlignment="1">
      <alignment horizontal="right"/>
    </xf>
    <xf numFmtId="0" fontId="29" fillId="2" borderId="54" xfId="0" applyFont="1" applyFill="1" applyBorder="1" applyAlignment="1"/>
    <xf numFmtId="164" fontId="29" fillId="2" borderId="28" xfId="0" applyNumberFormat="1" applyFont="1" applyFill="1" applyBorder="1"/>
    <xf numFmtId="165" fontId="29" fillId="2" borderId="30" xfId="0" applyNumberFormat="1" applyFont="1" applyFill="1" applyBorder="1"/>
    <xf numFmtId="0" fontId="23" fillId="9" borderId="0" xfId="0" applyFont="1" applyFill="1" applyBorder="1" applyAlignment="1">
      <alignment horizontal="center"/>
    </xf>
    <xf numFmtId="164" fontId="29" fillId="9" borderId="49" xfId="0" applyNumberFormat="1" applyFont="1" applyFill="1" applyBorder="1"/>
    <xf numFmtId="164" fontId="29" fillId="9" borderId="49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9" borderId="1" xfId="0" applyNumberFormat="1" applyFill="1" applyBorder="1" applyAlignment="1">
      <alignment horizontal="left"/>
    </xf>
    <xf numFmtId="165" fontId="0" fillId="9" borderId="1" xfId="0" applyNumberFormat="1" applyFill="1" applyBorder="1" applyAlignment="1">
      <alignment horizontal="left"/>
    </xf>
    <xf numFmtId="0" fontId="24" fillId="10" borderId="31" xfId="0" applyFont="1" applyFill="1" applyBorder="1" applyAlignment="1">
      <alignment horizontal="left"/>
    </xf>
    <xf numFmtId="0" fontId="24" fillId="10" borderId="22" xfId="0" applyFont="1" applyFill="1" applyBorder="1" applyAlignment="1" applyProtection="1">
      <alignment horizontal="left"/>
      <protection locked="0"/>
    </xf>
    <xf numFmtId="0" fontId="24" fillId="10" borderId="28" xfId="0" applyFont="1" applyFill="1" applyBorder="1" applyAlignment="1">
      <alignment horizontal="left"/>
    </xf>
    <xf numFmtId="0" fontId="24" fillId="10" borderId="30" xfId="0" applyFont="1" applyFill="1" applyBorder="1" applyAlignment="1" applyProtection="1">
      <alignment horizontal="left"/>
      <protection locked="0"/>
    </xf>
    <xf numFmtId="0" fontId="29" fillId="9" borderId="55" xfId="0" applyFont="1" applyFill="1" applyBorder="1" applyAlignment="1">
      <alignment horizontal="center"/>
    </xf>
    <xf numFmtId="0" fontId="29" fillId="9" borderId="56" xfId="0" applyFont="1" applyFill="1" applyBorder="1" applyAlignment="1">
      <alignment horizontal="center"/>
    </xf>
    <xf numFmtId="0" fontId="29" fillId="9" borderId="57" xfId="0" applyFont="1" applyFill="1" applyBorder="1" applyAlignment="1"/>
    <xf numFmtId="0" fontId="0" fillId="19" borderId="20" xfId="0" applyFill="1" applyBorder="1"/>
    <xf numFmtId="0" fontId="29" fillId="2" borderId="58" xfId="0" applyFont="1" applyFill="1" applyBorder="1" applyAlignment="1">
      <alignment horizontal="right"/>
    </xf>
    <xf numFmtId="0" fontId="29" fillId="2" borderId="38" xfId="0" applyFont="1" applyFill="1" applyBorder="1" applyAlignment="1"/>
    <xf numFmtId="165" fontId="0" fillId="21" borderId="1" xfId="0" applyNumberFormat="1" applyFill="1" applyBorder="1"/>
    <xf numFmtId="0" fontId="10" fillId="0" borderId="0" xfId="0" applyFont="1" applyFill="1"/>
    <xf numFmtId="2" fontId="0" fillId="9" borderId="0" xfId="0" applyNumberFormat="1" applyFill="1"/>
    <xf numFmtId="0" fontId="29" fillId="17" borderId="47" xfId="0" applyFont="1" applyFill="1" applyBorder="1"/>
    <xf numFmtId="0" fontId="0" fillId="17" borderId="59" xfId="0" applyFill="1" applyBorder="1"/>
    <xf numFmtId="0" fontId="0" fillId="17" borderId="60" xfId="0" applyFill="1" applyBorder="1"/>
    <xf numFmtId="0" fontId="29" fillId="17" borderId="60" xfId="0" applyFont="1" applyFill="1" applyBorder="1"/>
    <xf numFmtId="2" fontId="3" fillId="9" borderId="1" xfId="0" applyNumberFormat="1" applyFont="1" applyFill="1" applyBorder="1" applyAlignment="1">
      <alignment horizontal="center"/>
    </xf>
    <xf numFmtId="2" fontId="3" fillId="9" borderId="2" xfId="0" applyNumberFormat="1" applyFont="1" applyFill="1" applyBorder="1" applyAlignment="1">
      <alignment horizontal="center"/>
    </xf>
    <xf numFmtId="2" fontId="3" fillId="9" borderId="15" xfId="0" applyNumberFormat="1" applyFont="1" applyFill="1" applyBorder="1" applyAlignment="1">
      <alignment horizontal="center"/>
    </xf>
    <xf numFmtId="2" fontId="3" fillId="9" borderId="13" xfId="0" applyNumberFormat="1" applyFont="1" applyFill="1" applyBorder="1" applyAlignment="1">
      <alignment horizontal="center"/>
    </xf>
    <xf numFmtId="0" fontId="3" fillId="9" borderId="43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60" xfId="0" applyFont="1" applyBorder="1" applyAlignment="1">
      <alignment horizontal="center"/>
    </xf>
    <xf numFmtId="0" fontId="23" fillId="9" borderId="9" xfId="0" applyFont="1" applyFill="1" applyBorder="1" applyAlignment="1">
      <alignment horizontal="center"/>
    </xf>
    <xf numFmtId="0" fontId="23" fillId="9" borderId="11" xfId="0" applyFont="1" applyFill="1" applyBorder="1" applyAlignment="1">
      <alignment horizontal="center"/>
    </xf>
    <xf numFmtId="0" fontId="23" fillId="9" borderId="3" xfId="0" applyFont="1" applyFill="1" applyBorder="1" applyAlignment="1">
      <alignment horizontal="center"/>
    </xf>
    <xf numFmtId="0" fontId="5" fillId="22" borderId="6" xfId="0" applyFont="1" applyFill="1" applyBorder="1" applyAlignment="1">
      <alignment horizontal="center"/>
    </xf>
    <xf numFmtId="0" fontId="24" fillId="10" borderId="24" xfId="0" applyFont="1" applyFill="1" applyBorder="1" applyAlignment="1" applyProtection="1">
      <alignment horizontal="center"/>
      <protection locked="0"/>
    </xf>
    <xf numFmtId="0" fontId="24" fillId="10" borderId="20" xfId="0" applyFont="1" applyFill="1" applyBorder="1" applyAlignment="1" applyProtection="1">
      <alignment horizontal="center"/>
      <protection locked="0"/>
    </xf>
    <xf numFmtId="0" fontId="5" fillId="9" borderId="61" xfId="0" applyFont="1" applyFill="1" applyBorder="1" applyAlignment="1">
      <alignment horizontal="center"/>
    </xf>
    <xf numFmtId="0" fontId="5" fillId="9" borderId="59" xfId="0" applyFont="1" applyFill="1" applyBorder="1" applyAlignment="1">
      <alignment horizontal="center"/>
    </xf>
    <xf numFmtId="0" fontId="5" fillId="9" borderId="60" xfId="0" applyFont="1" applyFill="1" applyBorder="1" applyAlignment="1">
      <alignment horizontal="center"/>
    </xf>
    <xf numFmtId="0" fontId="5" fillId="9" borderId="43" xfId="0" applyFont="1" applyFill="1" applyBorder="1" applyAlignment="1">
      <alignment horizontal="center"/>
    </xf>
    <xf numFmtId="0" fontId="5" fillId="9" borderId="62" xfId="0" applyFont="1" applyFill="1" applyBorder="1" applyAlignment="1">
      <alignment horizontal="center"/>
    </xf>
    <xf numFmtId="0" fontId="5" fillId="9" borderId="51" xfId="0" applyFont="1" applyFill="1" applyBorder="1" applyAlignment="1">
      <alignment horizontal="center"/>
    </xf>
    <xf numFmtId="0" fontId="13" fillId="0" borderId="63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5" fillId="2" borderId="2" xfId="0" applyFont="1" applyFill="1" applyBorder="1" applyAlignment="1" applyProtection="1">
      <alignment horizontal="center"/>
    </xf>
    <xf numFmtId="0" fontId="5" fillId="2" borderId="13" xfId="0" applyFont="1" applyFill="1" applyBorder="1" applyAlignment="1" applyProtection="1">
      <alignment horizontal="center"/>
    </xf>
    <xf numFmtId="0" fontId="5" fillId="3" borderId="2" xfId="0" applyFont="1" applyFill="1" applyBorder="1" applyAlignment="1" applyProtection="1">
      <alignment horizontal="center"/>
    </xf>
    <xf numFmtId="0" fontId="5" fillId="3" borderId="13" xfId="0" applyFont="1" applyFill="1" applyBorder="1" applyAlignment="1" applyProtection="1">
      <alignment horizontal="center"/>
    </xf>
    <xf numFmtId="0" fontId="5" fillId="9" borderId="2" xfId="0" applyFont="1" applyFill="1" applyBorder="1" applyAlignment="1" applyProtection="1">
      <alignment horizontal="center"/>
    </xf>
    <xf numFmtId="0" fontId="5" fillId="9" borderId="13" xfId="0" applyFont="1" applyFill="1" applyBorder="1" applyAlignment="1" applyProtection="1">
      <alignment horizontal="center"/>
    </xf>
    <xf numFmtId="0" fontId="5" fillId="10" borderId="2" xfId="0" applyFont="1" applyFill="1" applyBorder="1" applyAlignment="1" applyProtection="1">
      <alignment horizontal="center"/>
    </xf>
    <xf numFmtId="0" fontId="5" fillId="10" borderId="13" xfId="0" applyFont="1" applyFill="1" applyBorder="1" applyAlignment="1" applyProtection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5" fillId="14" borderId="2" xfId="0" applyFont="1" applyFill="1" applyBorder="1" applyAlignment="1" applyProtection="1">
      <alignment horizontal="center"/>
    </xf>
    <xf numFmtId="0" fontId="5" fillId="14" borderId="13" xfId="0" applyFont="1" applyFill="1" applyBorder="1" applyAlignment="1" applyProtection="1">
      <alignment horizontal="center"/>
    </xf>
    <xf numFmtId="0" fontId="5" fillId="8" borderId="2" xfId="0" applyFont="1" applyFill="1" applyBorder="1" applyAlignment="1" applyProtection="1">
      <alignment horizontal="center"/>
    </xf>
    <xf numFmtId="0" fontId="5" fillId="8" borderId="13" xfId="0" applyFont="1" applyFill="1" applyBorder="1" applyAlignment="1" applyProtection="1">
      <alignment horizontal="center"/>
    </xf>
    <xf numFmtId="0" fontId="5" fillId="8" borderId="0" xfId="0" applyFont="1" applyFill="1" applyAlignment="1">
      <alignment horizontal="center"/>
    </xf>
    <xf numFmtId="0" fontId="4" fillId="0" borderId="4" xfId="0" applyFont="1" applyBorder="1" applyAlignment="1" applyProtection="1">
      <alignment horizontal="center"/>
    </xf>
    <xf numFmtId="0" fontId="4" fillId="0" borderId="12" xfId="0" applyFont="1" applyBorder="1" applyAlignment="1" applyProtection="1">
      <alignment horizontal="center"/>
    </xf>
    <xf numFmtId="0" fontId="4" fillId="4" borderId="2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left"/>
    </xf>
    <xf numFmtId="0" fontId="5" fillId="4" borderId="9" xfId="0" applyFont="1" applyFill="1" applyBorder="1" applyAlignment="1" applyProtection="1">
      <alignment horizontal="left"/>
      <protection locked="0"/>
    </xf>
    <xf numFmtId="0" fontId="5" fillId="4" borderId="15" xfId="0" applyFont="1" applyFill="1" applyBorder="1" applyAlignment="1" applyProtection="1">
      <alignment horizontal="left"/>
      <protection locked="0"/>
    </xf>
    <xf numFmtId="0" fontId="5" fillId="4" borderId="13" xfId="0" applyFont="1" applyFill="1" applyBorder="1" applyAlignment="1" applyProtection="1">
      <alignment horizontal="left"/>
      <protection locked="0"/>
    </xf>
    <xf numFmtId="0" fontId="4" fillId="9" borderId="1" xfId="0" applyFont="1" applyFill="1" applyBorder="1" applyAlignment="1">
      <alignment horizontal="center"/>
    </xf>
    <xf numFmtId="0" fontId="13" fillId="9" borderId="64" xfId="0" applyFont="1" applyFill="1" applyBorder="1" applyAlignment="1">
      <alignment horizontal="center"/>
    </xf>
    <xf numFmtId="0" fontId="13" fillId="9" borderId="12" xfId="0" applyFont="1" applyFill="1" applyBorder="1" applyAlignment="1">
      <alignment horizontal="center"/>
    </xf>
    <xf numFmtId="0" fontId="18" fillId="9" borderId="24" xfId="0" applyFont="1" applyFill="1" applyBorder="1" applyAlignment="1" applyProtection="1">
      <alignment horizontal="center"/>
      <protection hidden="1"/>
    </xf>
    <xf numFmtId="0" fontId="18" fillId="9" borderId="17" xfId="0" applyFont="1" applyFill="1" applyBorder="1" applyAlignment="1" applyProtection="1">
      <alignment horizontal="center"/>
      <protection hidden="1"/>
    </xf>
    <xf numFmtId="0" fontId="18" fillId="9" borderId="20" xfId="0" applyFont="1" applyFill="1" applyBorder="1" applyAlignment="1" applyProtection="1">
      <alignment horizontal="center"/>
      <protection hidden="1"/>
    </xf>
    <xf numFmtId="0" fontId="3" fillId="0" borderId="1" xfId="0" applyFont="1" applyBorder="1" applyAlignment="1">
      <alignment horizontal="center"/>
    </xf>
    <xf numFmtId="0" fontId="5" fillId="2" borderId="1" xfId="0" applyFont="1" applyFill="1" applyBorder="1" applyAlignment="1" applyProtection="1">
      <alignment horizontal="center"/>
      <protection hidden="1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hidden="1"/>
    </xf>
    <xf numFmtId="0" fontId="3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4" fillId="0" borderId="2" xfId="0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5" fillId="9" borderId="62" xfId="0" applyFont="1" applyFill="1" applyBorder="1" applyAlignment="1" applyProtection="1">
      <alignment horizontal="center"/>
      <protection hidden="1"/>
    </xf>
    <xf numFmtId="0" fontId="5" fillId="9" borderId="42" xfId="0" applyFont="1" applyFill="1" applyBorder="1" applyAlignment="1" applyProtection="1">
      <alignment horizontal="center"/>
      <protection hidden="1"/>
    </xf>
    <xf numFmtId="0" fontId="3" fillId="6" borderId="31" xfId="0" applyFont="1" applyFill="1" applyBorder="1" applyAlignment="1">
      <alignment horizontal="center"/>
    </xf>
    <xf numFmtId="0" fontId="3" fillId="6" borderId="21" xfId="0" applyFont="1" applyFill="1" applyBorder="1" applyAlignment="1">
      <alignment horizontal="center"/>
    </xf>
    <xf numFmtId="0" fontId="3" fillId="6" borderId="22" xfId="0" applyFont="1" applyFill="1" applyBorder="1" applyAlignment="1">
      <alignment horizontal="center"/>
    </xf>
    <xf numFmtId="0" fontId="5" fillId="4" borderId="1" xfId="0" applyFont="1" applyFill="1" applyBorder="1" applyAlignment="1" applyProtection="1">
      <alignment horizontal="center"/>
      <protection hidden="1"/>
    </xf>
    <xf numFmtId="0" fontId="0" fillId="17" borderId="2" xfId="0" applyFill="1" applyBorder="1" applyAlignment="1">
      <alignment horizontal="center"/>
    </xf>
    <xf numFmtId="0" fontId="0" fillId="17" borderId="13" xfId="0" applyFill="1" applyBorder="1" applyAlignment="1">
      <alignment horizontal="center"/>
    </xf>
    <xf numFmtId="0" fontId="29" fillId="17" borderId="2" xfId="0" applyFont="1" applyFill="1" applyBorder="1" applyAlignment="1" applyProtection="1">
      <alignment horizontal="center"/>
    </xf>
    <xf numFmtId="0" fontId="29" fillId="17" borderId="13" xfId="0" applyFont="1" applyFill="1" applyBorder="1" applyAlignment="1" applyProtection="1">
      <alignment horizontal="center"/>
    </xf>
    <xf numFmtId="9" fontId="29" fillId="2" borderId="1" xfId="0" applyNumberFormat="1" applyFont="1" applyFill="1" applyBorder="1" applyAlignment="1" applyProtection="1">
      <alignment horizontal="center"/>
    </xf>
    <xf numFmtId="9" fontId="44" fillId="10" borderId="1" xfId="0" applyNumberFormat="1" applyFont="1" applyFill="1" applyBorder="1" applyAlignment="1" applyProtection="1">
      <alignment horizontal="center"/>
    </xf>
    <xf numFmtId="0" fontId="3" fillId="8" borderId="1" xfId="0" applyFont="1" applyFill="1" applyBorder="1" applyAlignment="1" applyProtection="1">
      <alignment horizontal="center"/>
    </xf>
    <xf numFmtId="9" fontId="29" fillId="8" borderId="2" xfId="0" applyNumberFormat="1" applyFont="1" applyFill="1" applyBorder="1" applyAlignment="1" applyProtection="1">
      <alignment horizontal="center"/>
    </xf>
    <xf numFmtId="9" fontId="29" fillId="8" borderId="13" xfId="0" applyNumberFormat="1" applyFont="1" applyFill="1" applyBorder="1" applyAlignment="1" applyProtection="1">
      <alignment horizontal="center"/>
    </xf>
    <xf numFmtId="0" fontId="3" fillId="2" borderId="61" xfId="0" applyFont="1" applyFill="1" applyBorder="1" applyAlignment="1" applyProtection="1">
      <alignment horizontal="center"/>
      <protection hidden="1"/>
    </xf>
    <xf numFmtId="0" fontId="3" fillId="2" borderId="60" xfId="0" applyFont="1" applyFill="1" applyBorder="1" applyAlignment="1" applyProtection="1">
      <alignment horizontal="center"/>
      <protection hidden="1"/>
    </xf>
    <xf numFmtId="9" fontId="29" fillId="0" borderId="65" xfId="0" applyNumberFormat="1" applyFont="1" applyFill="1" applyBorder="1" applyAlignment="1" applyProtection="1">
      <alignment horizontal="center"/>
    </xf>
    <xf numFmtId="9" fontId="29" fillId="0" borderId="13" xfId="0" applyNumberFormat="1" applyFont="1" applyFill="1" applyBorder="1" applyAlignment="1" applyProtection="1">
      <alignment horizontal="center"/>
    </xf>
    <xf numFmtId="9" fontId="29" fillId="0" borderId="2" xfId="0" applyNumberFormat="1" applyFont="1" applyFill="1" applyBorder="1" applyAlignment="1" applyProtection="1">
      <alignment horizontal="center"/>
    </xf>
    <xf numFmtId="9" fontId="29" fillId="0" borderId="35" xfId="0" applyNumberFormat="1" applyFont="1" applyFill="1" applyBorder="1" applyAlignment="1" applyProtection="1">
      <alignment horizontal="center"/>
    </xf>
    <xf numFmtId="0" fontId="0" fillId="6" borderId="1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2" xfId="0" applyBorder="1" applyAlignment="1">
      <alignment horizontal="center"/>
    </xf>
    <xf numFmtId="9" fontId="29" fillId="6" borderId="2" xfId="0" applyNumberFormat="1" applyFont="1" applyFill="1" applyBorder="1" applyAlignment="1" applyProtection="1">
      <alignment horizontal="center"/>
    </xf>
    <xf numFmtId="9" fontId="29" fillId="6" borderId="13" xfId="0" applyNumberFormat="1" applyFont="1" applyFill="1" applyBorder="1" applyAlignment="1" applyProtection="1">
      <alignment horizontal="center"/>
    </xf>
    <xf numFmtId="0" fontId="3" fillId="17" borderId="24" xfId="0" applyFont="1" applyFill="1" applyBorder="1" applyAlignment="1" applyProtection="1">
      <alignment horizontal="center"/>
    </xf>
    <xf numFmtId="0" fontId="3" fillId="17" borderId="17" xfId="0" applyFont="1" applyFill="1" applyBorder="1" applyAlignment="1" applyProtection="1">
      <alignment horizontal="center"/>
    </xf>
    <xf numFmtId="0" fontId="3" fillId="17" borderId="20" xfId="0" applyFont="1" applyFill="1" applyBorder="1" applyAlignment="1" applyProtection="1">
      <alignment horizontal="center"/>
    </xf>
    <xf numFmtId="9" fontId="29" fillId="2" borderId="2" xfId="0" applyNumberFormat="1" applyFont="1" applyFill="1" applyBorder="1" applyAlignment="1" applyProtection="1">
      <alignment horizontal="center"/>
    </xf>
    <xf numFmtId="9" fontId="29" fillId="2" borderId="13" xfId="0" applyNumberFormat="1" applyFont="1" applyFill="1" applyBorder="1" applyAlignment="1" applyProtection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2" fillId="0" borderId="61" xfId="0" applyFont="1" applyFill="1" applyBorder="1" applyAlignment="1" applyProtection="1">
      <alignment horizontal="center"/>
      <protection hidden="1"/>
    </xf>
    <xf numFmtId="0" fontId="62" fillId="0" borderId="59" xfId="0" applyFont="1" applyFill="1" applyBorder="1" applyAlignment="1" applyProtection="1">
      <alignment horizontal="center"/>
      <protection hidden="1"/>
    </xf>
    <xf numFmtId="0" fontId="62" fillId="0" borderId="60" xfId="0" applyFont="1" applyFill="1" applyBorder="1" applyAlignment="1" applyProtection="1">
      <alignment horizontal="center"/>
      <protection hidden="1"/>
    </xf>
    <xf numFmtId="0" fontId="3" fillId="2" borderId="61" xfId="0" applyFont="1" applyFill="1" applyBorder="1" applyAlignment="1">
      <alignment horizontal="center"/>
    </xf>
    <xf numFmtId="0" fontId="3" fillId="2" borderId="59" xfId="0" applyFont="1" applyFill="1" applyBorder="1" applyAlignment="1">
      <alignment horizontal="center"/>
    </xf>
    <xf numFmtId="0" fontId="3" fillId="2" borderId="60" xfId="0" applyFont="1" applyFill="1" applyBorder="1" applyAlignment="1">
      <alignment horizontal="center"/>
    </xf>
    <xf numFmtId="9" fontId="5" fillId="2" borderId="2" xfId="0" applyNumberFormat="1" applyFont="1" applyFill="1" applyBorder="1" applyAlignment="1" applyProtection="1">
      <alignment horizontal="center"/>
      <protection locked="0"/>
    </xf>
    <xf numFmtId="9" fontId="5" fillId="2" borderId="13" xfId="0" applyNumberFormat="1" applyFont="1" applyFill="1" applyBorder="1" applyAlignment="1" applyProtection="1">
      <alignment horizontal="center"/>
      <protection locked="0"/>
    </xf>
    <xf numFmtId="9" fontId="5" fillId="8" borderId="2" xfId="0" applyNumberFormat="1" applyFont="1" applyFill="1" applyBorder="1" applyAlignment="1" applyProtection="1">
      <alignment horizontal="center"/>
      <protection locked="0"/>
    </xf>
    <xf numFmtId="9" fontId="5" fillId="8" borderId="13" xfId="0" applyNumberFormat="1" applyFont="1" applyFill="1" applyBorder="1" applyAlignment="1" applyProtection="1">
      <alignment horizontal="center"/>
      <protection locked="0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47">
    <dxf>
      <font>
        <b val="0"/>
        <i val="0"/>
        <condense val="0"/>
        <extend val="0"/>
        <color indexed="8"/>
      </font>
      <fill>
        <patternFill>
          <bgColor indexed="51"/>
        </patternFill>
      </fill>
    </dxf>
    <dxf>
      <font>
        <condense val="0"/>
        <extend val="0"/>
        <color indexed="23"/>
      </font>
      <fill>
        <patternFill>
          <bgColor indexed="22"/>
        </patternFill>
      </fill>
    </dxf>
    <dxf>
      <font>
        <b/>
        <i val="0"/>
        <condense val="0"/>
        <extend val="0"/>
        <color indexed="23"/>
      </font>
      <fill>
        <patternFill>
          <bgColor indexed="22"/>
        </patternFill>
      </fill>
    </dxf>
    <dxf>
      <font>
        <condense val="0"/>
        <extend val="0"/>
        <color indexed="22"/>
      </font>
      <border>
        <left/>
        <right/>
        <top/>
        <bottom/>
      </border>
    </dxf>
    <dxf>
      <font>
        <condense val="0"/>
        <extend val="0"/>
        <color indexed="23"/>
      </font>
    </dxf>
    <dxf>
      <font>
        <condense val="0"/>
        <extend val="0"/>
        <color indexed="8"/>
      </font>
      <border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48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indexed="22"/>
      </font>
      <border>
        <left/>
        <right/>
        <top/>
        <bottom/>
      </border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  <dxf>
      <font>
        <condense val="0"/>
        <extend val="0"/>
        <color indexed="22"/>
      </font>
      <border>
        <left/>
        <right/>
        <top/>
        <bottom/>
      </border>
    </dxf>
    <dxf>
      <font>
        <b val="0"/>
        <i val="0"/>
        <condense val="0"/>
        <extend val="0"/>
        <color indexed="8"/>
      </font>
      <fill>
        <patternFill>
          <bgColor indexed="51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4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4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4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4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4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 patternType="solid">
          <bgColor indexed="4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47"/>
      </font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b val="0"/>
        <i val="0"/>
        <condense val="0"/>
        <extend val="0"/>
        <color indexed="8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12"/>
      </font>
      <fill>
        <patternFill>
          <bgColor indexed="47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12"/>
      </font>
      <fill>
        <patternFill>
          <bgColor indexed="47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47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color indexed="12"/>
      </font>
      <fill>
        <patternFill>
          <bgColor indexed="47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b/>
        <i val="0"/>
        <condense val="0"/>
        <extend val="0"/>
        <color indexed="12"/>
      </font>
      <fill>
        <patternFill>
          <bgColor indexed="47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2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ill>
        <patternFill>
          <bgColor indexed="29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10"/>
      </font>
      <fill>
        <patternFill>
          <bgColor indexed="43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47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22"/>
      </font>
      <fill>
        <patternFill>
          <bgColor indexed="47"/>
        </patternFill>
      </fill>
    </dxf>
    <dxf>
      <font>
        <condense val="0"/>
        <extend val="0"/>
        <color indexed="55"/>
      </font>
      <fill>
        <patternFill>
          <bgColor indexed="22"/>
        </patternFill>
      </fill>
      <border>
        <top style="thin">
          <color indexed="64"/>
        </top>
      </border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55"/>
      </font>
    </dxf>
    <dxf>
      <font>
        <condense val="0"/>
        <extend val="0"/>
        <color indexed="22"/>
      </font>
    </dxf>
    <dxf>
      <font>
        <condense val="0"/>
        <extend val="0"/>
        <color indexed="55"/>
      </font>
    </dxf>
    <dxf>
      <font>
        <condense val="0"/>
        <extend val="0"/>
        <color indexed="55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17"/>
      </font>
      <fill>
        <patternFill>
          <bgColor indexed="50"/>
        </patternFill>
      </fill>
    </dxf>
    <dxf>
      <font>
        <condense val="0"/>
        <extend val="0"/>
        <color indexed="22"/>
      </font>
      <fill>
        <patternFill>
          <bgColor indexed="47"/>
        </patternFill>
      </fill>
    </dxf>
    <dxf>
      <font>
        <condense val="0"/>
        <extend val="0"/>
        <color indexed="22"/>
      </font>
    </dxf>
    <dxf>
      <font>
        <condense val="0"/>
        <extend val="0"/>
        <color indexed="55"/>
      </font>
    </dxf>
    <dxf>
      <font>
        <condense val="0"/>
        <extend val="0"/>
        <color indexed="17"/>
      </font>
    </dxf>
    <dxf>
      <font>
        <condense val="0"/>
        <extend val="0"/>
        <color indexed="55"/>
      </font>
      <fill>
        <patternFill>
          <bgColor indexed="44"/>
        </patternFill>
      </fill>
    </dxf>
    <dxf>
      <font>
        <condense val="0"/>
        <extend val="0"/>
        <color indexed="22"/>
      </font>
      <fill>
        <patternFill>
          <bgColor indexed="47"/>
        </patternFill>
      </fill>
      <border>
        <top style="thin">
          <color indexed="64"/>
        </top>
      </border>
    </dxf>
    <dxf>
      <font>
        <condense val="0"/>
        <extend val="0"/>
        <color indexed="22"/>
      </font>
      <fill>
        <patternFill>
          <bgColor indexed="47"/>
        </patternFill>
      </fill>
    </dxf>
    <dxf>
      <fill>
        <patternFill>
          <bgColor indexed="10"/>
        </patternFill>
      </fill>
    </dxf>
    <dxf>
      <font>
        <condense val="0"/>
        <extend val="0"/>
        <color indexed="8"/>
      </font>
      <fill>
        <patternFill>
          <bgColor indexed="17"/>
        </patternFill>
      </fill>
    </dxf>
    <dxf>
      <fill>
        <patternFill>
          <bgColor indexed="29"/>
        </patternFill>
      </fill>
    </dxf>
    <dxf>
      <fill>
        <patternFill>
          <bgColor indexed="29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10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0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0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10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07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08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09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10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2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3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4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5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6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1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1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2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8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3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3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39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0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4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2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43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44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5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7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4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49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50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5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52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53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54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55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56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57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5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5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6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2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3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64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65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6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67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8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6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7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6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77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78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79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80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81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2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3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86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7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8.xml><?xml version="1.0" encoding="utf-8"?>
<ax:ocx xmlns:ax="http://schemas.microsoft.com/office/2006/activeX" xmlns:r="http://schemas.openxmlformats.org/officeDocument/2006/relationships" ax:classid="{8BD21D50-EC42-11CE-9E0D-00AA006002F3}" ax:persistence="persistStreamInit" r:id="rId1"/>
</file>

<file path=xl/activeX/activeX89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0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1.xml><?xml version="1.0" encoding="utf-8"?>
<ax:ocx xmlns:ax="http://schemas.microsoft.com/office/2006/activeX" xmlns:r="http://schemas.openxmlformats.org/officeDocument/2006/relationships" ax:classid="{79176FB0-B7F2-11CE-97EF-00AA006D2776}" ax:persistence="persistStreamInit" r:id="rId1"/>
</file>

<file path=xl/activeX/activeX9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5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96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7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activeX/activeX98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99.xml><?xml version="1.0" encoding="utf-8"?>
<ax:ocx xmlns:ax="http://schemas.microsoft.com/office/2006/activeX" xmlns:r="http://schemas.openxmlformats.org/officeDocument/2006/relationships" ax:classid="{978C9E23-D4B0-11CE-BF2D-00AA003F40D0}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89417409108311"/>
          <c:y val="3.1423318564542085E-2"/>
          <c:w val="0.83712276042177225"/>
          <c:h val="0.86506547577680559"/>
        </c:manualLayout>
      </c:layout>
      <c:scatterChart>
        <c:scatterStyle val="lineMarker"/>
        <c:varyColors val="0"/>
        <c:ser>
          <c:idx val="0"/>
          <c:order val="0"/>
          <c:tx>
            <c:v>Z1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6.277719024625086E-3"/>
                  <c:y val="-3.1482672995680879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Characteristic!$AB$5:$AB$15</c:f>
              <c:numCache>
                <c:formatCode>0.00</c:formatCode>
                <c:ptCount val="11"/>
                <c:pt idx="0">
                  <c:v>25.571630050430191</c:v>
                </c:pt>
                <c:pt idx="1">
                  <c:v>25.571630050430191</c:v>
                </c:pt>
                <c:pt idx="2">
                  <c:v>27.28</c:v>
                </c:pt>
                <c:pt idx="3">
                  <c:v>28.418006904853311</c:v>
                </c:pt>
                <c:pt idx="4">
                  <c:v>29.714195487641359</c:v>
                </c:pt>
                <c:pt idx="5">
                  <c:v>31.584292053873163</c:v>
                </c:pt>
                <c:pt idx="6">
                  <c:v>21.365421628088605</c:v>
                </c:pt>
                <c:pt idx="7">
                  <c:v>8.0271638896602475</c:v>
                </c:pt>
                <c:pt idx="8">
                  <c:v>9.8624450620143911E-16</c:v>
                </c:pt>
                <c:pt idx="9">
                  <c:v>9.8624450620143911E-16</c:v>
                </c:pt>
                <c:pt idx="10">
                  <c:v>-6.5048222359460262</c:v>
                </c:pt>
              </c:numCache>
            </c:numRef>
          </c:xVal>
          <c:yVal>
            <c:numRef>
              <c:f>Characteristic!$AC$5:$AC$15</c:f>
              <c:numCache>
                <c:formatCode>0.00</c:formatCode>
                <c:ptCount val="11"/>
                <c:pt idx="0">
                  <c:v>-6.3757234499184232</c:v>
                </c:pt>
                <c:pt idx="1">
                  <c:v>-6.3757234499184232</c:v>
                </c:pt>
                <c:pt idx="2">
                  <c:v>0</c:v>
                </c:pt>
                <c:pt idx="3">
                  <c:v>4.2470995882767557</c:v>
                </c:pt>
                <c:pt idx="4">
                  <c:v>9.0845412354324449</c:v>
                </c:pt>
                <c:pt idx="5">
                  <c:v>16.063836635669645</c:v>
                </c:pt>
                <c:pt idx="6">
                  <c:v>16.100000000000001</c:v>
                </c:pt>
                <c:pt idx="7">
                  <c:v>16.100000000000001</c:v>
                </c:pt>
                <c:pt idx="8">
                  <c:v>16.100000000000001</c:v>
                </c:pt>
                <c:pt idx="9">
                  <c:v>16.100000000000001</c:v>
                </c:pt>
                <c:pt idx="10">
                  <c:v>16.100000000000001</c:v>
                </c:pt>
              </c:numCache>
            </c:numRef>
          </c:yVal>
          <c:smooth val="0"/>
        </c:ser>
        <c:ser>
          <c:idx val="3"/>
          <c:order val="1"/>
          <c:tx>
            <c:v>Z1B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3"/>
            <c:spPr>
              <a:solidFill>
                <a:srgbClr val="00000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 val="-6.4903022026627129E-3"/>
                  <c:y val="-1.628312150934075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Characteristic!$AB$16:$AB$26</c:f>
              <c:numCache>
                <c:formatCode>0.00</c:formatCode>
                <c:ptCount val="11"/>
                <c:pt idx="0">
                  <c:v>42.613134240929483</c:v>
                </c:pt>
                <c:pt idx="1">
                  <c:v>42.613134240929483</c:v>
                </c:pt>
                <c:pt idx="2">
                  <c:v>45.46</c:v>
                </c:pt>
                <c:pt idx="3">
                  <c:v>47.714343962951844</c:v>
                </c:pt>
                <c:pt idx="4">
                  <c:v>50.372616099773637</c:v>
                </c:pt>
                <c:pt idx="5">
                  <c:v>53.584219514511645</c:v>
                </c:pt>
                <c:pt idx="6">
                  <c:v>36.133968927456451</c:v>
                </c:pt>
                <c:pt idx="7">
                  <c:v>14.138448195259558</c:v>
                </c:pt>
                <c:pt idx="8">
                  <c:v>1.8573250576414679E-15</c:v>
                </c:pt>
                <c:pt idx="9">
                  <c:v>1.8573250576414679E-15</c:v>
                </c:pt>
                <c:pt idx="10">
                  <c:v>-12.250075167321954</c:v>
                </c:pt>
              </c:numCache>
            </c:numRef>
          </c:xVal>
          <c:yVal>
            <c:numRef>
              <c:f>Characteristic!$AC$16:$AC$26</c:f>
              <c:numCache>
                <c:formatCode>0.00</c:formatCode>
                <c:ptCount val="11"/>
                <c:pt idx="0">
                  <c:v>-10.624647655179308</c:v>
                </c:pt>
                <c:pt idx="1">
                  <c:v>-10.624647655179308</c:v>
                </c:pt>
                <c:pt idx="2">
                  <c:v>0</c:v>
                </c:pt>
                <c:pt idx="3">
                  <c:v>8.4133262074724726</c:v>
                </c:pt>
                <c:pt idx="4">
                  <c:v>18.334132882436087</c:v>
                </c:pt>
                <c:pt idx="5">
                  <c:v>30.32</c:v>
                </c:pt>
                <c:pt idx="6">
                  <c:v>30.32</c:v>
                </c:pt>
                <c:pt idx="7">
                  <c:v>30.32</c:v>
                </c:pt>
                <c:pt idx="8">
                  <c:v>30.32</c:v>
                </c:pt>
                <c:pt idx="9">
                  <c:v>30.32</c:v>
                </c:pt>
                <c:pt idx="10">
                  <c:v>30.319999999999997</c:v>
                </c:pt>
              </c:numCache>
            </c:numRef>
          </c:yVal>
          <c:smooth val="0"/>
        </c:ser>
        <c:ser>
          <c:idx val="4"/>
          <c:order val="2"/>
          <c:tx>
            <c:v>Z2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3.0338533400676469E-2"/>
                  <c:y val="-2.14206746596194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8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Characteristic!$AB$27:$AB$37</c:f>
              <c:numCache>
                <c:formatCode>0.00</c:formatCode>
                <c:ptCount val="11"/>
                <c:pt idx="0">
                  <c:v>31.964537563037734</c:v>
                </c:pt>
                <c:pt idx="1">
                  <c:v>31.964537563037734</c:v>
                </c:pt>
                <c:pt idx="2">
                  <c:v>34.1</c:v>
                </c:pt>
                <c:pt idx="3">
                  <c:v>35.881949550776504</c:v>
                </c:pt>
                <c:pt idx="4">
                  <c:v>38.009508185770379</c:v>
                </c:pt>
                <c:pt idx="5">
                  <c:v>40.61652435992491</c:v>
                </c:pt>
                <c:pt idx="6">
                  <c:v>27.976959663614952</c:v>
                </c:pt>
                <c:pt idx="7">
                  <c:v>11.083262534552462</c:v>
                </c:pt>
                <c:pt idx="8">
                  <c:v>1.4897805211688819E-15</c:v>
                </c:pt>
                <c:pt idx="9">
                  <c:v>1.4897805211688819E-15</c:v>
                </c:pt>
                <c:pt idx="10">
                  <c:v>-9.8259178123110154</c:v>
                </c:pt>
              </c:numCache>
            </c:numRef>
          </c:xVal>
          <c:yVal>
            <c:numRef>
              <c:f>Characteristic!$AC$27:$AC$37</c:f>
              <c:numCache>
                <c:formatCode>0.00</c:formatCode>
                <c:ptCount val="11"/>
                <c:pt idx="0">
                  <c:v>-7.9696543123980286</c:v>
                </c:pt>
                <c:pt idx="1">
                  <c:v>-7.9696543123980286</c:v>
                </c:pt>
                <c:pt idx="2">
                  <c:v>0</c:v>
                </c:pt>
                <c:pt idx="3">
                  <c:v>6.6503262600224158</c:v>
                </c:pt>
                <c:pt idx="4">
                  <c:v>14.590483181901485</c:v>
                </c:pt>
                <c:pt idx="5">
                  <c:v>24.32</c:v>
                </c:pt>
                <c:pt idx="6">
                  <c:v>24.319999999999997</c:v>
                </c:pt>
                <c:pt idx="7">
                  <c:v>24.32</c:v>
                </c:pt>
                <c:pt idx="8">
                  <c:v>24.32</c:v>
                </c:pt>
                <c:pt idx="9">
                  <c:v>24.32</c:v>
                </c:pt>
                <c:pt idx="10">
                  <c:v>24.32</c:v>
                </c:pt>
              </c:numCache>
            </c:numRef>
          </c:yVal>
          <c:smooth val="0"/>
        </c:ser>
        <c:ser>
          <c:idx val="5"/>
          <c:order val="3"/>
          <c:tx>
            <c:v>Z3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2.4303813068967374E-2"/>
                  <c:y val="1.887363491275749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Characteristic!$AB$38:$AB$48</c:f>
              <c:numCache>
                <c:formatCode>0.00</c:formatCode>
                <c:ptCount val="11"/>
                <c:pt idx="0">
                  <c:v>-4.2556891652842035</c:v>
                </c:pt>
                <c:pt idx="1">
                  <c:v>-4.2556891652842035</c:v>
                </c:pt>
                <c:pt idx="2">
                  <c:v>-4.54</c:v>
                </c:pt>
                <c:pt idx="3">
                  <c:v>-4.7412122244158654</c:v>
                </c:pt>
                <c:pt idx="4">
                  <c:v>-4.9729552848698511</c:v>
                </c:pt>
                <c:pt idx="5">
                  <c:v>-5.0383854979218894</c:v>
                </c:pt>
                <c:pt idx="6">
                  <c:v>-4.6036615473543101</c:v>
                </c:pt>
                <c:pt idx="7">
                  <c:v>-1.2545858413269126</c:v>
                </c:pt>
                <c:pt idx="8">
                  <c:v>-3.4181641891950501E-16</c:v>
                </c:pt>
                <c:pt idx="9">
                  <c:v>-3.4181641891950501E-16</c:v>
                </c:pt>
                <c:pt idx="10">
                  <c:v>0.75148878005339159</c:v>
                </c:pt>
              </c:numCache>
            </c:numRef>
          </c:xVal>
          <c:yVal>
            <c:numRef>
              <c:f>Characteristic!$AC$38:$AC$48</c:f>
              <c:numCache>
                <c:formatCode>0.00</c:formatCode>
                <c:ptCount val="11"/>
                <c:pt idx="0">
                  <c:v>1.061062480301673</c:v>
                </c:pt>
                <c:pt idx="1">
                  <c:v>1.061062480301673</c:v>
                </c:pt>
                <c:pt idx="2">
                  <c:v>5.5621739852851347E-16</c:v>
                </c:pt>
                <c:pt idx="3">
                  <c:v>-0.75093424462395586</c:v>
                </c:pt>
                <c:pt idx="4">
                  <c:v>-1.6158111205397374</c:v>
                </c:pt>
                <c:pt idx="5">
                  <c:v>-1.8600000000000003</c:v>
                </c:pt>
                <c:pt idx="6">
                  <c:v>-1.8599999999999999</c:v>
                </c:pt>
                <c:pt idx="7">
                  <c:v>-1.86</c:v>
                </c:pt>
                <c:pt idx="8">
                  <c:v>-1.86</c:v>
                </c:pt>
                <c:pt idx="9">
                  <c:v>-1.86</c:v>
                </c:pt>
                <c:pt idx="10">
                  <c:v>-1.86</c:v>
                </c:pt>
              </c:numCache>
            </c:numRef>
          </c:yVal>
          <c:smooth val="0"/>
        </c:ser>
        <c:ser>
          <c:idx val="6"/>
          <c:order val="4"/>
          <c:tx>
            <c:v>Z4</c:v>
          </c:tx>
          <c:spPr>
            <a:ln w="12700">
              <a:solidFill>
                <a:srgbClr val="339933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3.4738203260917568E-2"/>
                  <c:y val="-2.094266741116088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Characteristic!$AB$49:$AB$59</c:f>
              <c:numCache>
                <c:formatCode>0.00</c:formatCode>
                <c:ptCount val="11"/>
                <c:pt idx="0">
                  <c:v>63.910327596712989</c:v>
                </c:pt>
                <c:pt idx="1">
                  <c:v>63.910327596712989</c:v>
                </c:pt>
                <c:pt idx="2">
                  <c:v>68.180000000000007</c:v>
                </c:pt>
                <c:pt idx="3">
                  <c:v>71.561020048263472</c:v>
                </c:pt>
                <c:pt idx="4">
                  <c:v>75.547843503796031</c:v>
                </c:pt>
                <c:pt idx="5">
                  <c:v>80.452073013345426</c:v>
                </c:pt>
                <c:pt idx="6">
                  <c:v>54.582314540814821</c:v>
                </c:pt>
                <c:pt idx="7">
                  <c:v>21.356890743498933</c:v>
                </c:pt>
                <c:pt idx="8">
                  <c:v>2.8055899617407398E-15</c:v>
                </c:pt>
                <c:pt idx="9">
                  <c:v>2.8055899617407398E-15</c:v>
                </c:pt>
                <c:pt idx="10">
                  <c:v>-18.504401143250181</c:v>
                </c:pt>
              </c:numCache>
            </c:numRef>
          </c:xVal>
          <c:yVal>
            <c:numRef>
              <c:f>Characteristic!$AC$49:$AC$59</c:f>
              <c:numCache>
                <c:formatCode>0.00</c:formatCode>
                <c:ptCount val="11"/>
                <c:pt idx="0">
                  <c:v>-15.934634340741868</c:v>
                </c:pt>
                <c:pt idx="1">
                  <c:v>-15.934634340741868</c:v>
                </c:pt>
                <c:pt idx="2">
                  <c:v>0</c:v>
                </c:pt>
                <c:pt idx="3">
                  <c:v>12.618138601528226</c:v>
                </c:pt>
                <c:pt idx="4">
                  <c:v>27.497166298383032</c:v>
                </c:pt>
                <c:pt idx="5">
                  <c:v>45.8</c:v>
                </c:pt>
                <c:pt idx="6">
                  <c:v>45.800000000000004</c:v>
                </c:pt>
                <c:pt idx="7">
                  <c:v>45.8</c:v>
                </c:pt>
                <c:pt idx="8">
                  <c:v>45.8</c:v>
                </c:pt>
                <c:pt idx="9">
                  <c:v>45.8</c:v>
                </c:pt>
                <c:pt idx="10">
                  <c:v>45.8</c:v>
                </c:pt>
              </c:numCache>
            </c:numRef>
          </c:yVal>
          <c:smooth val="0"/>
        </c:ser>
        <c:ser>
          <c:idx val="7"/>
          <c:order val="5"/>
          <c:tx>
            <c:v>Z5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969696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1.9730874891287418E-2"/>
                  <c:y val="2.756803896130777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Characteristic!$AB$60:$AB$70</c:f>
              <c:numCache>
                <c:formatCode>0.00</c:formatCode>
                <c:ptCount val="11"/>
                <c:pt idx="0">
                  <c:v>-21.297193355783506</c:v>
                </c:pt>
                <c:pt idx="1">
                  <c:v>-21.297193355783506</c:v>
                </c:pt>
                <c:pt idx="2">
                  <c:v>-22.72</c:v>
                </c:pt>
                <c:pt idx="3">
                  <c:v>-26.223288089668991</c:v>
                </c:pt>
                <c:pt idx="4">
                  <c:v>-35.256541914395768</c:v>
                </c:pt>
                <c:pt idx="5">
                  <c:v>-37.076717730459528</c:v>
                </c:pt>
                <c:pt idx="6">
                  <c:v>-34.795258843522603</c:v>
                </c:pt>
                <c:pt idx="7">
                  <c:v>-15.871119060068262</c:v>
                </c:pt>
                <c:pt idx="8">
                  <c:v>-9.8465181321005781E-15</c:v>
                </c:pt>
                <c:pt idx="9">
                  <c:v>8.3632822695404005</c:v>
                </c:pt>
                <c:pt idx="10">
                  <c:v>13.660434000187291</c:v>
                </c:pt>
              </c:numCache>
            </c:numRef>
          </c:xVal>
          <c:yVal>
            <c:numRef>
              <c:f>Characteristic!$AC$60:$AC$70</c:f>
              <c:numCache>
                <c:formatCode>0.00</c:formatCode>
                <c:ptCount val="11"/>
                <c:pt idx="0">
                  <c:v>5.3099866855625582</c:v>
                </c:pt>
                <c:pt idx="1">
                  <c:v>5.3099866855625582</c:v>
                </c:pt>
                <c:pt idx="2">
                  <c:v>2.7835372895523845E-15</c:v>
                </c:pt>
                <c:pt idx="3">
                  <c:v>-13.074449144195562</c:v>
                </c:pt>
                <c:pt idx="4">
                  <c:v>-46.787011375741841</c:v>
                </c:pt>
                <c:pt idx="5">
                  <c:v>-53.580000000000005</c:v>
                </c:pt>
                <c:pt idx="6">
                  <c:v>-53.58</c:v>
                </c:pt>
                <c:pt idx="7">
                  <c:v>-53.58</c:v>
                </c:pt>
                <c:pt idx="8">
                  <c:v>-53.58</c:v>
                </c:pt>
                <c:pt idx="9">
                  <c:v>-53.580000000000005</c:v>
                </c:pt>
                <c:pt idx="10">
                  <c:v>-33.810760605824555</c:v>
                </c:pt>
              </c:numCache>
            </c:numRef>
          </c:yVal>
          <c:smooth val="0"/>
        </c:ser>
        <c:ser>
          <c:idx val="2"/>
          <c:order val="6"/>
          <c:tx>
            <c:v>PTT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dLbls>
            <c:dLbl>
              <c:idx val="5"/>
              <c:layout>
                <c:manualLayout>
                  <c:x val="-5.2276689341516176E-3"/>
                  <c:y val="-3.291899604351007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Characteristic!$AB$71:$AB$82</c:f>
              <c:numCache>
                <c:formatCode>0.00</c:formatCode>
                <c:ptCount val="12"/>
                <c:pt idx="0">
                  <c:v>42.613134240929483</c:v>
                </c:pt>
                <c:pt idx="1">
                  <c:v>45.46</c:v>
                </c:pt>
                <c:pt idx="2">
                  <c:v>47.714343962951844</c:v>
                </c:pt>
                <c:pt idx="3">
                  <c:v>50.372616099773637</c:v>
                </c:pt>
                <c:pt idx="4">
                  <c:v>53.584219514511645</c:v>
                </c:pt>
                <c:pt idx="5">
                  <c:v>36.133968927456451</c:v>
                </c:pt>
                <c:pt idx="6">
                  <c:v>14.138448195259558</c:v>
                </c:pt>
                <c:pt idx="7">
                  <c:v>1.8573250576414679E-15</c:v>
                </c:pt>
                <c:pt idx="8">
                  <c:v>-12.250075167321954</c:v>
                </c:pt>
                <c:pt idx="9">
                  <c:v>-12.250075167321954</c:v>
                </c:pt>
                <c:pt idx="10">
                  <c:v>-12.250075167321954</c:v>
                </c:pt>
                <c:pt idx="11">
                  <c:v>-12.250075167321954</c:v>
                </c:pt>
              </c:numCache>
            </c:numRef>
          </c:xVal>
          <c:yVal>
            <c:numRef>
              <c:f>Characteristic!$AC$71:$AC$82</c:f>
              <c:numCache>
                <c:formatCode>0.00</c:formatCode>
                <c:ptCount val="12"/>
                <c:pt idx="0">
                  <c:v>-10.624647655179308</c:v>
                </c:pt>
                <c:pt idx="1">
                  <c:v>0</c:v>
                </c:pt>
                <c:pt idx="2">
                  <c:v>8.4133262074724726</c:v>
                </c:pt>
                <c:pt idx="3">
                  <c:v>18.334132882436087</c:v>
                </c:pt>
                <c:pt idx="4">
                  <c:v>30.32</c:v>
                </c:pt>
                <c:pt idx="5">
                  <c:v>30.32</c:v>
                </c:pt>
                <c:pt idx="6">
                  <c:v>30.32</c:v>
                </c:pt>
                <c:pt idx="7">
                  <c:v>30.32</c:v>
                </c:pt>
                <c:pt idx="8">
                  <c:v>30.319999999999997</c:v>
                </c:pt>
                <c:pt idx="9">
                  <c:v>30.319999999999997</c:v>
                </c:pt>
                <c:pt idx="10">
                  <c:v>30.319999999999997</c:v>
                </c:pt>
                <c:pt idx="11">
                  <c:v>30.319999999999997</c:v>
                </c:pt>
              </c:numCache>
            </c:numRef>
          </c:yVal>
          <c:smooth val="0"/>
        </c:ser>
        <c:ser>
          <c:idx val="8"/>
          <c:order val="7"/>
          <c:tx>
            <c:v>SOTF_Isc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Characteristic!$AB$97:$AB$109</c:f>
              <c:numCache>
                <c:formatCode>0.00</c:formatCode>
                <c:ptCount val="13"/>
                <c:pt idx="0">
                  <c:v>92.351419627440393</c:v>
                </c:pt>
                <c:pt idx="1">
                  <c:v>79.978675472920202</c:v>
                </c:pt>
                <c:pt idx="2">
                  <c:v>46.175709813720204</c:v>
                </c:pt>
                <c:pt idx="3">
                  <c:v>5.6572099532588099E-15</c:v>
                </c:pt>
                <c:pt idx="4">
                  <c:v>-46.175709813720175</c:v>
                </c:pt>
                <c:pt idx="5">
                  <c:v>-79.978675472920202</c:v>
                </c:pt>
                <c:pt idx="6">
                  <c:v>-92.351419627440393</c:v>
                </c:pt>
                <c:pt idx="7">
                  <c:v>-79.978675472920187</c:v>
                </c:pt>
                <c:pt idx="8">
                  <c:v>-46.175709813720239</c:v>
                </c:pt>
                <c:pt idx="9">
                  <c:v>-1.697162985977643E-14</c:v>
                </c:pt>
                <c:pt idx="10">
                  <c:v>46.175709813720204</c:v>
                </c:pt>
                <c:pt idx="11">
                  <c:v>79.978675472920173</c:v>
                </c:pt>
                <c:pt idx="12">
                  <c:v>92.351419627440393</c:v>
                </c:pt>
              </c:numCache>
            </c:numRef>
          </c:xVal>
          <c:yVal>
            <c:numRef>
              <c:f>Characteristic!$AC$97:$AC$109</c:f>
              <c:numCache>
                <c:formatCode>0.00</c:formatCode>
                <c:ptCount val="13"/>
                <c:pt idx="0">
                  <c:v>0</c:v>
                </c:pt>
                <c:pt idx="1">
                  <c:v>46.175709813720189</c:v>
                </c:pt>
                <c:pt idx="2">
                  <c:v>79.978675472920187</c:v>
                </c:pt>
                <c:pt idx="3">
                  <c:v>92.351419627440393</c:v>
                </c:pt>
                <c:pt idx="4">
                  <c:v>79.978675472920202</c:v>
                </c:pt>
                <c:pt idx="5">
                  <c:v>46.175709813720189</c:v>
                </c:pt>
                <c:pt idx="6">
                  <c:v>1.131441990651762E-14</c:v>
                </c:pt>
                <c:pt idx="7">
                  <c:v>-46.175709813720204</c:v>
                </c:pt>
                <c:pt idx="8">
                  <c:v>-79.978675472920173</c:v>
                </c:pt>
                <c:pt idx="9">
                  <c:v>-92.351419627440393</c:v>
                </c:pt>
                <c:pt idx="10">
                  <c:v>-79.978675472920187</c:v>
                </c:pt>
                <c:pt idx="11">
                  <c:v>-46.175709813720239</c:v>
                </c:pt>
                <c:pt idx="12">
                  <c:v>-2.262883981303524E-14</c:v>
                </c:pt>
              </c:numCache>
            </c:numRef>
          </c:yVal>
          <c:smooth val="0"/>
        </c:ser>
        <c:ser>
          <c:idx val="1"/>
          <c:order val="8"/>
          <c:tx>
            <c:v>SOTF</c:v>
          </c:tx>
          <c:spPr>
            <a:ln w="12700">
              <a:solidFill>
                <a:srgbClr val="FF00FF"/>
              </a:solidFill>
              <a:prstDash val="sysDash"/>
            </a:ln>
          </c:spPr>
          <c:marker>
            <c:symbol val="triang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 val="-6.3308313205602595E-2"/>
                  <c:y val="-3.1070565539713494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Characteristic!$AB$83:$AB$96</c:f>
              <c:numCache>
                <c:formatCode>0.00</c:formatCode>
                <c:ptCount val="14"/>
                <c:pt idx="0">
                  <c:v>71.689625801068246</c:v>
                </c:pt>
                <c:pt idx="1">
                  <c:v>92.351419627440393</c:v>
                </c:pt>
                <c:pt idx="2">
                  <c:v>90.948394050787101</c:v>
                </c:pt>
                <c:pt idx="3">
                  <c:v>80.37632927176746</c:v>
                </c:pt>
                <c:pt idx="4">
                  <c:v>39.029396432234769</c:v>
                </c:pt>
                <c:pt idx="5">
                  <c:v>5.6572099532588099E-15</c:v>
                </c:pt>
                <c:pt idx="6">
                  <c:v>-34.595450703758843</c:v>
                </c:pt>
                <c:pt idx="7">
                  <c:v>-71.689625801068246</c:v>
                </c:pt>
                <c:pt idx="8">
                  <c:v>-92.351419627440393</c:v>
                </c:pt>
                <c:pt idx="9">
                  <c:v>-80.37632927176746</c:v>
                </c:pt>
                <c:pt idx="10">
                  <c:v>-1.697162985977643E-14</c:v>
                </c:pt>
                <c:pt idx="11">
                  <c:v>34.595450703758836</c:v>
                </c:pt>
                <c:pt idx="12">
                  <c:v>34.595450703758836</c:v>
                </c:pt>
                <c:pt idx="13">
                  <c:v>71.689625801068246</c:v>
                </c:pt>
              </c:numCache>
            </c:numRef>
          </c:xVal>
          <c:yVal>
            <c:numRef>
              <c:f>Characteristic!$AC$83:$AC$96</c:f>
              <c:numCache>
                <c:formatCode>0.00</c:formatCode>
                <c:ptCount val="14"/>
                <c:pt idx="0">
                  <c:v>-58.218401383981622</c:v>
                </c:pt>
                <c:pt idx="1">
                  <c:v>0</c:v>
                </c:pt>
                <c:pt idx="2">
                  <c:v>16.036655723259006</c:v>
                </c:pt>
                <c:pt idx="3">
                  <c:v>45.48</c:v>
                </c:pt>
                <c:pt idx="4">
                  <c:v>83.698810752238543</c:v>
                </c:pt>
                <c:pt idx="5">
                  <c:v>92.351419627440393</c:v>
                </c:pt>
                <c:pt idx="6">
                  <c:v>85.626745224885056</c:v>
                </c:pt>
                <c:pt idx="7">
                  <c:v>58.218401383981622</c:v>
                </c:pt>
                <c:pt idx="8">
                  <c:v>1.131441990651762E-14</c:v>
                </c:pt>
                <c:pt idx="9">
                  <c:v>-45.48</c:v>
                </c:pt>
                <c:pt idx="10">
                  <c:v>-92.351419627440393</c:v>
                </c:pt>
                <c:pt idx="11">
                  <c:v>-85.626745224885056</c:v>
                </c:pt>
                <c:pt idx="12">
                  <c:v>-85.626745224885056</c:v>
                </c:pt>
                <c:pt idx="13">
                  <c:v>-58.218401383981622</c:v>
                </c:pt>
              </c:numCache>
            </c:numRef>
          </c:yVal>
          <c:smooth val="0"/>
        </c:ser>
        <c:ser>
          <c:idx val="10"/>
          <c:order val="9"/>
          <c:tx>
            <c:v>Fwd_Blinder</c:v>
          </c:tx>
          <c:spPr>
            <a:ln w="12700">
              <a:solidFill>
                <a:srgbClr val="808080"/>
              </a:solidFill>
              <a:prstDash val="lgDashDot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80808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GB"/>
                      <a:t>-22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Characteristic!$AB$110:$AB$111</c:f>
              <c:numCache>
                <c:formatCode>General</c:formatCode>
                <c:ptCount val="2"/>
                <c:pt idx="0">
                  <c:v>74.593863164402222</c:v>
                </c:pt>
                <c:pt idx="1">
                  <c:v>-74.593863164402222</c:v>
                </c:pt>
              </c:numCache>
            </c:numRef>
          </c:xVal>
          <c:yVal>
            <c:numRef>
              <c:f>Characteristic!$AC$110:$AC$111</c:f>
              <c:numCache>
                <c:formatCode>General</c:formatCode>
                <c:ptCount val="2"/>
                <c:pt idx="0">
                  <c:v>-30.137877004777557</c:v>
                </c:pt>
                <c:pt idx="1">
                  <c:v>30.137877004777575</c:v>
                </c:pt>
              </c:numCache>
            </c:numRef>
          </c:yVal>
          <c:smooth val="0"/>
        </c:ser>
        <c:ser>
          <c:idx val="11"/>
          <c:order val="10"/>
          <c:tx>
            <c:v>Rev_Blinder</c:v>
          </c:tx>
          <c:spPr>
            <a:ln w="12700">
              <a:solidFill>
                <a:srgbClr val="808080"/>
              </a:solidFill>
              <a:prstDash val="lgDashDot"/>
            </a:ln>
          </c:spPr>
          <c:marker>
            <c:symbol val="none"/>
          </c:marker>
          <c:dLbls>
            <c:dLbl>
              <c:idx val="0"/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80808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GB"/>
                      <a:t>120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Characteristic!$AB$112:$AB$113</c:f>
              <c:numCache>
                <c:formatCode>General</c:formatCode>
                <c:ptCount val="2"/>
                <c:pt idx="0">
                  <c:v>-40.226036506672692</c:v>
                </c:pt>
                <c:pt idx="1">
                  <c:v>40.22603650667272</c:v>
                </c:pt>
              </c:numCache>
            </c:numRef>
          </c:xVal>
          <c:yVal>
            <c:numRef>
              <c:f>Characteristic!$AC$112:$AC$113</c:f>
              <c:numCache>
                <c:formatCode>General</c:formatCode>
                <c:ptCount val="2"/>
                <c:pt idx="0">
                  <c:v>69.673539016677623</c:v>
                </c:pt>
                <c:pt idx="1">
                  <c:v>-69.673539016677609</c:v>
                </c:pt>
              </c:numCache>
            </c:numRef>
          </c:yVal>
          <c:smooth val="0"/>
        </c:ser>
        <c:ser>
          <c:idx val="9"/>
          <c:order val="11"/>
          <c:tx>
            <c:v>Load</c:v>
          </c:tx>
          <c:spPr>
            <a:ln w="12700">
              <a:solidFill>
                <a:srgbClr val="A6CAF0"/>
              </a:solidFill>
              <a:prstDash val="solid"/>
            </a:ln>
          </c:spPr>
          <c:marker>
            <c:symbol val="none"/>
          </c:marker>
          <c:xVal>
            <c:numRef>
              <c:f>Characteristic!$AB$115:$AB$119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Characteristic!$AC$115:$AC$119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v>Load_Rev</c:v>
          </c:tx>
          <c:spPr>
            <a:ln w="12700">
              <a:solidFill>
                <a:srgbClr val="A6CAF0"/>
              </a:solidFill>
              <a:prstDash val="solid"/>
            </a:ln>
          </c:spPr>
          <c:marker>
            <c:symbol val="none"/>
          </c:marker>
          <c:xVal>
            <c:numRef>
              <c:f>Characteristic!$AB$120:$AB$124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Characteristic!$AC$120:$AC$124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v>Max_Reach</c:v>
          </c:tx>
          <c:spPr>
            <a:ln w="12700">
              <a:solidFill>
                <a:srgbClr val="FF8080"/>
              </a:solidFill>
              <a:prstDash val="sysDash"/>
            </a:ln>
          </c:spPr>
          <c:marker>
            <c:symbol val="none"/>
          </c:marker>
          <c:xVal>
            <c:numRef>
              <c:f>Characteristic!$AB$142:$AB$166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Characteristic!$AC$142:$AC$166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v>Fault_Model</c:v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Settings!$D$68</c:f>
              <c:numCache>
                <c:formatCode>0.000</c:formatCode>
                <c:ptCount val="1"/>
                <c:pt idx="0">
                  <c:v>31.65220361163173</c:v>
                </c:pt>
              </c:numCache>
            </c:numRef>
          </c:xVal>
          <c:yVal>
            <c:numRef>
              <c:f>Settings!$E$68</c:f>
              <c:numCache>
                <c:formatCode>0.000</c:formatCode>
                <c:ptCount val="1"/>
                <c:pt idx="0">
                  <c:v>29.516157377347568</c:v>
                </c:pt>
              </c:numCache>
            </c:numRef>
          </c:yVal>
          <c:smooth val="0"/>
        </c:ser>
        <c:ser>
          <c:idx val="15"/>
          <c:order val="15"/>
          <c:tx>
            <c:v>Flt_Locator</c:v>
          </c:tx>
          <c:spPr>
            <a:ln w="12700">
              <a:solidFill>
                <a:srgbClr val="E3E3E3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Settings!$D$69</c:f>
              <c:numCache>
                <c:formatCode>0.000</c:formatCode>
                <c:ptCount val="1"/>
                <c:pt idx="0">
                  <c:v>196.359907451184</c:v>
                </c:pt>
              </c:numCache>
            </c:numRef>
          </c:xVal>
          <c:yVal>
            <c:numRef>
              <c:f>Settings!$E$69</c:f>
              <c:numCache>
                <c:formatCode>0.000</c:formatCode>
                <c:ptCount val="1"/>
                <c:pt idx="0">
                  <c:v>71.267356720939404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352960"/>
        <c:axId val="-298339904"/>
      </c:scatterChart>
      <c:valAx>
        <c:axId val="-29835296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0.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-298339904"/>
        <c:crosses val="autoZero"/>
        <c:crossBetween val="midCat"/>
      </c:valAx>
      <c:valAx>
        <c:axId val="-298339904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Phase-to-Phase</a:t>
                </a:r>
              </a:p>
            </c:rich>
          </c:tx>
          <c:layout>
            <c:manualLayout>
              <c:xMode val="edge"/>
              <c:yMode val="edge"/>
              <c:x val="5.3030303030303032E-2"/>
              <c:y val="0.35859558220656795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-29835296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6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37105115007614"/>
          <c:y val="3.3395176252319109E-2"/>
          <c:w val="0.83938892898255346"/>
          <c:h val="0.86456400742115025"/>
        </c:manualLayout>
      </c:layout>
      <c:scatterChart>
        <c:scatterStyle val="lineMarker"/>
        <c:varyColors val="0"/>
        <c:ser>
          <c:idx val="0"/>
          <c:order val="0"/>
          <c:tx>
            <c:v>Z1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5.4372314943072157E-3"/>
                  <c:y val="-2.889379087354338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Characteristic!$AF$5:$AF$15</c:f>
              <c:numCache>
                <c:formatCode>0.00</c:formatCode>
                <c:ptCount val="11"/>
                <c:pt idx="0">
                  <c:v>59.730555052682575</c:v>
                </c:pt>
                <c:pt idx="1">
                  <c:v>72.765666651719528</c:v>
                </c:pt>
                <c:pt idx="2">
                  <c:v>76.756100000000018</c:v>
                </c:pt>
                <c:pt idx="3">
                  <c:v>78.221727427315116</c:v>
                </c:pt>
                <c:pt idx="4">
                  <c:v>79.759674107825902</c:v>
                </c:pt>
                <c:pt idx="5">
                  <c:v>80.737570149832692</c:v>
                </c:pt>
                <c:pt idx="6">
                  <c:v>70.063703905407891</c:v>
                </c:pt>
                <c:pt idx="7">
                  <c:v>12.059708714356647</c:v>
                </c:pt>
                <c:pt idx="8">
                  <c:v>9.1227616823633125E-16</c:v>
                </c:pt>
                <c:pt idx="9">
                  <c:v>9.1227616823633125E-16</c:v>
                </c:pt>
                <c:pt idx="10">
                  <c:v>-5.4204267138094187</c:v>
                </c:pt>
              </c:numCache>
            </c:numRef>
          </c:xVal>
          <c:yVal>
            <c:numRef>
              <c:f>Characteristic!$AG$5:$AG$15</c:f>
              <c:numCache>
                <c:formatCode>0.00</c:formatCode>
                <c:ptCount val="11"/>
                <c:pt idx="0">
                  <c:v>-14.892500000000002</c:v>
                </c:pt>
                <c:pt idx="1">
                  <c:v>-14.892500000000002</c:v>
                </c:pt>
                <c:pt idx="2">
                  <c:v>0</c:v>
                </c:pt>
                <c:pt idx="3">
                  <c:v>5.4697960237063947</c:v>
                </c:pt>
                <c:pt idx="4">
                  <c:v>11.209491174704569</c:v>
                </c:pt>
                <c:pt idx="5">
                  <c:v>14.859048887994422</c:v>
                </c:pt>
                <c:pt idx="6">
                  <c:v>14.892500000000002</c:v>
                </c:pt>
                <c:pt idx="7">
                  <c:v>14.892500000000002</c:v>
                </c:pt>
                <c:pt idx="8">
                  <c:v>14.892500000000002</c:v>
                </c:pt>
                <c:pt idx="9">
                  <c:v>14.892500000000002</c:v>
                </c:pt>
                <c:pt idx="10">
                  <c:v>14.892500000000002</c:v>
                </c:pt>
              </c:numCache>
            </c:numRef>
          </c:yVal>
          <c:smooth val="0"/>
        </c:ser>
        <c:ser>
          <c:idx val="3"/>
          <c:order val="1"/>
          <c:tx>
            <c:v>Z1B</c:v>
          </c:tx>
          <c:spPr>
            <a:ln w="12700">
              <a:solidFill>
                <a:srgbClr val="000000"/>
              </a:solidFill>
              <a:prstDash val="sysDash"/>
            </a:ln>
          </c:spPr>
          <c:marker>
            <c:symbol val="triangle"/>
            <c:size val="3"/>
            <c:spPr>
              <a:solidFill>
                <a:srgbClr val="00000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dLbl>
              <c:idx val="6"/>
              <c:layout>
                <c:manualLayout>
                  <c:x val="-6.549928224677779E-3"/>
                  <c:y val="-1.608578148510653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Characteristic!$AF$16:$AF$26</c:f>
              <c:numCache>
                <c:formatCode>0.00</c:formatCode>
                <c:ptCount val="11"/>
                <c:pt idx="0">
                  <c:v>112.48636206194631</c:v>
                </c:pt>
                <c:pt idx="1">
                  <c:v>146.01659694907676</c:v>
                </c:pt>
                <c:pt idx="2">
                  <c:v>153.53149999999999</c:v>
                </c:pt>
                <c:pt idx="3">
                  <c:v>156.46312338051081</c:v>
                </c:pt>
                <c:pt idx="4">
                  <c:v>159.53940345178648</c:v>
                </c:pt>
                <c:pt idx="5">
                  <c:v>161.04640305092326</c:v>
                </c:pt>
                <c:pt idx="6">
                  <c:v>131.94605605043273</c:v>
                </c:pt>
                <c:pt idx="7">
                  <c:v>22.711202994987175</c:v>
                </c:pt>
                <c:pt idx="8">
                  <c:v>1.718025678318358E-15</c:v>
                </c:pt>
                <c:pt idx="9">
                  <c:v>1.718025678318358E-15</c:v>
                </c:pt>
                <c:pt idx="10">
                  <c:v>-10.207909190229911</c:v>
                </c:pt>
              </c:numCache>
            </c:numRef>
          </c:xVal>
          <c:yVal>
            <c:numRef>
              <c:f>Characteristic!$AG$16:$AG$26</c:f>
              <c:numCache>
                <c:formatCode>0.00</c:formatCode>
                <c:ptCount val="11"/>
                <c:pt idx="0">
                  <c:v>-28.046000000000003</c:v>
                </c:pt>
                <c:pt idx="1">
                  <c:v>-28.046000000000003</c:v>
                </c:pt>
                <c:pt idx="2">
                  <c:v>0</c:v>
                </c:pt>
                <c:pt idx="3">
                  <c:v>10.940967404723247</c:v>
                </c:pt>
                <c:pt idx="4">
                  <c:v>22.421800929035662</c:v>
                </c:pt>
                <c:pt idx="5">
                  <c:v>28.045999999999999</c:v>
                </c:pt>
                <c:pt idx="6">
                  <c:v>28.046000000000003</c:v>
                </c:pt>
                <c:pt idx="7">
                  <c:v>28.046000000000006</c:v>
                </c:pt>
                <c:pt idx="8">
                  <c:v>28.046000000000003</c:v>
                </c:pt>
                <c:pt idx="9">
                  <c:v>28.046000000000003</c:v>
                </c:pt>
                <c:pt idx="10">
                  <c:v>28.046000000000003</c:v>
                </c:pt>
              </c:numCache>
            </c:numRef>
          </c:yVal>
          <c:smooth val="0"/>
        </c:ser>
        <c:ser>
          <c:idx val="4"/>
          <c:order val="2"/>
          <c:tx>
            <c:v>Z2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96969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3.0284359368254441E-2"/>
                  <c:y val="-2.1470498005931045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8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Characteristic!$AF$27:$AF$37</c:f>
              <c:numCache>
                <c:formatCode>0.00</c:formatCode>
                <c:ptCount val="11"/>
                <c:pt idx="0">
                  <c:v>90.22652788082236</c:v>
                </c:pt>
                <c:pt idx="1">
                  <c:v>114.59721496706948</c:v>
                </c:pt>
                <c:pt idx="2">
                  <c:v>120.62500000000001</c:v>
                </c:pt>
                <c:pt idx="3">
                  <c:v>122.92828675401546</c:v>
                </c:pt>
                <c:pt idx="4">
                  <c:v>125.34522584206988</c:v>
                </c:pt>
                <c:pt idx="5">
                  <c:v>126.65278503293054</c:v>
                </c:pt>
                <c:pt idx="6">
                  <c:v>105.83535894282733</c:v>
                </c:pt>
                <c:pt idx="7">
                  <c:v>18.216901610754881</c:v>
                </c:pt>
                <c:pt idx="8">
                  <c:v>1.378046982081216E-15</c:v>
                </c:pt>
                <c:pt idx="9">
                  <c:v>1.378046982081216E-15</c:v>
                </c:pt>
                <c:pt idx="10">
                  <c:v>-8.1878743900524888</c:v>
                </c:pt>
              </c:numCache>
            </c:numRef>
          </c:xVal>
          <c:yVal>
            <c:numRef>
              <c:f>Characteristic!$AG$27:$AG$37</c:f>
              <c:numCache>
                <c:formatCode>0.00</c:formatCode>
                <c:ptCount val="11"/>
                <c:pt idx="0">
                  <c:v>-22.496000000000002</c:v>
                </c:pt>
                <c:pt idx="1">
                  <c:v>-22.496000000000002</c:v>
                </c:pt>
                <c:pt idx="2">
                  <c:v>0</c:v>
                </c:pt>
                <c:pt idx="3">
                  <c:v>8.5959831903859616</c:v>
                </c:pt>
                <c:pt idx="4">
                  <c:v>17.616122665804266</c:v>
                </c:pt>
                <c:pt idx="5">
                  <c:v>22.496000000000006</c:v>
                </c:pt>
                <c:pt idx="6">
                  <c:v>22.496000000000002</c:v>
                </c:pt>
                <c:pt idx="7">
                  <c:v>22.496000000000002</c:v>
                </c:pt>
                <c:pt idx="8">
                  <c:v>22.496000000000002</c:v>
                </c:pt>
                <c:pt idx="9">
                  <c:v>22.496000000000002</c:v>
                </c:pt>
                <c:pt idx="10">
                  <c:v>22.496000000000002</c:v>
                </c:pt>
              </c:numCache>
            </c:numRef>
          </c:yVal>
          <c:smooth val="0"/>
        </c:ser>
        <c:ser>
          <c:idx val="5"/>
          <c:order val="3"/>
          <c:tx>
            <c:v>Z3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00FF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2.5474037865667796E-2"/>
                  <c:y val="1.9068071036574909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Characteristic!$AF$38:$AF$48</c:f>
              <c:numCache>
                <c:formatCode>0.00</c:formatCode>
                <c:ptCount val="11"/>
                <c:pt idx="0">
                  <c:v>-6.900548596148421</c:v>
                </c:pt>
                <c:pt idx="1">
                  <c:v>-8.3204934144222449</c:v>
                </c:pt>
                <c:pt idx="2">
                  <c:v>-8.7815000000000012</c:v>
                </c:pt>
                <c:pt idx="3">
                  <c:v>-8.9706741028361066</c:v>
                </c:pt>
                <c:pt idx="4">
                  <c:v>-9.1706949666757538</c:v>
                </c:pt>
                <c:pt idx="5">
                  <c:v>-9.2425065855777504</c:v>
                </c:pt>
                <c:pt idx="6">
                  <c:v>-7.4523042417058907</c:v>
                </c:pt>
                <c:pt idx="7">
                  <c:v>-1.3685474946269995</c:v>
                </c:pt>
                <c:pt idx="8">
                  <c:v>-3.1618018750054215E-16</c:v>
                </c:pt>
                <c:pt idx="9">
                  <c:v>-3.1618018750054215E-16</c:v>
                </c:pt>
                <c:pt idx="10">
                  <c:v>0.62621078805500174</c:v>
                </c:pt>
              </c:numCache>
            </c:numRef>
          </c:xVal>
          <c:yVal>
            <c:numRef>
              <c:f>Characteristic!$AG$38:$AG$48</c:f>
              <c:numCache>
                <c:formatCode>0.00</c:formatCode>
                <c:ptCount val="11"/>
                <c:pt idx="0">
                  <c:v>1.7205000000000001</c:v>
                </c:pt>
                <c:pt idx="1">
                  <c:v>1.7204999999999999</c:v>
                </c:pt>
                <c:pt idx="2">
                  <c:v>1.0758641156780048E-15</c:v>
                </c:pt>
                <c:pt idx="3">
                  <c:v>-0.7060073632606032</c:v>
                </c:pt>
                <c:pt idx="4">
                  <c:v>-1.4524953896839798</c:v>
                </c:pt>
                <c:pt idx="5">
                  <c:v>-1.7205000000000004</c:v>
                </c:pt>
                <c:pt idx="6">
                  <c:v>-1.7205000000000001</c:v>
                </c:pt>
                <c:pt idx="7">
                  <c:v>-1.7205000000000001</c:v>
                </c:pt>
                <c:pt idx="8">
                  <c:v>-1.7205000000000001</c:v>
                </c:pt>
                <c:pt idx="9">
                  <c:v>-1.7205000000000001</c:v>
                </c:pt>
                <c:pt idx="10">
                  <c:v>-1.7205000000000001</c:v>
                </c:pt>
              </c:numCache>
            </c:numRef>
          </c:yVal>
          <c:smooth val="0"/>
        </c:ser>
        <c:ser>
          <c:idx val="6"/>
          <c:order val="4"/>
          <c:tx>
            <c:v>Z4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008000"/>
              </a:solidFill>
              <a:ln>
                <a:solidFill>
                  <a:srgbClr val="339933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3.3474795183483688E-2"/>
                  <c:y val="-2.003048320258667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8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Characteristic!$AF$49:$AF$59</c:f>
              <c:numCache>
                <c:formatCode>0.00</c:formatCode>
                <c:ptCount val="11"/>
                <c:pt idx="0">
                  <c:v>164.46860680415298</c:v>
                </c:pt>
                <c:pt idx="1">
                  <c:v>164.46860680415298</c:v>
                </c:pt>
                <c:pt idx="2">
                  <c:v>175.4563</c:v>
                </c:pt>
                <c:pt idx="3">
                  <c:v>180.10306214928426</c:v>
                </c:pt>
                <c:pt idx="4">
                  <c:v>185.0968953718089</c:v>
                </c:pt>
                <c:pt idx="5">
                  <c:v>186.80796753734455</c:v>
                </c:pt>
                <c:pt idx="6">
                  <c:v>158.10833246265551</c:v>
                </c:pt>
                <c:pt idx="7">
                  <c:v>32.507807845728657</c:v>
                </c:pt>
                <c:pt idx="8">
                  <c:v>2.5951707146101846E-15</c:v>
                </c:pt>
                <c:pt idx="9">
                  <c:v>2.5951707146101846E-15</c:v>
                </c:pt>
                <c:pt idx="10">
                  <c:v>-15.419598974687661</c:v>
                </c:pt>
              </c:numCache>
            </c:numRef>
          </c:xVal>
          <c:yVal>
            <c:numRef>
              <c:f>Characteristic!$AG$49:$AG$59</c:f>
              <c:numCache>
                <c:formatCode>0.00</c:formatCode>
                <c:ptCount val="11"/>
                <c:pt idx="0">
                  <c:v>-41.006629264879827</c:v>
                </c:pt>
                <c:pt idx="1">
                  <c:v>-41.006629264879827</c:v>
                </c:pt>
                <c:pt idx="2">
                  <c:v>0</c:v>
                </c:pt>
                <c:pt idx="3">
                  <c:v>17.341952431816722</c:v>
                </c:pt>
                <c:pt idx="4">
                  <c:v>35.97919174280414</c:v>
                </c:pt>
                <c:pt idx="5">
                  <c:v>42.365000000000009</c:v>
                </c:pt>
                <c:pt idx="6">
                  <c:v>42.365000000000002</c:v>
                </c:pt>
                <c:pt idx="7">
                  <c:v>42.365000000000002</c:v>
                </c:pt>
                <c:pt idx="8">
                  <c:v>42.365000000000002</c:v>
                </c:pt>
                <c:pt idx="9">
                  <c:v>42.365000000000002</c:v>
                </c:pt>
                <c:pt idx="10">
                  <c:v>42.365000000000002</c:v>
                </c:pt>
              </c:numCache>
            </c:numRef>
          </c:yVal>
          <c:smooth val="0"/>
        </c:ser>
        <c:ser>
          <c:idx val="7"/>
          <c:order val="5"/>
          <c:tx>
            <c:v>Z5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969696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dLbls>
            <c:dLbl>
              <c:idx val="4"/>
              <c:layout>
                <c:manualLayout>
                  <c:x val="-1.9376772195282551E-2"/>
                  <c:y val="2.7558373385145041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80808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Characteristic!$AF$60:$AF$70</c:f>
              <c:numCache>
                <c:formatCode>0.00</c:formatCode>
                <c:ptCount val="11"/>
                <c:pt idx="0">
                  <c:v>-51.397570336662504</c:v>
                </c:pt>
                <c:pt idx="1">
                  <c:v>-51.397570336662504</c:v>
                </c:pt>
                <c:pt idx="2">
                  <c:v>-54.831300000000006</c:v>
                </c:pt>
                <c:pt idx="3">
                  <c:v>-59.723899085099326</c:v>
                </c:pt>
                <c:pt idx="4">
                  <c:v>-66.927348172977204</c:v>
                </c:pt>
                <c:pt idx="5">
                  <c:v>-68.111263900675098</c:v>
                </c:pt>
                <c:pt idx="6">
                  <c:v>-63.435827203937293</c:v>
                </c:pt>
                <c:pt idx="7">
                  <c:v>-24.172758688206965</c:v>
                </c:pt>
                <c:pt idx="8">
                  <c:v>-9.1080292721930364E-15</c:v>
                </c:pt>
                <c:pt idx="9">
                  <c:v>-9.1080292721930364E-15</c:v>
                </c:pt>
                <c:pt idx="10">
                  <c:v>18.038910765584404</c:v>
                </c:pt>
              </c:numCache>
            </c:numRef>
          </c:xVal>
          <c:yVal>
            <c:numRef>
              <c:f>Characteristic!$AG$60:$AG$70</c:f>
              <c:numCache>
                <c:formatCode>0.00</c:formatCode>
                <c:ptCount val="11"/>
                <c:pt idx="0">
                  <c:v>12.814853563031969</c:v>
                </c:pt>
                <c:pt idx="1">
                  <c:v>12.814853563031969</c:v>
                </c:pt>
                <c:pt idx="2">
                  <c:v>6.7176482475631023E-15</c:v>
                </c:pt>
                <c:pt idx="3">
                  <c:v>-18.259428366655683</c:v>
                </c:pt>
                <c:pt idx="4">
                  <c:v>-45.143066352351525</c:v>
                </c:pt>
                <c:pt idx="5">
                  <c:v>-49.561500000000002</c:v>
                </c:pt>
                <c:pt idx="6">
                  <c:v>-49.561500000000002</c:v>
                </c:pt>
                <c:pt idx="7">
                  <c:v>-49.561500000000002</c:v>
                </c:pt>
                <c:pt idx="8">
                  <c:v>-49.561500000000002</c:v>
                </c:pt>
                <c:pt idx="9">
                  <c:v>-49.561500000000002</c:v>
                </c:pt>
                <c:pt idx="10">
                  <c:v>-49.561500000000002</c:v>
                </c:pt>
              </c:numCache>
            </c:numRef>
          </c:yVal>
          <c:smooth val="0"/>
        </c:ser>
        <c:ser>
          <c:idx val="2"/>
          <c:order val="6"/>
          <c:tx>
            <c:v>PTT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7"/>
            <c:bubble3D val="0"/>
            <c:spPr>
              <a:ln w="28575">
                <a:noFill/>
              </a:ln>
            </c:spPr>
          </c:dPt>
          <c:dLbls>
            <c:dLbl>
              <c:idx val="5"/>
              <c:layout>
                <c:manualLayout>
                  <c:x val="-6.6460752970077697E-2"/>
                  <c:y val="-4.954056067666863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Characteristic!$AF$71:$AF$81</c:f>
              <c:numCache>
                <c:formatCode>0.00</c:formatCode>
                <c:ptCount val="11"/>
                <c:pt idx="0">
                  <c:v>112.48636206194631</c:v>
                </c:pt>
                <c:pt idx="1">
                  <c:v>153.53149999999999</c:v>
                </c:pt>
                <c:pt idx="2">
                  <c:v>156.46312338051081</c:v>
                </c:pt>
                <c:pt idx="3">
                  <c:v>159.53940345178648</c:v>
                </c:pt>
                <c:pt idx="4">
                  <c:v>161.04640305092326</c:v>
                </c:pt>
                <c:pt idx="5">
                  <c:v>131.94605605043273</c:v>
                </c:pt>
                <c:pt idx="6">
                  <c:v>22.711202994987175</c:v>
                </c:pt>
                <c:pt idx="7">
                  <c:v>1.718025678318358E-15</c:v>
                </c:pt>
                <c:pt idx="8">
                  <c:v>-10.207909190229911</c:v>
                </c:pt>
                <c:pt idx="9">
                  <c:v>-10.207909190229911</c:v>
                </c:pt>
                <c:pt idx="10">
                  <c:v>-10.207909190229911</c:v>
                </c:pt>
              </c:numCache>
            </c:numRef>
          </c:xVal>
          <c:yVal>
            <c:numRef>
              <c:f>Characteristic!$AG$71:$AG$81</c:f>
              <c:numCache>
                <c:formatCode>0.00</c:formatCode>
                <c:ptCount val="11"/>
                <c:pt idx="0">
                  <c:v>-28.046000000000003</c:v>
                </c:pt>
                <c:pt idx="1">
                  <c:v>0</c:v>
                </c:pt>
                <c:pt idx="2">
                  <c:v>10.940967404723247</c:v>
                </c:pt>
                <c:pt idx="3">
                  <c:v>22.421800929035662</c:v>
                </c:pt>
                <c:pt idx="4">
                  <c:v>28.045999999999999</c:v>
                </c:pt>
                <c:pt idx="5">
                  <c:v>28.046000000000003</c:v>
                </c:pt>
                <c:pt idx="6">
                  <c:v>28.046000000000006</c:v>
                </c:pt>
                <c:pt idx="7">
                  <c:v>28.046000000000003</c:v>
                </c:pt>
                <c:pt idx="8">
                  <c:v>28.046000000000003</c:v>
                </c:pt>
                <c:pt idx="9">
                  <c:v>28.046000000000003</c:v>
                </c:pt>
                <c:pt idx="10">
                  <c:v>28.046000000000003</c:v>
                </c:pt>
              </c:numCache>
            </c:numRef>
          </c:yVal>
          <c:smooth val="0"/>
        </c:ser>
        <c:ser>
          <c:idx val="8"/>
          <c:order val="7"/>
          <c:tx>
            <c:v>SOTF_Isc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xVal>
            <c:numRef>
              <c:f>Characteristic!$AF$96:$AF$108</c:f>
              <c:numCache>
                <c:formatCode>0.00</c:formatCode>
                <c:ptCount val="13"/>
                <c:pt idx="0">
                  <c:v>146.01659694907673</c:v>
                </c:pt>
              </c:numCache>
            </c:numRef>
          </c:xVal>
          <c:yVal>
            <c:numRef>
              <c:f>Characteristic!$AG$96:$AG$108</c:f>
              <c:numCache>
                <c:formatCode>0.00</c:formatCode>
                <c:ptCount val="13"/>
                <c:pt idx="0">
                  <c:v>-28.045999999999999</c:v>
                </c:pt>
              </c:numCache>
            </c:numRef>
          </c:yVal>
          <c:smooth val="0"/>
        </c:ser>
        <c:ser>
          <c:idx val="1"/>
          <c:order val="8"/>
          <c:tx>
            <c:v>SOTF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triangle"/>
            <c:size val="3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dLbls>
            <c:dLbl>
              <c:idx val="3"/>
              <c:layout>
                <c:manualLayout>
                  <c:x val="-6.3223606299191173E-2"/>
                  <c:y val="-3.092808204169284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0" i="0" u="none" strike="noStrike" baseline="0">
                      <a:solidFill>
                        <a:srgbClr val="FF00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Characteristic!$AF$83:$AF$96</c:f>
              <c:numCache>
                <c:formatCode>0.00</c:formatCode>
                <c:ptCount val="14"/>
                <c:pt idx="0">
                  <c:v>146.01659694907673</c:v>
                </c:pt>
                <c:pt idx="1">
                  <c:v>153.53149999999999</c:v>
                </c:pt>
                <c:pt idx="2">
                  <c:v>159.53940345178648</c:v>
                </c:pt>
                <c:pt idx="3">
                  <c:v>161.04640305092326</c:v>
                </c:pt>
                <c:pt idx="4">
                  <c:v>131.94605605043273</c:v>
                </c:pt>
                <c:pt idx="5">
                  <c:v>1.718025678318358E-15</c:v>
                </c:pt>
                <c:pt idx="6">
                  <c:v>-10.207909190229911</c:v>
                </c:pt>
                <c:pt idx="7">
                  <c:v>-146.0165969490767</c:v>
                </c:pt>
                <c:pt idx="8">
                  <c:v>-153.53149999999999</c:v>
                </c:pt>
                <c:pt idx="9">
                  <c:v>-161.04640305092326</c:v>
                </c:pt>
                <c:pt idx="10">
                  <c:v>-5.1540770349550744E-15</c:v>
                </c:pt>
                <c:pt idx="11">
                  <c:v>10.20790919022992</c:v>
                </c:pt>
                <c:pt idx="12">
                  <c:v>10.20790919022992</c:v>
                </c:pt>
                <c:pt idx="13">
                  <c:v>146.01659694907673</c:v>
                </c:pt>
              </c:numCache>
            </c:numRef>
          </c:xVal>
          <c:yVal>
            <c:numRef>
              <c:f>Characteristic!$AG$83:$AG$96</c:f>
              <c:numCache>
                <c:formatCode>0.00</c:formatCode>
                <c:ptCount val="14"/>
                <c:pt idx="0">
                  <c:v>-28.045999999999999</c:v>
                </c:pt>
                <c:pt idx="1">
                  <c:v>0</c:v>
                </c:pt>
                <c:pt idx="2">
                  <c:v>22.421800929035662</c:v>
                </c:pt>
                <c:pt idx="3">
                  <c:v>28.045999999999999</c:v>
                </c:pt>
                <c:pt idx="4">
                  <c:v>28.046000000000003</c:v>
                </c:pt>
                <c:pt idx="5">
                  <c:v>28.046000000000003</c:v>
                </c:pt>
                <c:pt idx="6">
                  <c:v>28.046000000000003</c:v>
                </c:pt>
                <c:pt idx="7">
                  <c:v>28.046000000000028</c:v>
                </c:pt>
                <c:pt idx="8">
                  <c:v>1.8809888000480279E-14</c:v>
                </c:pt>
                <c:pt idx="9">
                  <c:v>-28.045999999999939</c:v>
                </c:pt>
                <c:pt idx="10">
                  <c:v>-28.046000000000003</c:v>
                </c:pt>
                <c:pt idx="11">
                  <c:v>-28.045999999999999</c:v>
                </c:pt>
                <c:pt idx="12">
                  <c:v>-28.045999999999999</c:v>
                </c:pt>
                <c:pt idx="13">
                  <c:v>-28.045999999999999</c:v>
                </c:pt>
              </c:numCache>
            </c:numRef>
          </c:yVal>
          <c:smooth val="0"/>
        </c:ser>
        <c:ser>
          <c:idx val="10"/>
          <c:order val="9"/>
          <c:tx>
            <c:v>Fwd_Blinder</c:v>
          </c:tx>
          <c:spPr>
            <a:ln w="12700">
              <a:solidFill>
                <a:srgbClr val="808080"/>
              </a:solidFill>
              <a:prstDash val="lgDashDot"/>
            </a:ln>
          </c:spPr>
          <c:marker>
            <c:symbol val="none"/>
          </c:marker>
          <c:xVal>
            <c:numRef>
              <c:f>Characteristic!$AF$109:$AF$110</c:f>
              <c:numCache>
                <c:formatCode>General</c:formatCode>
                <c:ptCount val="2"/>
                <c:pt idx="0">
                  <c:v>155.88479826455617</c:v>
                </c:pt>
                <c:pt idx="1">
                  <c:v>-155.88479826455617</c:v>
                </c:pt>
              </c:numCache>
            </c:numRef>
          </c:xVal>
          <c:yVal>
            <c:numRef>
              <c:f>Characteristic!$AG$109:$AG$110</c:f>
              <c:numCache>
                <c:formatCode>General</c:formatCode>
                <c:ptCount val="2"/>
                <c:pt idx="0">
                  <c:v>-62.981546707903426</c:v>
                </c:pt>
                <c:pt idx="1">
                  <c:v>62.981546707903469</c:v>
                </c:pt>
              </c:numCache>
            </c:numRef>
          </c:yVal>
          <c:smooth val="0"/>
        </c:ser>
        <c:ser>
          <c:idx val="11"/>
          <c:order val="10"/>
          <c:tx>
            <c:v>Rev_Blinder</c:v>
          </c:tx>
          <c:spPr>
            <a:ln w="12700">
              <a:solidFill>
                <a:srgbClr val="808080"/>
              </a:solidFill>
              <a:prstDash val="lgDashDot"/>
            </a:ln>
          </c:spPr>
          <c:marker>
            <c:symbol val="none"/>
          </c:marker>
          <c:xVal>
            <c:numRef>
              <c:f>Characteristic!$AF$111:$AF$112</c:f>
              <c:numCache>
                <c:formatCode>General</c:formatCode>
                <c:ptCount val="2"/>
                <c:pt idx="0">
                  <c:v>78.930925614551725</c:v>
                </c:pt>
                <c:pt idx="1">
                  <c:v>-78.930925614551811</c:v>
                </c:pt>
              </c:numCache>
            </c:numRef>
          </c:xVal>
          <c:yVal>
            <c:numRef>
              <c:f>Characteristic!$AG$111:$AG$112</c:f>
              <c:numCache>
                <c:formatCode>General</c:formatCode>
                <c:ptCount val="2"/>
                <c:pt idx="0">
                  <c:v>-148.44748073757026</c:v>
                </c:pt>
                <c:pt idx="1">
                  <c:v>148.44748073757023</c:v>
                </c:pt>
              </c:numCache>
            </c:numRef>
          </c:yVal>
          <c:smooth val="0"/>
        </c:ser>
        <c:ser>
          <c:idx val="9"/>
          <c:order val="11"/>
          <c:tx>
            <c:v>Load</c:v>
          </c:tx>
          <c:spPr>
            <a:ln w="12700">
              <a:solidFill>
                <a:srgbClr val="A6CAF0"/>
              </a:solidFill>
              <a:prstDash val="solid"/>
            </a:ln>
          </c:spPr>
          <c:marker>
            <c:symbol val="none"/>
          </c:marker>
          <c:xVal>
            <c:numRef>
              <c:f>Characteristic!$AF$115:$AF$119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Characteristic!$AG$115:$AG$119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2"/>
          <c:order val="12"/>
          <c:tx>
            <c:v>Load_Rev</c:v>
          </c:tx>
          <c:spPr>
            <a:ln w="12700">
              <a:solidFill>
                <a:srgbClr val="A6CAF0"/>
              </a:solidFill>
              <a:prstDash val="solid"/>
            </a:ln>
          </c:spPr>
          <c:marker>
            <c:symbol val="none"/>
          </c:marker>
          <c:xVal>
            <c:numRef>
              <c:f>Characteristic!$AF$120:$AF$124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Characteristic!$AG$120:$AG$124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13"/>
          <c:order val="13"/>
          <c:tx>
            <c:v>Max_Ze</c:v>
          </c:tx>
          <c:spPr>
            <a:ln w="12700">
              <a:solidFill>
                <a:srgbClr val="FF8080"/>
              </a:solidFill>
              <a:prstDash val="sysDash"/>
            </a:ln>
          </c:spPr>
          <c:marker>
            <c:symbol val="none"/>
          </c:marker>
          <c:xVal>
            <c:numRef>
              <c:f>Characteristic!$AF$142:$AF$166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Characteristic!$AG$142:$AG$166</c:f>
              <c:numCache>
                <c:formatCode>0.00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</c:ser>
        <c:ser>
          <c:idx val="14"/>
          <c:order val="14"/>
          <c:tx>
            <c:v>Fault_Model</c:v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Settings!$J$66</c:f>
              <c:numCache>
                <c:formatCode>0.000</c:formatCode>
                <c:ptCount val="1"/>
                <c:pt idx="0">
                  <c:v>76.699696717483647</c:v>
                </c:pt>
              </c:numCache>
            </c:numRef>
          </c:xVal>
          <c:yVal>
            <c:numRef>
              <c:f>Settings!$K$66</c:f>
              <c:numCache>
                <c:formatCode>0.000</c:formatCode>
                <c:ptCount val="1"/>
                <c:pt idx="0">
                  <c:v>37.408941622234799</c:v>
                </c:pt>
              </c:numCache>
            </c:numRef>
          </c:yVal>
          <c:smooth val="0"/>
        </c:ser>
        <c:ser>
          <c:idx val="15"/>
          <c:order val="15"/>
          <c:tx>
            <c:v>Flt_locator</c:v>
          </c:tx>
          <c:spPr>
            <a:ln w="12700">
              <a:solidFill>
                <a:srgbClr val="E3E3E3"/>
              </a:solidFill>
              <a:prstDash val="solid"/>
            </a:ln>
          </c:spPr>
          <c:marker>
            <c:symbol val="star"/>
            <c:size val="5"/>
            <c:spPr>
              <a:solidFill>
                <a:srgbClr val="FF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Settings!$J$67</c:f>
              <c:numCache>
                <c:formatCode>0.000</c:formatCode>
                <c:ptCount val="1"/>
                <c:pt idx="0">
                  <c:v>0</c:v>
                </c:pt>
              </c:numCache>
            </c:numRef>
          </c:xVal>
          <c:yVal>
            <c:numRef>
              <c:f>Settings!$K$67</c:f>
              <c:numCache>
                <c:formatCode>0.000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342080"/>
        <c:axId val="-298352416"/>
      </c:scatterChart>
      <c:valAx>
        <c:axId val="-298342080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0.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-298352416"/>
        <c:crosses val="autoZero"/>
        <c:crossBetween val="midCat"/>
      </c:valAx>
      <c:valAx>
        <c:axId val="-298352416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Phase-to-Earth</a:t>
                </a:r>
              </a:p>
            </c:rich>
          </c:tx>
          <c:layout>
            <c:manualLayout>
              <c:xMode val="edge"/>
              <c:yMode val="edge"/>
              <c:x val="4.780114722753346E-2"/>
              <c:y val="0.365491651205936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-29834208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73572938689217"/>
          <c:y val="8.1168831168831168E-2"/>
          <c:w val="0.82875264270613103"/>
          <c:h val="0.7142857142857143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'7SD522'!$H$31:$H$32</c:f>
              <c:numCache>
                <c:formatCode>General</c:formatCode>
                <c:ptCount val="2"/>
                <c:pt idx="0">
                  <c:v>0.2</c:v>
                </c:pt>
                <c:pt idx="1">
                  <c:v>9.52</c:v>
                </c:pt>
              </c:numCache>
            </c:numRef>
          </c:xVal>
          <c:yVal>
            <c:numRef>
              <c:f>'7SD522'!$I$31:$I$32</c:f>
              <c:numCache>
                <c:formatCode>General</c:formatCode>
                <c:ptCount val="2"/>
                <c:pt idx="0">
                  <c:v>0.2</c:v>
                </c:pt>
                <c:pt idx="1">
                  <c:v>9.52</c:v>
                </c:pt>
              </c:numCache>
            </c:numRef>
          </c:yVal>
          <c:smooth val="0"/>
        </c:ser>
        <c:ser>
          <c:idx val="1"/>
          <c:order val="1"/>
          <c:tx>
            <c:v>Diff</c:v>
          </c:tx>
          <c:spPr>
            <a:ln w="28575">
              <a:noFill/>
            </a:ln>
          </c:spPr>
          <c:marker>
            <c:symbol val="star"/>
            <c:size val="8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'7SD522'!$H$35</c:f>
              <c:numCache>
                <c:formatCode>0.000</c:formatCode>
                <c:ptCount val="1"/>
                <c:pt idx="0">
                  <c:v>0.2</c:v>
                </c:pt>
              </c:numCache>
            </c:numRef>
          </c:xVal>
          <c:yVal>
            <c:numRef>
              <c:f>'7SD522'!$I$35</c:f>
              <c:numCache>
                <c:formatCode>0.000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2"/>
          <c:order val="2"/>
          <c:spPr>
            <a:ln w="12700">
              <a:solidFill>
                <a:srgbClr val="969696"/>
              </a:solidFill>
              <a:prstDash val="lgDashDot"/>
            </a:ln>
          </c:spPr>
          <c:marker>
            <c:symbol val="none"/>
          </c:marker>
          <c:dLbls>
            <c:dLbl>
              <c:idx val="1"/>
              <c:layout>
                <c:manualLayout>
                  <c:x val="-0.63393939393939391"/>
                  <c:y val="-3.6590653441047151E-2"/>
                </c:manualLayout>
              </c:layout>
              <c:tx>
                <c:rich>
                  <a:bodyPr/>
                  <a:lstStyle/>
                  <a:p>
                    <a:pPr>
                      <a:defRPr sz="8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en-GB"/>
                      <a:t>DIFF&gt;&gt;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'7SD522'!$H$33:$H$34</c:f>
              <c:numCache>
                <c:formatCode>General</c:formatCode>
                <c:ptCount val="2"/>
                <c:pt idx="0">
                  <c:v>0.2</c:v>
                </c:pt>
                <c:pt idx="1">
                  <c:v>9.52</c:v>
                </c:pt>
              </c:numCache>
            </c:numRef>
          </c:xVal>
          <c:yVal>
            <c:numRef>
              <c:f>'7SD522'!$I$33:$I$34</c:f>
              <c:numCache>
                <c:formatCode>General</c:formatCode>
                <c:ptCount val="2"/>
                <c:pt idx="0">
                  <c:v>6.8</c:v>
                </c:pt>
                <c:pt idx="1">
                  <c:v>6.8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plus"/>
            <c:size val="4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'7SD522'!$J$32:$J$38</c:f>
              <c:numCache>
                <c:formatCode>0.000</c:formatCode>
                <c:ptCount val="7"/>
                <c:pt idx="0">
                  <c:v>0.254</c:v>
                </c:pt>
                <c:pt idx="1">
                  <c:v>0.38450000000000006</c:v>
                </c:pt>
                <c:pt idx="2">
                  <c:v>0.51500000000000012</c:v>
                </c:pt>
                <c:pt idx="3">
                  <c:v>0.83000000000000018</c:v>
                </c:pt>
                <c:pt idx="4">
                  <c:v>1.4600000000000002</c:v>
                </c:pt>
                <c:pt idx="5">
                  <c:v>2.0900000000000003</c:v>
                </c:pt>
                <c:pt idx="6">
                  <c:v>2.6570000000000009</c:v>
                </c:pt>
              </c:numCache>
            </c:numRef>
          </c:xVal>
          <c:yVal>
            <c:numRef>
              <c:f>'7SD522'!$K$32:$K$38</c:f>
              <c:numCache>
                <c:formatCode>0.000</c:formatCode>
                <c:ptCount val="7"/>
                <c:pt idx="0">
                  <c:v>0.254</c:v>
                </c:pt>
                <c:pt idx="1">
                  <c:v>0.38450000000000006</c:v>
                </c:pt>
                <c:pt idx="2">
                  <c:v>0.51500000000000012</c:v>
                </c:pt>
                <c:pt idx="3">
                  <c:v>0.83000000000000018</c:v>
                </c:pt>
                <c:pt idx="4">
                  <c:v>1.4600000000000002</c:v>
                </c:pt>
                <c:pt idx="5">
                  <c:v>2.0900000000000003</c:v>
                </c:pt>
                <c:pt idx="6">
                  <c:v>2.6570000000000009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340448"/>
        <c:axId val="-298338816"/>
      </c:scatterChart>
      <c:valAx>
        <c:axId val="-298340448"/>
        <c:scaling>
          <c:orientation val="minMax"/>
        </c:scaling>
        <c:delete val="0"/>
        <c:axPos val="b"/>
        <c:majorGridlines>
          <c:spPr>
            <a:ln w="3175"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Restraining (x In)</a:t>
                </a:r>
              </a:p>
            </c:rich>
          </c:tx>
          <c:layout>
            <c:manualLayout>
              <c:xMode val="edge"/>
              <c:yMode val="edge"/>
              <c:x val="0.43763213530655393"/>
              <c:y val="0.8831168831168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338816"/>
        <c:crosses val="autoZero"/>
        <c:crossBetween val="midCat"/>
      </c:valAx>
      <c:valAx>
        <c:axId val="-298338816"/>
        <c:scaling>
          <c:orientation val="minMax"/>
        </c:scaling>
        <c:delete val="0"/>
        <c:axPos val="l"/>
        <c:majorGridlines>
          <c:spPr>
            <a:ln w="3175">
              <a:solidFill>
                <a:srgbClr val="E3E3E3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GB"/>
                  <a:t>Differential (x In)</a:t>
                </a:r>
              </a:p>
            </c:rich>
          </c:tx>
          <c:layout>
            <c:manualLayout>
              <c:xMode val="edge"/>
              <c:yMode val="edge"/>
              <c:x val="3.382663847780127E-2"/>
              <c:y val="0.28571428571428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340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774687237537859E-2"/>
          <c:y val="5.0485436893203881E-2"/>
          <c:w val="0.91021205006950279"/>
          <c:h val="0.9009708737864077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rgbClr val="FF0000"/>
                </a:solidFill>
                <a:prstDash val="solid"/>
              </a:ln>
            </c:spPr>
          </c:dPt>
          <c:xVal>
            <c:numRef>
              <c:f>'EF calcs'!$F$10:$F$14</c:f>
              <c:numCache>
                <c:formatCode>0.000</c:formatCode>
                <c:ptCount val="5"/>
                <c:pt idx="0" formatCode="General">
                  <c:v>0</c:v>
                </c:pt>
                <c:pt idx="1">
                  <c:v>57.736720554272516</c:v>
                </c:pt>
                <c:pt idx="2">
                  <c:v>-28.865819824171361</c:v>
                </c:pt>
                <c:pt idx="3">
                  <c:v>-28.865819824171361</c:v>
                </c:pt>
                <c:pt idx="4">
                  <c:v>57.736720554272516</c:v>
                </c:pt>
              </c:numCache>
            </c:numRef>
          </c:xVal>
          <c:yVal>
            <c:numRef>
              <c:f>'EF calcs'!$G$10:$G$14</c:f>
              <c:numCache>
                <c:formatCode>0.00</c:formatCode>
                <c:ptCount val="5"/>
                <c:pt idx="0" formatCode="General">
                  <c:v>0</c:v>
                </c:pt>
                <c:pt idx="1">
                  <c:v>0</c:v>
                </c:pt>
                <c:pt idx="2">
                  <c:v>-49.999999999999993</c:v>
                </c:pt>
                <c:pt idx="3">
                  <c:v>49.999999999999993</c:v>
                </c:pt>
                <c:pt idx="4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dPt>
            <c:idx val="1"/>
            <c:bubble3D val="0"/>
            <c:spPr>
              <a:ln w="25400">
                <a:solidFill>
                  <a:srgbClr val="FFFF00"/>
                </a:solidFill>
                <a:prstDash val="solid"/>
              </a:ln>
            </c:spPr>
          </c:dPt>
          <c:dPt>
            <c:idx val="2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xVal>
            <c:numRef>
              <c:f>'EF calcs'!$F$15:$F$17</c:f>
              <c:numCache>
                <c:formatCode>General</c:formatCode>
                <c:ptCount val="3"/>
                <c:pt idx="0" formatCode="0.000">
                  <c:v>-28.865819824171361</c:v>
                </c:pt>
                <c:pt idx="1">
                  <c:v>0</c:v>
                </c:pt>
                <c:pt idx="2" formatCode="0.000">
                  <c:v>-28.865819824171361</c:v>
                </c:pt>
              </c:numCache>
            </c:numRef>
          </c:xVal>
          <c:yVal>
            <c:numRef>
              <c:f>'EF calcs'!$G$15:$G$17</c:f>
              <c:numCache>
                <c:formatCode>General</c:formatCode>
                <c:ptCount val="3"/>
                <c:pt idx="0" formatCode="0.00">
                  <c:v>-49.999999999999993</c:v>
                </c:pt>
                <c:pt idx="1">
                  <c:v>0</c:v>
                </c:pt>
                <c:pt idx="2" formatCode="0.00">
                  <c:v>49.999999999999993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338272"/>
        <c:axId val="-298344256"/>
      </c:scatterChart>
      <c:valAx>
        <c:axId val="-29833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344256"/>
        <c:crosses val="autoZero"/>
        <c:crossBetween val="midCat"/>
      </c:valAx>
      <c:valAx>
        <c:axId val="-298344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338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893274903187968E-2"/>
          <c:y val="0.13382899628252787"/>
          <c:w val="0.87736118489947212"/>
          <c:h val="0.81412639405204457"/>
        </c:manualLayout>
      </c:layout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Pt>
            <c:idx val="2"/>
            <c:bubble3D val="0"/>
            <c:spPr>
              <a:ln w="25400">
                <a:solidFill>
                  <a:srgbClr val="FFFF00"/>
                </a:solidFill>
                <a:prstDash val="solid"/>
              </a:ln>
            </c:spPr>
          </c:dPt>
          <c:dPt>
            <c:idx val="3"/>
            <c:bubble3D val="0"/>
            <c:spPr>
              <a:ln w="25400">
                <a:solidFill>
                  <a:srgbClr val="0000FF"/>
                </a:solidFill>
                <a:prstDash val="solid"/>
              </a:ln>
            </c:spPr>
          </c:dPt>
          <c:dLbls>
            <c:dLbl>
              <c:idx val="3"/>
              <c:layout>
                <c:manualLayout>
                  <c:x val="-5.7716613592794515E-2"/>
                  <c:y val="-4.7843573456663638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'EF calcs'!$J$10:$J$13</c:f>
              <c:numCache>
                <c:formatCode>0.00</c:formatCode>
                <c:ptCount val="4"/>
                <c:pt idx="0" formatCode="General">
                  <c:v>0</c:v>
                </c:pt>
                <c:pt idx="1">
                  <c:v>33.335289003621547</c:v>
                </c:pt>
                <c:pt idx="2">
                  <c:v>16.669111276039935</c:v>
                </c:pt>
                <c:pt idx="3">
                  <c:v>2.9335484583228322E-3</c:v>
                </c:pt>
              </c:numCache>
            </c:numRef>
          </c:xVal>
          <c:yVal>
            <c:numRef>
              <c:f>'EF calcs'!$K$10:$K$13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 formatCode="0.00">
                  <c:v>-28.868360277136258</c:v>
                </c:pt>
                <c:pt idx="3" formatCode="0.0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8351872"/>
        <c:axId val="-298348608"/>
      </c:scatterChart>
      <c:valAx>
        <c:axId val="-2983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98348608"/>
        <c:crosses val="autoZero"/>
        <c:crossBetween val="midCat"/>
      </c:valAx>
      <c:valAx>
        <c:axId val="-298348608"/>
        <c:scaling>
          <c:orientation val="minMax"/>
          <c:max val="0"/>
          <c:min val="-35"/>
        </c:scaling>
        <c:delete val="0"/>
        <c:axPos val="l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-298351872"/>
        <c:crosses val="autoZero"/>
        <c:crossBetween val="midCat"/>
        <c:majorUnit val="5"/>
        <c:minorUnit val="1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Spin" dx="16" fmlaLink="S21" max="1" page="10"/>
</file>

<file path=xl/ctrlProps/ctrlProp2.xml><?xml version="1.0" encoding="utf-8"?>
<formControlPr xmlns="http://schemas.microsoft.com/office/spreadsheetml/2009/9/main" objectType="Scroll" dx="16" fmlaLink="Q10" horiz="1" max="1" page="0" val="0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emf"/><Relationship Id="rId18" Type="http://schemas.openxmlformats.org/officeDocument/2006/relationships/image" Target="../media/image38.emf"/><Relationship Id="rId26" Type="http://schemas.openxmlformats.org/officeDocument/2006/relationships/image" Target="../media/image54.emf"/><Relationship Id="rId39" Type="http://schemas.openxmlformats.org/officeDocument/2006/relationships/image" Target="../media/image31.emf"/><Relationship Id="rId21" Type="http://schemas.openxmlformats.org/officeDocument/2006/relationships/image" Target="../media/image49.emf"/><Relationship Id="rId34" Type="http://schemas.openxmlformats.org/officeDocument/2006/relationships/image" Target="../media/image41.emf"/><Relationship Id="rId42" Type="http://schemas.openxmlformats.org/officeDocument/2006/relationships/image" Target="../media/image34.emf"/><Relationship Id="rId47" Type="http://schemas.openxmlformats.org/officeDocument/2006/relationships/image" Target="../media/image28.emf"/><Relationship Id="rId50" Type="http://schemas.openxmlformats.org/officeDocument/2006/relationships/image" Target="../media/image19.emf"/><Relationship Id="rId55" Type="http://schemas.openxmlformats.org/officeDocument/2006/relationships/image" Target="../media/image16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6" Type="http://schemas.openxmlformats.org/officeDocument/2006/relationships/image" Target="../media/image30.emf"/><Relationship Id="rId29" Type="http://schemas.openxmlformats.org/officeDocument/2006/relationships/image" Target="../media/image47.emf"/><Relationship Id="rId11" Type="http://schemas.openxmlformats.org/officeDocument/2006/relationships/image" Target="../media/image11.emf"/><Relationship Id="rId24" Type="http://schemas.openxmlformats.org/officeDocument/2006/relationships/image" Target="../media/image52.emf"/><Relationship Id="rId32" Type="http://schemas.openxmlformats.org/officeDocument/2006/relationships/image" Target="../media/image46.emf"/><Relationship Id="rId37" Type="http://schemas.openxmlformats.org/officeDocument/2006/relationships/image" Target="../media/image35.emf"/><Relationship Id="rId40" Type="http://schemas.openxmlformats.org/officeDocument/2006/relationships/image" Target="../media/image32.emf"/><Relationship Id="rId45" Type="http://schemas.openxmlformats.org/officeDocument/2006/relationships/image" Target="../media/image26.emf"/><Relationship Id="rId53" Type="http://schemas.openxmlformats.org/officeDocument/2006/relationships/image" Target="../media/image22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19" Type="http://schemas.openxmlformats.org/officeDocument/2006/relationships/image" Target="../media/image39.emf"/><Relationship Id="rId31" Type="http://schemas.openxmlformats.org/officeDocument/2006/relationships/image" Target="../media/image45.emf"/><Relationship Id="rId44" Type="http://schemas.openxmlformats.org/officeDocument/2006/relationships/image" Target="../media/image25.emf"/><Relationship Id="rId52" Type="http://schemas.openxmlformats.org/officeDocument/2006/relationships/image" Target="../media/image21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Relationship Id="rId22" Type="http://schemas.openxmlformats.org/officeDocument/2006/relationships/image" Target="../media/image50.emf"/><Relationship Id="rId27" Type="http://schemas.openxmlformats.org/officeDocument/2006/relationships/image" Target="../media/image55.emf"/><Relationship Id="rId30" Type="http://schemas.openxmlformats.org/officeDocument/2006/relationships/image" Target="../media/image44.emf"/><Relationship Id="rId35" Type="http://schemas.openxmlformats.org/officeDocument/2006/relationships/image" Target="../media/image42.emf"/><Relationship Id="rId43" Type="http://schemas.openxmlformats.org/officeDocument/2006/relationships/image" Target="../media/image24.emf"/><Relationship Id="rId48" Type="http://schemas.openxmlformats.org/officeDocument/2006/relationships/image" Target="../media/image29.emf"/><Relationship Id="rId56" Type="http://schemas.openxmlformats.org/officeDocument/2006/relationships/image" Target="../media/image17.emf"/><Relationship Id="rId8" Type="http://schemas.openxmlformats.org/officeDocument/2006/relationships/image" Target="../media/image8.emf"/><Relationship Id="rId51" Type="http://schemas.openxmlformats.org/officeDocument/2006/relationships/image" Target="../media/image20.emf"/><Relationship Id="rId3" Type="http://schemas.openxmlformats.org/officeDocument/2006/relationships/image" Target="../media/image3.emf"/><Relationship Id="rId12" Type="http://schemas.openxmlformats.org/officeDocument/2006/relationships/image" Target="../media/image12.emf"/><Relationship Id="rId17" Type="http://schemas.openxmlformats.org/officeDocument/2006/relationships/image" Target="../media/image37.emf"/><Relationship Id="rId25" Type="http://schemas.openxmlformats.org/officeDocument/2006/relationships/image" Target="../media/image53.emf"/><Relationship Id="rId33" Type="http://schemas.openxmlformats.org/officeDocument/2006/relationships/image" Target="../media/image40.emf"/><Relationship Id="rId38" Type="http://schemas.openxmlformats.org/officeDocument/2006/relationships/image" Target="../media/image36.emf"/><Relationship Id="rId46" Type="http://schemas.openxmlformats.org/officeDocument/2006/relationships/image" Target="../media/image27.emf"/><Relationship Id="rId20" Type="http://schemas.openxmlformats.org/officeDocument/2006/relationships/image" Target="../media/image48.emf"/><Relationship Id="rId41" Type="http://schemas.openxmlformats.org/officeDocument/2006/relationships/image" Target="../media/image33.emf"/><Relationship Id="rId54" Type="http://schemas.openxmlformats.org/officeDocument/2006/relationships/image" Target="../media/image23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5" Type="http://schemas.openxmlformats.org/officeDocument/2006/relationships/image" Target="../media/image15.emf"/><Relationship Id="rId23" Type="http://schemas.openxmlformats.org/officeDocument/2006/relationships/image" Target="../media/image51.emf"/><Relationship Id="rId28" Type="http://schemas.openxmlformats.org/officeDocument/2006/relationships/image" Target="../media/image56.emf"/><Relationship Id="rId36" Type="http://schemas.openxmlformats.org/officeDocument/2006/relationships/image" Target="../media/image43.emf"/><Relationship Id="rId49" Type="http://schemas.openxmlformats.org/officeDocument/2006/relationships/image" Target="../media/image18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64.emf"/><Relationship Id="rId13" Type="http://schemas.openxmlformats.org/officeDocument/2006/relationships/image" Target="../media/image69.emf"/><Relationship Id="rId18" Type="http://schemas.openxmlformats.org/officeDocument/2006/relationships/image" Target="../media/image74.emf"/><Relationship Id="rId3" Type="http://schemas.openxmlformats.org/officeDocument/2006/relationships/image" Target="../media/image59.emf"/><Relationship Id="rId21" Type="http://schemas.openxmlformats.org/officeDocument/2006/relationships/image" Target="../media/image77.emf"/><Relationship Id="rId7" Type="http://schemas.openxmlformats.org/officeDocument/2006/relationships/image" Target="../media/image63.emf"/><Relationship Id="rId12" Type="http://schemas.openxmlformats.org/officeDocument/2006/relationships/image" Target="../media/image68.emf"/><Relationship Id="rId17" Type="http://schemas.openxmlformats.org/officeDocument/2006/relationships/image" Target="../media/image73.emf"/><Relationship Id="rId2" Type="http://schemas.openxmlformats.org/officeDocument/2006/relationships/image" Target="../media/image58.emf"/><Relationship Id="rId16" Type="http://schemas.openxmlformats.org/officeDocument/2006/relationships/image" Target="../media/image72.emf"/><Relationship Id="rId20" Type="http://schemas.openxmlformats.org/officeDocument/2006/relationships/image" Target="../media/image76.emf"/><Relationship Id="rId1" Type="http://schemas.openxmlformats.org/officeDocument/2006/relationships/image" Target="../media/image57.emf"/><Relationship Id="rId6" Type="http://schemas.openxmlformats.org/officeDocument/2006/relationships/image" Target="../media/image62.emf"/><Relationship Id="rId11" Type="http://schemas.openxmlformats.org/officeDocument/2006/relationships/image" Target="../media/image67.emf"/><Relationship Id="rId5" Type="http://schemas.openxmlformats.org/officeDocument/2006/relationships/image" Target="../media/image61.emf"/><Relationship Id="rId15" Type="http://schemas.openxmlformats.org/officeDocument/2006/relationships/image" Target="../media/image71.emf"/><Relationship Id="rId23" Type="http://schemas.openxmlformats.org/officeDocument/2006/relationships/image" Target="../media/image79.emf"/><Relationship Id="rId10" Type="http://schemas.openxmlformats.org/officeDocument/2006/relationships/image" Target="../media/image66.emf"/><Relationship Id="rId19" Type="http://schemas.openxmlformats.org/officeDocument/2006/relationships/image" Target="../media/image75.emf"/><Relationship Id="rId4" Type="http://schemas.openxmlformats.org/officeDocument/2006/relationships/image" Target="../media/image60.emf"/><Relationship Id="rId9" Type="http://schemas.openxmlformats.org/officeDocument/2006/relationships/image" Target="../media/image65.emf"/><Relationship Id="rId14" Type="http://schemas.openxmlformats.org/officeDocument/2006/relationships/image" Target="../media/image70.emf"/><Relationship Id="rId22" Type="http://schemas.openxmlformats.org/officeDocument/2006/relationships/image" Target="../media/image78.emf"/></Relationships>
</file>

<file path=xl/drawings/_rels/vmlDrawing3.vml.rels><?xml version="1.0" encoding="UTF-8" standalone="yes"?>
<Relationships xmlns="http://schemas.openxmlformats.org/package/2006/relationships"><Relationship Id="rId8" Type="http://schemas.openxmlformats.org/officeDocument/2006/relationships/image" Target="../media/image91.emf"/><Relationship Id="rId13" Type="http://schemas.openxmlformats.org/officeDocument/2006/relationships/image" Target="../media/image96.emf"/><Relationship Id="rId3" Type="http://schemas.openxmlformats.org/officeDocument/2006/relationships/image" Target="../media/image82.emf"/><Relationship Id="rId7" Type="http://schemas.openxmlformats.org/officeDocument/2006/relationships/image" Target="../media/image90.emf"/><Relationship Id="rId12" Type="http://schemas.openxmlformats.org/officeDocument/2006/relationships/image" Target="../media/image95.emf"/><Relationship Id="rId17" Type="http://schemas.openxmlformats.org/officeDocument/2006/relationships/image" Target="../media/image86.emf"/><Relationship Id="rId2" Type="http://schemas.openxmlformats.org/officeDocument/2006/relationships/image" Target="../media/image81.emf"/><Relationship Id="rId16" Type="http://schemas.openxmlformats.org/officeDocument/2006/relationships/image" Target="../media/image85.emf"/><Relationship Id="rId1" Type="http://schemas.openxmlformats.org/officeDocument/2006/relationships/image" Target="../media/image80.emf"/><Relationship Id="rId6" Type="http://schemas.openxmlformats.org/officeDocument/2006/relationships/image" Target="../media/image89.emf"/><Relationship Id="rId11" Type="http://schemas.openxmlformats.org/officeDocument/2006/relationships/image" Target="../media/image94.emf"/><Relationship Id="rId5" Type="http://schemas.openxmlformats.org/officeDocument/2006/relationships/image" Target="../media/image84.emf"/><Relationship Id="rId15" Type="http://schemas.openxmlformats.org/officeDocument/2006/relationships/image" Target="../media/image88.emf"/><Relationship Id="rId10" Type="http://schemas.openxmlformats.org/officeDocument/2006/relationships/image" Target="../media/image93.emf"/><Relationship Id="rId4" Type="http://schemas.openxmlformats.org/officeDocument/2006/relationships/image" Target="../media/image83.emf"/><Relationship Id="rId9" Type="http://schemas.openxmlformats.org/officeDocument/2006/relationships/image" Target="../media/image92.emf"/><Relationship Id="rId14" Type="http://schemas.openxmlformats.org/officeDocument/2006/relationships/image" Target="../media/image87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9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447675</xdr:colOff>
      <xdr:row>3</xdr:row>
      <xdr:rowOff>0</xdr:rowOff>
    </xdr:to>
    <xdr:sp macro="" textlink="">
      <xdr:nvSpPr>
        <xdr:cNvPr id="975933" name="Rectangle 55"/>
        <xdr:cNvSpPr>
          <a:spLocks noChangeArrowheads="1"/>
        </xdr:cNvSpPr>
      </xdr:nvSpPr>
      <xdr:spPr bwMode="auto">
        <a:xfrm>
          <a:off x="0" y="0"/>
          <a:ext cx="8591550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0C0C0" mc:Ignorable="a14" a14:legacySpreadsheetColorIndex="22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0</xdr:row>
          <xdr:rowOff>38100</xdr:rowOff>
        </xdr:from>
        <xdr:to>
          <xdr:col>9</xdr:col>
          <xdr:colOff>57150</xdr:colOff>
          <xdr:row>1</xdr:row>
          <xdr:rowOff>238125</xdr:rowOff>
        </xdr:to>
        <xdr:sp macro="" textlink="">
          <xdr:nvSpPr>
            <xdr:cNvPr id="1392" name="TextBox8" hidden="1">
              <a:extLst>
                <a:ext uri="{63B3BB69-23CF-44E3-9099-C40C66FF867C}">
                  <a14:compatExt spid="_x0000_s1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30</xdr:row>
          <xdr:rowOff>19050</xdr:rowOff>
        </xdr:from>
        <xdr:to>
          <xdr:col>6</xdr:col>
          <xdr:colOff>200025</xdr:colOff>
          <xdr:row>31</xdr:row>
          <xdr:rowOff>76200</xdr:rowOff>
        </xdr:to>
        <xdr:sp macro="" textlink="">
          <xdr:nvSpPr>
            <xdr:cNvPr id="1104" name="CheckBox1" hidden="1">
              <a:extLst>
                <a:ext uri="{63B3BB69-23CF-44E3-9099-C40C66FF867C}">
                  <a14:compatExt spid="_x0000_s1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647700</xdr:colOff>
          <xdr:row>15</xdr:row>
          <xdr:rowOff>0</xdr:rowOff>
        </xdr:from>
        <xdr:to>
          <xdr:col>1</xdr:col>
          <xdr:colOff>790575</xdr:colOff>
          <xdr:row>15</xdr:row>
          <xdr:rowOff>142875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8</xdr:row>
          <xdr:rowOff>9525</xdr:rowOff>
        </xdr:from>
        <xdr:to>
          <xdr:col>2</xdr:col>
          <xdr:colOff>295275</xdr:colOff>
          <xdr:row>8</xdr:row>
          <xdr:rowOff>161925</xdr:rowOff>
        </xdr:to>
        <xdr:sp macro="" textlink="">
          <xdr:nvSpPr>
            <xdr:cNvPr id="1035" name="Scroll Bar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200025</xdr:colOff>
          <xdr:row>0</xdr:row>
          <xdr:rowOff>66675</xdr:rowOff>
        </xdr:from>
        <xdr:to>
          <xdr:col>2</xdr:col>
          <xdr:colOff>447675</xdr:colOff>
          <xdr:row>1</xdr:row>
          <xdr:rowOff>190500</xdr:rowOff>
        </xdr:to>
        <xdr:sp macro="" textlink="">
          <xdr:nvSpPr>
            <xdr:cNvPr id="1070" name="TextBox4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0</xdr:row>
          <xdr:rowOff>114300</xdr:rowOff>
        </xdr:from>
        <xdr:to>
          <xdr:col>2</xdr:col>
          <xdr:colOff>276225</xdr:colOff>
          <xdr:row>1</xdr:row>
          <xdr:rowOff>9525</xdr:rowOff>
        </xdr:to>
        <xdr:sp macro="" textlink="">
          <xdr:nvSpPr>
            <xdr:cNvPr id="1069" name="TextBox3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0</xdr:row>
          <xdr:rowOff>228600</xdr:rowOff>
        </xdr:from>
        <xdr:to>
          <xdr:col>2</xdr:col>
          <xdr:colOff>419100</xdr:colOff>
          <xdr:row>1</xdr:row>
          <xdr:rowOff>152400</xdr:rowOff>
        </xdr:to>
        <xdr:sp macro="" textlink="">
          <xdr:nvSpPr>
            <xdr:cNvPr id="1068" name="TextBox2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257175</xdr:colOff>
          <xdr:row>0</xdr:row>
          <xdr:rowOff>114300</xdr:rowOff>
        </xdr:from>
        <xdr:to>
          <xdr:col>1</xdr:col>
          <xdr:colOff>209550</xdr:colOff>
          <xdr:row>1</xdr:row>
          <xdr:rowOff>142875</xdr:rowOff>
        </xdr:to>
        <xdr:sp macro="" textlink="">
          <xdr:nvSpPr>
            <xdr:cNvPr id="1071" name="Label1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</xdr:colOff>
          <xdr:row>30</xdr:row>
          <xdr:rowOff>9525</xdr:rowOff>
        </xdr:from>
        <xdr:to>
          <xdr:col>10</xdr:col>
          <xdr:colOff>95250</xdr:colOff>
          <xdr:row>31</xdr:row>
          <xdr:rowOff>38100</xdr:rowOff>
        </xdr:to>
        <xdr:sp macro="" textlink="">
          <xdr:nvSpPr>
            <xdr:cNvPr id="1099" name="ComboBox2" hidden="1">
              <a:extLst>
                <a:ext uri="{63B3BB69-23CF-44E3-9099-C40C66FF867C}">
                  <a14:compatExt spid="_x0000_s1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1009650</xdr:colOff>
          <xdr:row>10</xdr:row>
          <xdr:rowOff>152400</xdr:rowOff>
        </xdr:from>
        <xdr:to>
          <xdr:col>8</xdr:col>
          <xdr:colOff>352425</xdr:colOff>
          <xdr:row>12</xdr:row>
          <xdr:rowOff>19050</xdr:rowOff>
        </xdr:to>
        <xdr:sp macro="" textlink="">
          <xdr:nvSpPr>
            <xdr:cNvPr id="1101" name="ComboBox3" hidden="1">
              <a:extLst>
                <a:ext uri="{63B3BB69-23CF-44E3-9099-C40C66FF867C}">
                  <a14:compatExt spid="_x0000_s1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104775</xdr:rowOff>
        </xdr:from>
        <xdr:to>
          <xdr:col>5</xdr:col>
          <xdr:colOff>0</xdr:colOff>
          <xdr:row>5</xdr:row>
          <xdr:rowOff>9525</xdr:rowOff>
        </xdr:to>
        <xdr:sp macro="" textlink="">
          <xdr:nvSpPr>
            <xdr:cNvPr id="1133" name="ComboBox4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857250</xdr:colOff>
          <xdr:row>15</xdr:row>
          <xdr:rowOff>9525</xdr:rowOff>
        </xdr:from>
        <xdr:to>
          <xdr:col>3</xdr:col>
          <xdr:colOff>1000125</xdr:colOff>
          <xdr:row>16</xdr:row>
          <xdr:rowOff>0</xdr:rowOff>
        </xdr:to>
        <xdr:sp macro="" textlink="">
          <xdr:nvSpPr>
            <xdr:cNvPr id="1143" name="SpinButton3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847725</xdr:colOff>
          <xdr:row>15</xdr:row>
          <xdr:rowOff>19050</xdr:rowOff>
        </xdr:from>
        <xdr:to>
          <xdr:col>5</xdr:col>
          <xdr:colOff>990600</xdr:colOff>
          <xdr:row>16</xdr:row>
          <xdr:rowOff>9525</xdr:rowOff>
        </xdr:to>
        <xdr:sp macro="" textlink="">
          <xdr:nvSpPr>
            <xdr:cNvPr id="1144" name="SpinButton5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847725</xdr:colOff>
          <xdr:row>15</xdr:row>
          <xdr:rowOff>19050</xdr:rowOff>
        </xdr:from>
        <xdr:to>
          <xdr:col>7</xdr:col>
          <xdr:colOff>990600</xdr:colOff>
          <xdr:row>16</xdr:row>
          <xdr:rowOff>9525</xdr:rowOff>
        </xdr:to>
        <xdr:sp macro="" textlink="">
          <xdr:nvSpPr>
            <xdr:cNvPr id="1145" name="SpinButton6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847725</xdr:colOff>
          <xdr:row>15</xdr:row>
          <xdr:rowOff>19050</xdr:rowOff>
        </xdr:from>
        <xdr:to>
          <xdr:col>9</xdr:col>
          <xdr:colOff>990600</xdr:colOff>
          <xdr:row>16</xdr:row>
          <xdr:rowOff>9525</xdr:rowOff>
        </xdr:to>
        <xdr:sp macro="" textlink="">
          <xdr:nvSpPr>
            <xdr:cNvPr id="1146" name="SpinButton7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876300</xdr:colOff>
          <xdr:row>15</xdr:row>
          <xdr:rowOff>19050</xdr:rowOff>
        </xdr:from>
        <xdr:to>
          <xdr:col>11</xdr:col>
          <xdr:colOff>1019175</xdr:colOff>
          <xdr:row>16</xdr:row>
          <xdr:rowOff>9525</xdr:rowOff>
        </xdr:to>
        <xdr:sp macro="" textlink="">
          <xdr:nvSpPr>
            <xdr:cNvPr id="1147" name="SpinButton8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0</xdr:col>
      <xdr:colOff>9525</xdr:colOff>
      <xdr:row>39</xdr:row>
      <xdr:rowOff>0</xdr:rowOff>
    </xdr:from>
    <xdr:to>
      <xdr:col>6</xdr:col>
      <xdr:colOff>409575</xdr:colOff>
      <xdr:row>70</xdr:row>
      <xdr:rowOff>0</xdr:rowOff>
    </xdr:to>
    <xdr:graphicFrame macro="">
      <xdr:nvGraphicFramePr>
        <xdr:cNvPr id="975934" name="Chart 1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171450</xdr:colOff>
          <xdr:row>60</xdr:row>
          <xdr:rowOff>0</xdr:rowOff>
        </xdr:from>
        <xdr:to>
          <xdr:col>0</xdr:col>
          <xdr:colOff>466725</xdr:colOff>
          <xdr:row>61</xdr:row>
          <xdr:rowOff>104775</xdr:rowOff>
        </xdr:to>
        <xdr:sp macro="" textlink="">
          <xdr:nvSpPr>
            <xdr:cNvPr id="1161" name="SpinButton2" hidden="1">
              <a:extLst>
                <a:ext uri="{63B3BB69-23CF-44E3-9099-C40C66FF867C}">
                  <a14:compatExt spid="_x0000_s1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xdr:twoCellAnchor>
    <xdr:from>
      <xdr:col>6</xdr:col>
      <xdr:colOff>419100</xdr:colOff>
      <xdr:row>39</xdr:row>
      <xdr:rowOff>0</xdr:rowOff>
    </xdr:from>
    <xdr:to>
      <xdr:col>13</xdr:col>
      <xdr:colOff>352425</xdr:colOff>
      <xdr:row>69</xdr:row>
      <xdr:rowOff>152400</xdr:rowOff>
    </xdr:to>
    <xdr:graphicFrame macro="">
      <xdr:nvGraphicFramePr>
        <xdr:cNvPr id="975935" name="Chart 1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123825</xdr:colOff>
          <xdr:row>59</xdr:row>
          <xdr:rowOff>142875</xdr:rowOff>
        </xdr:from>
        <xdr:to>
          <xdr:col>7</xdr:col>
          <xdr:colOff>400050</xdr:colOff>
          <xdr:row>61</xdr:row>
          <xdr:rowOff>95250</xdr:rowOff>
        </xdr:to>
        <xdr:sp macro="" textlink="">
          <xdr:nvSpPr>
            <xdr:cNvPr id="1166" name="SpinButton4" hidden="1">
              <a:extLst>
                <a:ext uri="{63B3BB69-23CF-44E3-9099-C40C66FF867C}">
                  <a14:compatExt spid="_x0000_s1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1000125</xdr:colOff>
          <xdr:row>1</xdr:row>
          <xdr:rowOff>190500</xdr:rowOff>
        </xdr:from>
        <xdr:to>
          <xdr:col>12</xdr:col>
          <xdr:colOff>438150</xdr:colOff>
          <xdr:row>2</xdr:row>
          <xdr:rowOff>180975</xdr:rowOff>
        </xdr:to>
        <xdr:sp macro="" textlink="">
          <xdr:nvSpPr>
            <xdr:cNvPr id="1174" name="CommandButton5" hidden="1">
              <a:extLst>
                <a:ext uri="{63B3BB69-23CF-44E3-9099-C40C66FF867C}">
                  <a14:compatExt spid="_x0000_s11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257175</xdr:colOff>
          <xdr:row>22</xdr:row>
          <xdr:rowOff>19050</xdr:rowOff>
        </xdr:from>
        <xdr:to>
          <xdr:col>2</xdr:col>
          <xdr:colOff>438150</xdr:colOff>
          <xdr:row>23</xdr:row>
          <xdr:rowOff>19050</xdr:rowOff>
        </xdr:to>
        <xdr:sp macro="" textlink="">
          <xdr:nvSpPr>
            <xdr:cNvPr id="1180" name="CheckBox4" hidden="1">
              <a:extLst>
                <a:ext uri="{63B3BB69-23CF-44E3-9099-C40C66FF867C}">
                  <a14:compatExt spid="_x0000_s11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0</xdr:row>
          <xdr:rowOff>38100</xdr:rowOff>
        </xdr:from>
        <xdr:to>
          <xdr:col>6</xdr:col>
          <xdr:colOff>466725</xdr:colOff>
          <xdr:row>2</xdr:row>
          <xdr:rowOff>228600</xdr:rowOff>
        </xdr:to>
        <xdr:sp macro="" textlink="">
          <xdr:nvSpPr>
            <xdr:cNvPr id="1199" name="TextBox6" hidden="1">
              <a:extLst>
                <a:ext uri="{63B3BB69-23CF-44E3-9099-C40C66FF867C}">
                  <a14:compatExt spid="_x0000_s1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371475</xdr:colOff>
          <xdr:row>0</xdr:row>
          <xdr:rowOff>238125</xdr:rowOff>
        </xdr:from>
        <xdr:to>
          <xdr:col>6</xdr:col>
          <xdr:colOff>438150</xdr:colOff>
          <xdr:row>2</xdr:row>
          <xdr:rowOff>171450</xdr:rowOff>
        </xdr:to>
        <xdr:grpSp>
          <xdr:nvGrpSpPr>
            <xdr:cNvPr id="975936" name="Group 362"/>
            <xdr:cNvGrpSpPr>
              <a:grpSpLocks/>
            </xdr:cNvGrpSpPr>
          </xdr:nvGrpSpPr>
          <xdr:grpSpPr bwMode="auto">
            <a:xfrm>
              <a:off x="3961667" y="238125"/>
              <a:ext cx="1092445" cy="431556"/>
              <a:chOff x="417" y="23"/>
              <a:chExt cx="115" cy="45"/>
            </a:xfrm>
          </xdr:grpSpPr>
          <xdr:sp macro="" textlink="">
            <xdr:nvSpPr>
              <xdr:cNvPr id="1200" name="OptionButton1" hidden="1">
                <a:extLst>
                  <a:ext uri="{63B3BB69-23CF-44E3-9099-C40C66FF867C}">
                    <a14:compatExt spid="_x0000_s1200"/>
                  </a:ext>
                </a:extLst>
              </xdr:cNvPr>
              <xdr:cNvSpPr/>
            </xdr:nvSpPr>
            <xdr:spPr bwMode="auto">
              <a:xfrm>
                <a:off x="417" y="23"/>
                <a:ext cx="101" cy="2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201" name="OptionButton2" hidden="1">
                <a:extLst>
                  <a:ext uri="{63B3BB69-23CF-44E3-9099-C40C66FF867C}">
                    <a14:compatExt spid="_x0000_s1201"/>
                  </a:ext>
                </a:extLst>
              </xdr:cNvPr>
              <xdr:cNvSpPr/>
            </xdr:nvSpPr>
            <xdr:spPr bwMode="auto">
              <a:xfrm>
                <a:off x="417" y="46"/>
                <a:ext cx="115" cy="2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85725</xdr:colOff>
          <xdr:row>40</xdr:row>
          <xdr:rowOff>7327</xdr:rowOff>
        </xdr:from>
        <xdr:to>
          <xdr:col>1</xdr:col>
          <xdr:colOff>602273</xdr:colOff>
          <xdr:row>46</xdr:row>
          <xdr:rowOff>147271</xdr:rowOff>
        </xdr:to>
        <xdr:grpSp>
          <xdr:nvGrpSpPr>
            <xdr:cNvPr id="975937" name="Group 203"/>
            <xdr:cNvGrpSpPr>
              <a:grpSpLocks/>
            </xdr:cNvGrpSpPr>
          </xdr:nvGrpSpPr>
          <xdr:grpSpPr bwMode="auto">
            <a:xfrm>
              <a:off x="85725" y="6572250"/>
              <a:ext cx="1095375" cy="1114425"/>
              <a:chOff x="7" y="604"/>
              <a:chExt cx="115" cy="115"/>
            </a:xfrm>
          </xdr:grpSpPr>
          <xdr:sp macro="" textlink="">
            <xdr:nvSpPr>
              <xdr:cNvPr id="1221" name="Label3" hidden="1">
                <a:extLst>
                  <a:ext uri="{63B3BB69-23CF-44E3-9099-C40C66FF867C}">
                    <a14:compatExt spid="_x0000_s1221"/>
                  </a:ext>
                </a:extLst>
              </xdr:cNvPr>
              <xdr:cNvSpPr/>
            </xdr:nvSpPr>
            <xdr:spPr bwMode="auto">
              <a:xfrm>
                <a:off x="7" y="604"/>
                <a:ext cx="5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grpSp>
            <xdr:nvGrpSpPr>
              <xdr:cNvPr id="975946" name="Group 202"/>
              <xdr:cNvGrpSpPr>
                <a:grpSpLocks/>
              </xdr:cNvGrpSpPr>
            </xdr:nvGrpSpPr>
            <xdr:grpSpPr bwMode="auto">
              <a:xfrm>
                <a:off x="7" y="617"/>
                <a:ext cx="115" cy="102"/>
                <a:chOff x="7" y="617"/>
                <a:chExt cx="115" cy="102"/>
              </a:xfrm>
            </xdr:grpSpPr>
            <xdr:sp macro="" textlink="">
              <xdr:nvSpPr>
                <xdr:cNvPr id="1217" name="CheckBox10" hidden="1">
                  <a:extLst>
                    <a:ext uri="{63B3BB69-23CF-44E3-9099-C40C66FF867C}">
                      <a14:compatExt spid="_x0000_s1217"/>
                    </a:ext>
                  </a:extLst>
                </xdr:cNvPr>
                <xdr:cNvSpPr/>
              </xdr:nvSpPr>
              <xdr:spPr bwMode="auto">
                <a:xfrm>
                  <a:off x="7" y="617"/>
                  <a:ext cx="94" cy="2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218" name="CheckBox11" hidden="1">
                  <a:extLst>
                    <a:ext uri="{63B3BB69-23CF-44E3-9099-C40C66FF867C}">
                      <a14:compatExt spid="_x0000_s1218"/>
                    </a:ext>
                  </a:extLst>
                </xdr:cNvPr>
                <xdr:cNvSpPr/>
              </xdr:nvSpPr>
              <xdr:spPr bwMode="auto">
                <a:xfrm>
                  <a:off x="7" y="657"/>
                  <a:ext cx="52" cy="2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219" name="CheckBox12" hidden="1">
                  <a:extLst>
                    <a:ext uri="{63B3BB69-23CF-44E3-9099-C40C66FF867C}">
                      <a14:compatExt spid="_x0000_s1219"/>
                    </a:ext>
                  </a:extLst>
                </xdr:cNvPr>
                <xdr:cNvSpPr/>
              </xdr:nvSpPr>
              <xdr:spPr bwMode="auto">
                <a:xfrm>
                  <a:off x="7" y="676"/>
                  <a:ext cx="52" cy="2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220" name="CheckBox13" hidden="1">
                  <a:extLst>
                    <a:ext uri="{63B3BB69-23CF-44E3-9099-C40C66FF867C}">
                      <a14:compatExt spid="_x0000_s1220"/>
                    </a:ext>
                  </a:extLst>
                </xdr:cNvPr>
                <xdr:cNvSpPr/>
              </xdr:nvSpPr>
              <xdr:spPr bwMode="auto">
                <a:xfrm>
                  <a:off x="7" y="695"/>
                  <a:ext cx="52" cy="2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222" name="CheckBox14" hidden="1">
                  <a:extLst>
                    <a:ext uri="{63B3BB69-23CF-44E3-9099-C40C66FF867C}">
                      <a14:compatExt spid="_x0000_s1222"/>
                    </a:ext>
                  </a:extLst>
                </xdr:cNvPr>
                <xdr:cNvSpPr/>
              </xdr:nvSpPr>
              <xdr:spPr bwMode="auto">
                <a:xfrm>
                  <a:off x="7" y="637"/>
                  <a:ext cx="115" cy="25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72537</xdr:colOff>
          <xdr:row>40</xdr:row>
          <xdr:rowOff>16852</xdr:rowOff>
        </xdr:from>
        <xdr:to>
          <xdr:col>8</xdr:col>
          <xdr:colOff>151667</xdr:colOff>
          <xdr:row>46</xdr:row>
          <xdr:rowOff>147271</xdr:rowOff>
        </xdr:to>
        <xdr:grpSp>
          <xdr:nvGrpSpPr>
            <xdr:cNvPr id="975938" name="Group 204"/>
            <xdr:cNvGrpSpPr>
              <a:grpSpLocks/>
            </xdr:cNvGrpSpPr>
          </xdr:nvGrpSpPr>
          <xdr:grpSpPr bwMode="auto">
            <a:xfrm>
              <a:off x="5172075" y="6581775"/>
              <a:ext cx="1104900" cy="1104900"/>
              <a:chOff x="542" y="600"/>
              <a:chExt cx="116" cy="114"/>
            </a:xfrm>
          </xdr:grpSpPr>
          <xdr:sp macro="" textlink="">
            <xdr:nvSpPr>
              <xdr:cNvPr id="1213" name="Label2" hidden="1">
                <a:extLst>
                  <a:ext uri="{63B3BB69-23CF-44E3-9099-C40C66FF867C}">
                    <a14:compatExt spid="_x0000_s1213"/>
                  </a:ext>
                </a:extLst>
              </xdr:cNvPr>
              <xdr:cNvSpPr/>
            </xdr:nvSpPr>
            <xdr:spPr bwMode="auto">
              <a:xfrm>
                <a:off x="543" y="600"/>
                <a:ext cx="52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grpSp>
            <xdr:nvGrpSpPr>
              <xdr:cNvPr id="975945" name="Group 201"/>
              <xdr:cNvGrpSpPr>
                <a:grpSpLocks/>
              </xdr:cNvGrpSpPr>
            </xdr:nvGrpSpPr>
            <xdr:grpSpPr bwMode="auto">
              <a:xfrm>
                <a:off x="542" y="612"/>
                <a:ext cx="116" cy="102"/>
                <a:chOff x="43" y="618"/>
                <a:chExt cx="116" cy="102"/>
              </a:xfrm>
            </xdr:grpSpPr>
            <xdr:sp macro="" textlink="">
              <xdr:nvSpPr>
                <xdr:cNvPr id="1208" name="CheckBox6" hidden="1">
                  <a:extLst>
                    <a:ext uri="{63B3BB69-23CF-44E3-9099-C40C66FF867C}">
                      <a14:compatExt spid="_x0000_s1208"/>
                    </a:ext>
                  </a:extLst>
                </xdr:cNvPr>
                <xdr:cNvSpPr/>
              </xdr:nvSpPr>
              <xdr:spPr bwMode="auto">
                <a:xfrm>
                  <a:off x="43" y="618"/>
                  <a:ext cx="94" cy="2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209" name="CheckBox7" hidden="1">
                  <a:extLst>
                    <a:ext uri="{63B3BB69-23CF-44E3-9099-C40C66FF867C}">
                      <a14:compatExt spid="_x0000_s1209"/>
                    </a:ext>
                  </a:extLst>
                </xdr:cNvPr>
                <xdr:cNvSpPr/>
              </xdr:nvSpPr>
              <xdr:spPr bwMode="auto">
                <a:xfrm>
                  <a:off x="43" y="657"/>
                  <a:ext cx="52" cy="2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210" name="CheckBox8" hidden="1">
                  <a:extLst>
                    <a:ext uri="{63B3BB69-23CF-44E3-9099-C40C66FF867C}">
                      <a14:compatExt spid="_x0000_s1210"/>
                    </a:ext>
                  </a:extLst>
                </xdr:cNvPr>
                <xdr:cNvSpPr/>
              </xdr:nvSpPr>
              <xdr:spPr bwMode="auto">
                <a:xfrm>
                  <a:off x="43" y="677"/>
                  <a:ext cx="52" cy="2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211" name="CheckBox9" hidden="1">
                  <a:extLst>
                    <a:ext uri="{63B3BB69-23CF-44E3-9099-C40C66FF867C}">
                      <a14:compatExt spid="_x0000_s1211"/>
                    </a:ext>
                  </a:extLst>
                </xdr:cNvPr>
                <xdr:cNvSpPr/>
              </xdr:nvSpPr>
              <xdr:spPr bwMode="auto">
                <a:xfrm>
                  <a:off x="43" y="696"/>
                  <a:ext cx="52" cy="2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223" name="CheckBox15" hidden="1">
                  <a:extLst>
                    <a:ext uri="{63B3BB69-23CF-44E3-9099-C40C66FF867C}">
                      <a14:compatExt spid="_x0000_s1223"/>
                    </a:ext>
                  </a:extLst>
                </xdr:cNvPr>
                <xdr:cNvSpPr/>
              </xdr:nvSpPr>
              <xdr:spPr bwMode="auto">
                <a:xfrm>
                  <a:off x="43" y="638"/>
                  <a:ext cx="116" cy="24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1</xdr:row>
          <xdr:rowOff>238125</xdr:rowOff>
        </xdr:from>
        <xdr:to>
          <xdr:col>9</xdr:col>
          <xdr:colOff>104775</xdr:colOff>
          <xdr:row>3</xdr:row>
          <xdr:rowOff>19050</xdr:rowOff>
        </xdr:to>
        <xdr:sp macro="" textlink="">
          <xdr:nvSpPr>
            <xdr:cNvPr id="1269" name="CheckBox2" hidden="1">
              <a:extLst>
                <a:ext uri="{63B3BB69-23CF-44E3-9099-C40C66FF867C}">
                  <a14:compatExt spid="_x0000_s1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71804</xdr:colOff>
          <xdr:row>0</xdr:row>
          <xdr:rowOff>38100</xdr:rowOff>
        </xdr:from>
        <xdr:to>
          <xdr:col>5</xdr:col>
          <xdr:colOff>105508</xdr:colOff>
          <xdr:row>2</xdr:row>
          <xdr:rowOff>225669</xdr:rowOff>
        </xdr:to>
        <xdr:grpSp>
          <xdr:nvGrpSpPr>
            <xdr:cNvPr id="975939" name="Group 364"/>
            <xdr:cNvGrpSpPr>
              <a:grpSpLocks/>
            </xdr:cNvGrpSpPr>
          </xdr:nvGrpSpPr>
          <xdr:grpSpPr bwMode="auto">
            <a:xfrm>
              <a:off x="2152650" y="38100"/>
              <a:ext cx="1543050" cy="685800"/>
              <a:chOff x="226" y="5"/>
              <a:chExt cx="162" cy="72"/>
            </a:xfrm>
          </xdr:grpSpPr>
          <xdr:sp macro="" textlink="">
            <xdr:nvSpPr>
              <xdr:cNvPr id="1074" name="TextBox5" hidden="1">
                <a:extLst>
                  <a:ext uri="{63B3BB69-23CF-44E3-9099-C40C66FF867C}">
                    <a14:compatExt spid="_x0000_s1074"/>
                  </a:ext>
                </a:extLst>
              </xdr:cNvPr>
              <xdr:cNvSpPr/>
            </xdr:nvSpPr>
            <xdr:spPr bwMode="auto">
              <a:xfrm>
                <a:off x="226" y="5"/>
                <a:ext cx="162" cy="7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grpSp>
            <xdr:nvGrpSpPr>
              <xdr:cNvPr id="975944" name="Group 363"/>
              <xdr:cNvGrpSpPr>
                <a:grpSpLocks/>
              </xdr:cNvGrpSpPr>
            </xdr:nvGrpSpPr>
            <xdr:grpSpPr bwMode="auto">
              <a:xfrm>
                <a:off x="236" y="14"/>
                <a:ext cx="142" cy="56"/>
                <a:chOff x="236" y="14"/>
                <a:chExt cx="142" cy="56"/>
              </a:xfrm>
            </xdr:grpSpPr>
            <xdr:sp macro="" textlink="">
              <xdr:nvSpPr>
                <xdr:cNvPr id="1359" name="OptionButton3" hidden="1">
                  <a:extLst>
                    <a:ext uri="{63B3BB69-23CF-44E3-9099-C40C66FF867C}">
                      <a14:compatExt spid="_x0000_s1359"/>
                    </a:ext>
                  </a:extLst>
                </xdr:cNvPr>
                <xdr:cNvSpPr/>
              </xdr:nvSpPr>
              <xdr:spPr bwMode="auto">
                <a:xfrm>
                  <a:off x="236" y="14"/>
                  <a:ext cx="71" cy="22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360" name="OptionButton4" hidden="1">
                  <a:extLst>
                    <a:ext uri="{63B3BB69-23CF-44E3-9099-C40C66FF867C}">
                      <a14:compatExt spid="_x0000_s1360"/>
                    </a:ext>
                  </a:extLst>
                </xdr:cNvPr>
                <xdr:cNvSpPr/>
              </xdr:nvSpPr>
              <xdr:spPr bwMode="auto">
                <a:xfrm>
                  <a:off x="307" y="14"/>
                  <a:ext cx="71" cy="22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361" name="OptionButton5" hidden="1">
                  <a:extLst>
                    <a:ext uri="{63B3BB69-23CF-44E3-9099-C40C66FF867C}">
                      <a14:compatExt spid="_x0000_s1361"/>
                    </a:ext>
                  </a:extLst>
                </xdr:cNvPr>
                <xdr:cNvSpPr/>
              </xdr:nvSpPr>
              <xdr:spPr bwMode="auto">
                <a:xfrm>
                  <a:off x="236" y="48"/>
                  <a:ext cx="71" cy="22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914400</xdr:colOff>
          <xdr:row>1</xdr:row>
          <xdr:rowOff>190500</xdr:rowOff>
        </xdr:from>
        <xdr:to>
          <xdr:col>4</xdr:col>
          <xdr:colOff>409575</xdr:colOff>
          <xdr:row>2</xdr:row>
          <xdr:rowOff>228600</xdr:rowOff>
        </xdr:to>
        <xdr:grpSp>
          <xdr:nvGrpSpPr>
            <xdr:cNvPr id="975940" name="Group 359"/>
            <xdr:cNvGrpSpPr>
              <a:grpSpLocks/>
            </xdr:cNvGrpSpPr>
          </xdr:nvGrpSpPr>
          <xdr:grpSpPr bwMode="auto">
            <a:xfrm>
              <a:off x="2995246" y="439615"/>
              <a:ext cx="520944" cy="287216"/>
              <a:chOff x="326" y="51"/>
              <a:chExt cx="55" cy="30"/>
            </a:xfrm>
          </xdr:grpSpPr>
          <xdr:sp macro="" textlink="">
            <xdr:nvSpPr>
              <xdr:cNvPr id="1062" name="TextBox1" hidden="1">
                <a:extLst>
                  <a:ext uri="{63B3BB69-23CF-44E3-9099-C40C66FF867C}">
                    <a14:compatExt spid="_x0000_s1062"/>
                  </a:ext>
                </a:extLst>
              </xdr:cNvPr>
              <xdr:cNvSpPr/>
            </xdr:nvSpPr>
            <xdr:spPr bwMode="auto">
              <a:xfrm>
                <a:off x="326" y="55"/>
                <a:ext cx="37" cy="26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064" name="SpinButton1" hidden="1">
                <a:extLst>
                  <a:ext uri="{63B3BB69-23CF-44E3-9099-C40C66FF867C}">
                    <a14:compatExt spid="_x0000_s1064"/>
                  </a:ext>
                </a:extLst>
              </xdr:cNvPr>
              <xdr:cNvSpPr/>
            </xdr:nvSpPr>
            <xdr:spPr bwMode="auto">
              <a:xfrm>
                <a:off x="365" y="51"/>
                <a:ext cx="16" cy="2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657225</xdr:colOff>
          <xdr:row>0</xdr:row>
          <xdr:rowOff>190500</xdr:rowOff>
        </xdr:from>
        <xdr:to>
          <xdr:col>8</xdr:col>
          <xdr:colOff>200025</xdr:colOff>
          <xdr:row>1</xdr:row>
          <xdr:rowOff>114300</xdr:rowOff>
        </xdr:to>
        <xdr:sp macro="" textlink="">
          <xdr:nvSpPr>
            <xdr:cNvPr id="1391" name="TextBox7" hidden="1">
              <a:extLst>
                <a:ext uri="{63B3BB69-23CF-44E3-9099-C40C66FF867C}">
                  <a14:compatExt spid="_x0000_s1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285750</xdr:colOff>
          <xdr:row>0</xdr:row>
          <xdr:rowOff>190500</xdr:rowOff>
        </xdr:from>
        <xdr:to>
          <xdr:col>7</xdr:col>
          <xdr:colOff>733425</xdr:colOff>
          <xdr:row>1</xdr:row>
          <xdr:rowOff>219075</xdr:rowOff>
        </xdr:to>
        <xdr:sp macro="" textlink="">
          <xdr:nvSpPr>
            <xdr:cNvPr id="1393" name="Label4" hidden="1">
              <a:extLst>
                <a:ext uri="{63B3BB69-23CF-44E3-9099-C40C66FF867C}">
                  <a14:compatExt spid="_x0000_s1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657225</xdr:colOff>
          <xdr:row>1</xdr:row>
          <xdr:rowOff>57150</xdr:rowOff>
        </xdr:from>
        <xdr:to>
          <xdr:col>8</xdr:col>
          <xdr:colOff>200025</xdr:colOff>
          <xdr:row>1</xdr:row>
          <xdr:rowOff>209550</xdr:rowOff>
        </xdr:to>
        <xdr:sp macro="" textlink="">
          <xdr:nvSpPr>
            <xdr:cNvPr id="1394" name="TextBox9" hidden="1">
              <a:extLst>
                <a:ext uri="{63B3BB69-23CF-44E3-9099-C40C66FF867C}">
                  <a14:compatExt spid="_x0000_s1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457200</xdr:colOff>
          <xdr:row>67</xdr:row>
          <xdr:rowOff>85725</xdr:rowOff>
        </xdr:from>
        <xdr:to>
          <xdr:col>11</xdr:col>
          <xdr:colOff>295275</xdr:colOff>
          <xdr:row>69</xdr:row>
          <xdr:rowOff>123825</xdr:rowOff>
        </xdr:to>
        <xdr:grpSp>
          <xdr:nvGrpSpPr>
            <xdr:cNvPr id="975941" name="Group 371"/>
            <xdr:cNvGrpSpPr>
              <a:grpSpLocks/>
            </xdr:cNvGrpSpPr>
          </xdr:nvGrpSpPr>
          <xdr:grpSpPr bwMode="auto">
            <a:xfrm>
              <a:off x="6582508" y="11083437"/>
              <a:ext cx="1830998" cy="375138"/>
              <a:chOff x="605" y="1232"/>
              <a:chExt cx="178" cy="40"/>
            </a:xfrm>
          </xdr:grpSpPr>
          <xdr:sp macro="" textlink="">
            <xdr:nvSpPr>
              <xdr:cNvPr id="1396" name="OptionButton6" hidden="1">
                <a:extLst>
                  <a:ext uri="{63B3BB69-23CF-44E3-9099-C40C66FF867C}">
                    <a14:compatExt spid="_x0000_s1396"/>
                  </a:ext>
                </a:extLst>
              </xdr:cNvPr>
              <xdr:cNvSpPr/>
            </xdr:nvSpPr>
            <xdr:spPr bwMode="auto">
              <a:xfrm>
                <a:off x="605" y="1254"/>
                <a:ext cx="57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97" name="OptionButton7" hidden="1">
                <a:extLst>
                  <a:ext uri="{63B3BB69-23CF-44E3-9099-C40C66FF867C}">
                    <a14:compatExt spid="_x0000_s1397"/>
                  </a:ext>
                </a:extLst>
              </xdr:cNvPr>
              <xdr:cNvSpPr/>
            </xdr:nvSpPr>
            <xdr:spPr bwMode="auto">
              <a:xfrm>
                <a:off x="665" y="1254"/>
                <a:ext cx="57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98" name="OptionButton8" hidden="1">
                <a:extLst>
                  <a:ext uri="{63B3BB69-23CF-44E3-9099-C40C66FF867C}">
                    <a14:compatExt spid="_x0000_s1398"/>
                  </a:ext>
                </a:extLst>
              </xdr:cNvPr>
              <xdr:cNvSpPr/>
            </xdr:nvSpPr>
            <xdr:spPr bwMode="auto">
              <a:xfrm>
                <a:off x="726" y="1254"/>
                <a:ext cx="57" cy="18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1399" name="CheckBox3" hidden="1">
                <a:extLst>
                  <a:ext uri="{63B3BB69-23CF-44E3-9099-C40C66FF867C}">
                    <a14:compatExt spid="_x0000_s1399"/>
                  </a:ext>
                </a:extLst>
              </xdr:cNvPr>
              <xdr:cNvSpPr/>
            </xdr:nvSpPr>
            <xdr:spPr bwMode="auto">
              <a:xfrm>
                <a:off x="606" y="1232"/>
                <a:ext cx="122" cy="23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43229</xdr:colOff>
          <xdr:row>67</xdr:row>
          <xdr:rowOff>127488</xdr:rowOff>
        </xdr:from>
        <xdr:to>
          <xdr:col>5</xdr:col>
          <xdr:colOff>76933</xdr:colOff>
          <xdr:row>70</xdr:row>
          <xdr:rowOff>12456</xdr:rowOff>
        </xdr:to>
        <xdr:grpSp>
          <xdr:nvGrpSpPr>
            <xdr:cNvPr id="975942" name="Group 376"/>
            <xdr:cNvGrpSpPr>
              <a:grpSpLocks/>
            </xdr:cNvGrpSpPr>
          </xdr:nvGrpSpPr>
          <xdr:grpSpPr bwMode="auto">
            <a:xfrm>
              <a:off x="2124075" y="11125200"/>
              <a:ext cx="1543050" cy="390525"/>
              <a:chOff x="38" y="1151"/>
              <a:chExt cx="178" cy="39"/>
            </a:xfrm>
          </xdr:grpSpPr>
          <xdr:grpSp>
            <xdr:nvGrpSpPr>
              <xdr:cNvPr id="975943" name="Group 377"/>
              <xdr:cNvGrpSpPr>
                <a:grpSpLocks/>
              </xdr:cNvGrpSpPr>
            </xdr:nvGrpSpPr>
            <xdr:grpSpPr bwMode="auto">
              <a:xfrm>
                <a:off x="38" y="1173"/>
                <a:ext cx="178" cy="17"/>
                <a:chOff x="82" y="1986"/>
                <a:chExt cx="178" cy="17"/>
              </a:xfrm>
            </xdr:grpSpPr>
            <xdr:sp macro="" textlink="">
              <xdr:nvSpPr>
                <xdr:cNvPr id="1402" name="OptionButton9" hidden="1">
                  <a:extLst>
                    <a:ext uri="{63B3BB69-23CF-44E3-9099-C40C66FF867C}">
                      <a14:compatExt spid="_x0000_s1402"/>
                    </a:ext>
                  </a:extLst>
                </xdr:cNvPr>
                <xdr:cNvSpPr/>
              </xdr:nvSpPr>
              <xdr:spPr bwMode="auto">
                <a:xfrm>
                  <a:off x="82" y="1986"/>
                  <a:ext cx="57" cy="1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403" name="OptionButton10" hidden="1">
                  <a:extLst>
                    <a:ext uri="{63B3BB69-23CF-44E3-9099-C40C66FF867C}">
                      <a14:compatExt spid="_x0000_s1403"/>
                    </a:ext>
                  </a:extLst>
                </xdr:cNvPr>
                <xdr:cNvSpPr/>
              </xdr:nvSpPr>
              <xdr:spPr bwMode="auto">
                <a:xfrm>
                  <a:off x="142" y="1986"/>
                  <a:ext cx="57" cy="1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  <xdr:sp macro="" textlink="">
              <xdr:nvSpPr>
                <xdr:cNvPr id="1404" name="OptionButton11" hidden="1">
                  <a:extLst>
                    <a:ext uri="{63B3BB69-23CF-44E3-9099-C40C66FF867C}">
                      <a14:compatExt spid="_x0000_s1404"/>
                    </a:ext>
                  </a:extLst>
                </xdr:cNvPr>
                <xdr:cNvSpPr/>
              </xdr:nvSpPr>
              <xdr:spPr bwMode="auto">
                <a:xfrm>
                  <a:off x="203" y="1986"/>
                  <a:ext cx="57" cy="17"/>
                </a:xfrm>
                <a:prstGeom prst="rect">
                  <a:avLst/>
                </a:prstGeom>
                <a:noFill/>
                <a:ln>
                  <a:noFill/>
                </a:ln>
                <a:extLst>
                  <a:ext uri="{91240B29-F687-4F45-9708-019B960494DF}">
                    <a14:hiddenLine w="9525">
                      <a:noFill/>
                      <a:miter lim="800000"/>
                      <a:headEnd/>
                      <a:tailEnd/>
                    </a14:hiddenLine>
                  </a:ext>
                </a:extLst>
              </xdr:spPr>
            </xdr:sp>
          </xdr:grpSp>
          <xdr:sp macro="" textlink="">
            <xdr:nvSpPr>
              <xdr:cNvPr id="1405" name="CheckBox5" hidden="1">
                <a:extLst>
                  <a:ext uri="{63B3BB69-23CF-44E3-9099-C40C66FF867C}">
                    <a14:compatExt spid="_x0000_s1405"/>
                  </a:ext>
                </a:extLst>
              </xdr:cNvPr>
              <xdr:cNvSpPr/>
            </xdr:nvSpPr>
            <xdr:spPr bwMode="auto">
              <a:xfrm>
                <a:off x="41" y="1151"/>
                <a:ext cx="155" cy="2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828675</xdr:colOff>
          <xdr:row>73</xdr:row>
          <xdr:rowOff>133350</xdr:rowOff>
        </xdr:from>
        <xdr:to>
          <xdr:col>12</xdr:col>
          <xdr:colOff>9525</xdr:colOff>
          <xdr:row>75</xdr:row>
          <xdr:rowOff>38100</xdr:rowOff>
        </xdr:to>
        <xdr:sp macro="" textlink="">
          <xdr:nvSpPr>
            <xdr:cNvPr id="1406" name="SpinButton10" hidden="1">
              <a:extLst>
                <a:ext uri="{63B3BB69-23CF-44E3-9099-C40C66FF867C}">
                  <a14:compatExt spid="_x0000_s1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581025</xdr:colOff>
          <xdr:row>74</xdr:row>
          <xdr:rowOff>133350</xdr:rowOff>
        </xdr:from>
        <xdr:to>
          <xdr:col>11</xdr:col>
          <xdr:colOff>800100</xdr:colOff>
          <xdr:row>76</xdr:row>
          <xdr:rowOff>38100</xdr:rowOff>
        </xdr:to>
        <xdr:sp macro="" textlink="">
          <xdr:nvSpPr>
            <xdr:cNvPr id="1407" name="SpinButton11" hidden="1">
              <a:extLst>
                <a:ext uri="{63B3BB69-23CF-44E3-9099-C40C66FF867C}">
                  <a14:compatExt spid="_x0000_s1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790575</xdr:colOff>
          <xdr:row>76</xdr:row>
          <xdr:rowOff>0</xdr:rowOff>
        </xdr:from>
        <xdr:to>
          <xdr:col>12</xdr:col>
          <xdr:colOff>0</xdr:colOff>
          <xdr:row>78</xdr:row>
          <xdr:rowOff>0</xdr:rowOff>
        </xdr:to>
        <xdr:sp macro="" textlink="">
          <xdr:nvSpPr>
            <xdr:cNvPr id="1408" name="SpinButton12" hidden="1">
              <a:extLst>
                <a:ext uri="{63B3BB69-23CF-44E3-9099-C40C66FF867C}">
                  <a14:compatExt spid="_x0000_s1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790575</xdr:colOff>
          <xdr:row>76</xdr:row>
          <xdr:rowOff>0</xdr:rowOff>
        </xdr:from>
        <xdr:to>
          <xdr:col>2</xdr:col>
          <xdr:colOff>0</xdr:colOff>
          <xdr:row>78</xdr:row>
          <xdr:rowOff>0</xdr:rowOff>
        </xdr:to>
        <xdr:sp macro="" textlink="">
          <xdr:nvSpPr>
            <xdr:cNvPr id="1409" name="SpinButton13" hidden="1">
              <a:extLst>
                <a:ext uri="{63B3BB69-23CF-44E3-9099-C40C66FF867C}">
                  <a14:compatExt spid="_x0000_s1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73</xdr:row>
          <xdr:rowOff>133350</xdr:rowOff>
        </xdr:from>
        <xdr:to>
          <xdr:col>2</xdr:col>
          <xdr:colOff>0</xdr:colOff>
          <xdr:row>75</xdr:row>
          <xdr:rowOff>38100</xdr:rowOff>
        </xdr:to>
        <xdr:sp macro="" textlink="">
          <xdr:nvSpPr>
            <xdr:cNvPr id="1410" name="SpinButton14" hidden="1">
              <a:extLst>
                <a:ext uri="{63B3BB69-23CF-44E3-9099-C40C66FF867C}">
                  <a14:compatExt spid="_x0000_s1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600075</xdr:colOff>
          <xdr:row>74</xdr:row>
          <xdr:rowOff>133350</xdr:rowOff>
        </xdr:from>
        <xdr:to>
          <xdr:col>1</xdr:col>
          <xdr:colOff>819150</xdr:colOff>
          <xdr:row>76</xdr:row>
          <xdr:rowOff>38100</xdr:rowOff>
        </xdr:to>
        <xdr:sp macro="" textlink="">
          <xdr:nvSpPr>
            <xdr:cNvPr id="1411" name="SpinButton15" hidden="1">
              <a:extLst>
                <a:ext uri="{63B3BB69-23CF-44E3-9099-C40C66FF867C}">
                  <a14:compatExt spid="_x0000_s1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79</xdr:row>
          <xdr:rowOff>9525</xdr:rowOff>
        </xdr:from>
        <xdr:to>
          <xdr:col>13</xdr:col>
          <xdr:colOff>19050</xdr:colOff>
          <xdr:row>81</xdr:row>
          <xdr:rowOff>0</xdr:rowOff>
        </xdr:to>
        <xdr:sp macro="" textlink="">
          <xdr:nvSpPr>
            <xdr:cNvPr id="1414" name="CommandButton1" hidden="1">
              <a:extLst>
                <a:ext uri="{63B3BB69-23CF-44E3-9099-C40C66FF867C}">
                  <a14:compatExt spid="_x0000_s1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78</xdr:row>
          <xdr:rowOff>9525</xdr:rowOff>
        </xdr:from>
        <xdr:to>
          <xdr:col>1</xdr:col>
          <xdr:colOff>762000</xdr:colOff>
          <xdr:row>79</xdr:row>
          <xdr:rowOff>161925</xdr:rowOff>
        </xdr:to>
        <xdr:sp macro="" textlink="">
          <xdr:nvSpPr>
            <xdr:cNvPr id="1415" name="CommandButton2" hidden="1">
              <a:extLst>
                <a:ext uri="{63B3BB69-23CF-44E3-9099-C40C66FF867C}">
                  <a14:compatExt spid="_x0000_s1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752475</xdr:colOff>
          <xdr:row>78</xdr:row>
          <xdr:rowOff>9525</xdr:rowOff>
        </xdr:from>
        <xdr:to>
          <xdr:col>3</xdr:col>
          <xdr:colOff>9525</xdr:colOff>
          <xdr:row>79</xdr:row>
          <xdr:rowOff>161925</xdr:rowOff>
        </xdr:to>
        <xdr:sp macro="" textlink="">
          <xdr:nvSpPr>
            <xdr:cNvPr id="1416" name="CommandButton4" hidden="1">
              <a:extLst>
                <a:ext uri="{63B3BB69-23CF-44E3-9099-C40C66FF867C}">
                  <a14:compatExt spid="_x0000_s1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79</xdr:row>
          <xdr:rowOff>152400</xdr:rowOff>
        </xdr:from>
        <xdr:to>
          <xdr:col>3</xdr:col>
          <xdr:colOff>0</xdr:colOff>
          <xdr:row>81</xdr:row>
          <xdr:rowOff>142875</xdr:rowOff>
        </xdr:to>
        <xdr:sp macro="" textlink="">
          <xdr:nvSpPr>
            <xdr:cNvPr id="1417" name="CommandButton6" hidden="1">
              <a:extLst>
                <a:ext uri="{63B3BB69-23CF-44E3-9099-C40C66FF867C}">
                  <a14:compatExt spid="_x0000_s1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333375</xdr:colOff>
          <xdr:row>67</xdr:row>
          <xdr:rowOff>104775</xdr:rowOff>
        </xdr:from>
        <xdr:to>
          <xdr:col>1</xdr:col>
          <xdr:colOff>714375</xdr:colOff>
          <xdr:row>68</xdr:row>
          <xdr:rowOff>152400</xdr:rowOff>
        </xdr:to>
        <xdr:sp macro="" textlink="">
          <xdr:nvSpPr>
            <xdr:cNvPr id="1423" name="CheckBox16" hidden="1">
              <a:extLst>
                <a:ext uri="{63B3BB69-23CF-44E3-9099-C40C66FF867C}">
                  <a14:compatExt spid="_x0000_s1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104775</xdr:colOff>
          <xdr:row>67</xdr:row>
          <xdr:rowOff>114300</xdr:rowOff>
        </xdr:from>
        <xdr:to>
          <xdr:col>8</xdr:col>
          <xdr:colOff>38100</xdr:colOff>
          <xdr:row>68</xdr:row>
          <xdr:rowOff>161925</xdr:rowOff>
        </xdr:to>
        <xdr:sp macro="" textlink="">
          <xdr:nvSpPr>
            <xdr:cNvPr id="1424" name="CheckBox17" hidden="1">
              <a:extLst>
                <a:ext uri="{63B3BB69-23CF-44E3-9099-C40C66FF867C}">
                  <a14:compatExt spid="_x0000_s1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0.52698</cdr:x>
      <cdr:y>0.48822</cdr:y>
    </cdr:from>
    <cdr:to>
      <cdr:x>0.54219</cdr:x>
      <cdr:y>0.51963</cdr:y>
    </cdr:to>
    <cdr:sp macro="" textlink="">
      <cdr:nvSpPr>
        <cdr:cNvPr id="259073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58483" y="2523642"/>
          <a:ext cx="76624" cy="1621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0.52673</cdr:x>
      <cdr:y>0.48724</cdr:y>
    </cdr:from>
    <cdr:to>
      <cdr:x>0.54193</cdr:x>
      <cdr:y>0.51865</cdr:y>
    </cdr:to>
    <cdr:sp macro="" textlink="">
      <cdr:nvSpPr>
        <cdr:cNvPr id="286721" name="Tex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32137" y="2509298"/>
          <a:ext cx="75886" cy="16154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62</xdr:row>
          <xdr:rowOff>0</xdr:rowOff>
        </xdr:from>
        <xdr:to>
          <xdr:col>2</xdr:col>
          <xdr:colOff>66675</xdr:colOff>
          <xdr:row>63</xdr:row>
          <xdr:rowOff>9525</xdr:rowOff>
        </xdr:to>
        <xdr:sp macro="" textlink="">
          <xdr:nvSpPr>
            <xdr:cNvPr id="185345" name="SpinButton1" hidden="1">
              <a:extLst>
                <a:ext uri="{63B3BB69-23CF-44E3-9099-C40C66FF867C}">
                  <a14:compatExt spid="_x0000_s185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</xdr:colOff>
          <xdr:row>62</xdr:row>
          <xdr:rowOff>9525</xdr:rowOff>
        </xdr:from>
        <xdr:to>
          <xdr:col>4</xdr:col>
          <xdr:colOff>171450</xdr:colOff>
          <xdr:row>63</xdr:row>
          <xdr:rowOff>9525</xdr:rowOff>
        </xdr:to>
        <xdr:sp macro="" textlink="">
          <xdr:nvSpPr>
            <xdr:cNvPr id="185346" name="SpinButton2" hidden="1">
              <a:extLst>
                <a:ext uri="{63B3BB69-23CF-44E3-9099-C40C66FF867C}">
                  <a14:compatExt spid="_x0000_s185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48</xdr:row>
          <xdr:rowOff>0</xdr:rowOff>
        </xdr:from>
        <xdr:to>
          <xdr:col>2</xdr:col>
          <xdr:colOff>333375</xdr:colOff>
          <xdr:row>48</xdr:row>
          <xdr:rowOff>190500</xdr:rowOff>
        </xdr:to>
        <xdr:sp macro="" textlink="">
          <xdr:nvSpPr>
            <xdr:cNvPr id="185347" name="ComboBox1" hidden="1">
              <a:extLst>
                <a:ext uri="{63B3BB69-23CF-44E3-9099-C40C66FF867C}">
                  <a14:compatExt spid="_x0000_s185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50</xdr:row>
          <xdr:rowOff>0</xdr:rowOff>
        </xdr:from>
        <xdr:to>
          <xdr:col>3</xdr:col>
          <xdr:colOff>9525</xdr:colOff>
          <xdr:row>51</xdr:row>
          <xdr:rowOff>19050</xdr:rowOff>
        </xdr:to>
        <xdr:sp macro="" textlink="">
          <xdr:nvSpPr>
            <xdr:cNvPr id="185362" name="CommandButton15" hidden="1">
              <a:extLst>
                <a:ext uri="{63B3BB69-23CF-44E3-9099-C40C66FF867C}">
                  <a14:compatExt spid="_x0000_s18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50</xdr:row>
          <xdr:rowOff>0</xdr:rowOff>
        </xdr:from>
        <xdr:to>
          <xdr:col>4</xdr:col>
          <xdr:colOff>9525</xdr:colOff>
          <xdr:row>51</xdr:row>
          <xdr:rowOff>19050</xdr:rowOff>
        </xdr:to>
        <xdr:sp macro="" textlink="">
          <xdr:nvSpPr>
            <xdr:cNvPr id="185363" name="CommandButton16" hidden="1">
              <a:extLst>
                <a:ext uri="{63B3BB69-23CF-44E3-9099-C40C66FF867C}">
                  <a14:compatExt spid="_x0000_s18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65</xdr:row>
          <xdr:rowOff>0</xdr:rowOff>
        </xdr:from>
        <xdr:to>
          <xdr:col>2</xdr:col>
          <xdr:colOff>438150</xdr:colOff>
          <xdr:row>66</xdr:row>
          <xdr:rowOff>9525</xdr:rowOff>
        </xdr:to>
        <xdr:sp macro="" textlink="">
          <xdr:nvSpPr>
            <xdr:cNvPr id="185364" name="CommandButton17" hidden="1">
              <a:extLst>
                <a:ext uri="{63B3BB69-23CF-44E3-9099-C40C66FF867C}">
                  <a14:compatExt spid="_x0000_s18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64</xdr:row>
          <xdr:rowOff>161925</xdr:rowOff>
        </xdr:from>
        <xdr:to>
          <xdr:col>3</xdr:col>
          <xdr:colOff>438150</xdr:colOff>
          <xdr:row>66</xdr:row>
          <xdr:rowOff>0</xdr:rowOff>
        </xdr:to>
        <xdr:sp macro="" textlink="">
          <xdr:nvSpPr>
            <xdr:cNvPr id="185365" name="CommandButton18" hidden="1">
              <a:extLst>
                <a:ext uri="{63B3BB69-23CF-44E3-9099-C40C66FF867C}">
                  <a14:compatExt spid="_x0000_s18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68</xdr:row>
          <xdr:rowOff>0</xdr:rowOff>
        </xdr:from>
        <xdr:to>
          <xdr:col>9</xdr:col>
          <xdr:colOff>257175</xdr:colOff>
          <xdr:row>69</xdr:row>
          <xdr:rowOff>76200</xdr:rowOff>
        </xdr:to>
        <xdr:sp macro="" textlink="">
          <xdr:nvSpPr>
            <xdr:cNvPr id="185390" name="CommandButton43" hidden="1">
              <a:extLst>
                <a:ext uri="{63B3BB69-23CF-44E3-9099-C40C66FF867C}">
                  <a14:compatExt spid="_x0000_s18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342900</xdr:colOff>
          <xdr:row>67</xdr:row>
          <xdr:rowOff>161925</xdr:rowOff>
        </xdr:from>
        <xdr:to>
          <xdr:col>13</xdr:col>
          <xdr:colOff>9525</xdr:colOff>
          <xdr:row>69</xdr:row>
          <xdr:rowOff>57150</xdr:rowOff>
        </xdr:to>
        <xdr:sp macro="" textlink="">
          <xdr:nvSpPr>
            <xdr:cNvPr id="185391" name="CommandButton44" hidden="1">
              <a:extLst>
                <a:ext uri="{63B3BB69-23CF-44E3-9099-C40C66FF867C}">
                  <a14:compatExt spid="_x0000_s18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48</xdr:row>
          <xdr:rowOff>114300</xdr:rowOff>
        </xdr:from>
        <xdr:to>
          <xdr:col>20</xdr:col>
          <xdr:colOff>19050</xdr:colOff>
          <xdr:row>50</xdr:row>
          <xdr:rowOff>19050</xdr:rowOff>
        </xdr:to>
        <xdr:sp macro="" textlink="">
          <xdr:nvSpPr>
            <xdr:cNvPr id="185392" name="CommandButton45" hidden="1">
              <a:extLst>
                <a:ext uri="{63B3BB69-23CF-44E3-9099-C40C66FF867C}">
                  <a14:compatExt spid="_x0000_s18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85725</xdr:colOff>
          <xdr:row>72</xdr:row>
          <xdr:rowOff>0</xdr:rowOff>
        </xdr:from>
        <xdr:to>
          <xdr:col>9</xdr:col>
          <xdr:colOff>266700</xdr:colOff>
          <xdr:row>73</xdr:row>
          <xdr:rowOff>76200</xdr:rowOff>
        </xdr:to>
        <xdr:sp macro="" textlink="">
          <xdr:nvSpPr>
            <xdr:cNvPr id="185393" name="CommandButton46" hidden="1">
              <a:extLst>
                <a:ext uri="{63B3BB69-23CF-44E3-9099-C40C66FF867C}">
                  <a14:compatExt spid="_x0000_s18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352425</xdr:colOff>
          <xdr:row>71</xdr:row>
          <xdr:rowOff>152400</xdr:rowOff>
        </xdr:from>
        <xdr:to>
          <xdr:col>13</xdr:col>
          <xdr:colOff>19050</xdr:colOff>
          <xdr:row>73</xdr:row>
          <xdr:rowOff>57150</xdr:rowOff>
        </xdr:to>
        <xdr:sp macro="" textlink="">
          <xdr:nvSpPr>
            <xdr:cNvPr id="185394" name="CommandButton47" hidden="1">
              <a:extLst>
                <a:ext uri="{63B3BB69-23CF-44E3-9099-C40C66FF867C}">
                  <a14:compatExt spid="_x0000_s18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200025</xdr:colOff>
          <xdr:row>46</xdr:row>
          <xdr:rowOff>85725</xdr:rowOff>
        </xdr:from>
        <xdr:to>
          <xdr:col>15</xdr:col>
          <xdr:colOff>428625</xdr:colOff>
          <xdr:row>48</xdr:row>
          <xdr:rowOff>104775</xdr:rowOff>
        </xdr:to>
        <xdr:sp macro="" textlink="">
          <xdr:nvSpPr>
            <xdr:cNvPr id="185395" name="CommandButton48" hidden="1">
              <a:extLst>
                <a:ext uri="{63B3BB69-23CF-44E3-9099-C40C66FF867C}">
                  <a14:compatExt spid="_x0000_s18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123825</xdr:colOff>
          <xdr:row>9</xdr:row>
          <xdr:rowOff>0</xdr:rowOff>
        </xdr:from>
        <xdr:to>
          <xdr:col>24</xdr:col>
          <xdr:colOff>9525</xdr:colOff>
          <xdr:row>10</xdr:row>
          <xdr:rowOff>9525</xdr:rowOff>
        </xdr:to>
        <xdr:sp macro="" textlink="">
          <xdr:nvSpPr>
            <xdr:cNvPr id="185396" name="SpinButton3" hidden="1">
              <a:extLst>
                <a:ext uri="{63B3BB69-23CF-44E3-9099-C40C66FF867C}">
                  <a14:compatExt spid="_x0000_s18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104775</xdr:colOff>
          <xdr:row>31</xdr:row>
          <xdr:rowOff>0</xdr:rowOff>
        </xdr:from>
        <xdr:to>
          <xdr:col>24</xdr:col>
          <xdr:colOff>19050</xdr:colOff>
          <xdr:row>32</xdr:row>
          <xdr:rowOff>19050</xdr:rowOff>
        </xdr:to>
        <xdr:sp macro="" textlink="">
          <xdr:nvSpPr>
            <xdr:cNvPr id="185397" name="SpinButton4" hidden="1">
              <a:extLst>
                <a:ext uri="{63B3BB69-23CF-44E3-9099-C40C66FF867C}">
                  <a14:compatExt spid="_x0000_s18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xdr:twoCellAnchor>
    <xdr:from>
      <xdr:col>69</xdr:col>
      <xdr:colOff>0</xdr:colOff>
      <xdr:row>4</xdr:row>
      <xdr:rowOff>0</xdr:rowOff>
    </xdr:from>
    <xdr:to>
      <xdr:col>69</xdr:col>
      <xdr:colOff>0</xdr:colOff>
      <xdr:row>10</xdr:row>
      <xdr:rowOff>0</xdr:rowOff>
    </xdr:to>
    <xdr:sp macro="" textlink="">
      <xdr:nvSpPr>
        <xdr:cNvPr id="781190" name="Line 85"/>
        <xdr:cNvSpPr>
          <a:spLocks noChangeShapeType="1"/>
        </xdr:cNvSpPr>
      </xdr:nvSpPr>
      <xdr:spPr bwMode="auto">
        <a:xfrm flipV="1">
          <a:off x="16173450" y="914400"/>
          <a:ext cx="0" cy="12001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600075</xdr:colOff>
      <xdr:row>5</xdr:row>
      <xdr:rowOff>57150</xdr:rowOff>
    </xdr:from>
    <xdr:to>
      <xdr:col>73</xdr:col>
      <xdr:colOff>495300</xdr:colOff>
      <xdr:row>10</xdr:row>
      <xdr:rowOff>0</xdr:rowOff>
    </xdr:to>
    <xdr:grpSp>
      <xdr:nvGrpSpPr>
        <xdr:cNvPr id="781191" name="Group 96"/>
        <xdr:cNvGrpSpPr>
          <a:grpSpLocks/>
        </xdr:cNvGrpSpPr>
      </xdr:nvGrpSpPr>
      <xdr:grpSpPr bwMode="auto">
        <a:xfrm>
          <a:off x="16163925" y="1171575"/>
          <a:ext cx="2943225" cy="942975"/>
          <a:chOff x="2504" y="123"/>
          <a:chExt cx="309" cy="99"/>
        </a:xfrm>
      </xdr:grpSpPr>
      <xdr:sp macro="" textlink="">
        <xdr:nvSpPr>
          <xdr:cNvPr id="781208" name="Line 79"/>
          <xdr:cNvSpPr>
            <a:spLocks noChangeShapeType="1"/>
          </xdr:cNvSpPr>
        </xdr:nvSpPr>
        <xdr:spPr bwMode="auto">
          <a:xfrm flipV="1">
            <a:off x="2504" y="150"/>
            <a:ext cx="228" cy="71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209" name="Line 81"/>
          <xdr:cNvSpPr>
            <a:spLocks noChangeShapeType="1"/>
          </xdr:cNvSpPr>
        </xdr:nvSpPr>
        <xdr:spPr bwMode="auto">
          <a:xfrm flipH="1" flipV="1">
            <a:off x="2731" y="150"/>
            <a:ext cx="30" cy="7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C0C0C0" mc:Ignorable="a14" a14:legacySpreadsheetColorIndex="22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210" name="Line 87"/>
          <xdr:cNvSpPr>
            <a:spLocks noChangeShapeType="1"/>
          </xdr:cNvSpPr>
        </xdr:nvSpPr>
        <xdr:spPr bwMode="auto">
          <a:xfrm flipV="1">
            <a:off x="2732" y="123"/>
            <a:ext cx="81" cy="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69</xdr:col>
      <xdr:colOff>0</xdr:colOff>
      <xdr:row>10</xdr:row>
      <xdr:rowOff>0</xdr:rowOff>
    </xdr:from>
    <xdr:to>
      <xdr:col>73</xdr:col>
      <xdr:colOff>9525</xdr:colOff>
      <xdr:row>10</xdr:row>
      <xdr:rowOff>0</xdr:rowOff>
    </xdr:to>
    <xdr:sp macro="" textlink="">
      <xdr:nvSpPr>
        <xdr:cNvPr id="781192" name="Line 78"/>
        <xdr:cNvSpPr>
          <a:spLocks noChangeShapeType="1"/>
        </xdr:cNvSpPr>
      </xdr:nvSpPr>
      <xdr:spPr bwMode="auto">
        <a:xfrm>
          <a:off x="16173450" y="2114550"/>
          <a:ext cx="24479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FF00" mc:Ignorable="a14" a14:legacySpreadsheetColorIndex="11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73</xdr:col>
      <xdr:colOff>0</xdr:colOff>
      <xdr:row>9</xdr:row>
      <xdr:rowOff>190500</xdr:rowOff>
    </xdr:from>
    <xdr:to>
      <xdr:col>74</xdr:col>
      <xdr:colOff>9525</xdr:colOff>
      <xdr:row>9</xdr:row>
      <xdr:rowOff>190500</xdr:rowOff>
    </xdr:to>
    <xdr:sp macro="" textlink="">
      <xdr:nvSpPr>
        <xdr:cNvPr id="781193" name="Line 84"/>
        <xdr:cNvSpPr>
          <a:spLocks noChangeShapeType="1"/>
        </xdr:cNvSpPr>
      </xdr:nvSpPr>
      <xdr:spPr bwMode="auto">
        <a:xfrm>
          <a:off x="18611850" y="2105025"/>
          <a:ext cx="619125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69</xdr:col>
      <xdr:colOff>0</xdr:colOff>
      <xdr:row>4</xdr:row>
      <xdr:rowOff>0</xdr:rowOff>
    </xdr:from>
    <xdr:to>
      <xdr:col>74</xdr:col>
      <xdr:colOff>0</xdr:colOff>
      <xdr:row>9</xdr:row>
      <xdr:rowOff>190500</xdr:rowOff>
    </xdr:to>
    <xdr:sp macro="" textlink="">
      <xdr:nvSpPr>
        <xdr:cNvPr id="781194" name="Line 86"/>
        <xdr:cNvSpPr>
          <a:spLocks noChangeShapeType="1"/>
        </xdr:cNvSpPr>
      </xdr:nvSpPr>
      <xdr:spPr bwMode="auto">
        <a:xfrm flipV="1">
          <a:off x="16173450" y="914400"/>
          <a:ext cx="3048000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71</xdr:col>
      <xdr:colOff>600075</xdr:colOff>
      <xdr:row>4</xdr:row>
      <xdr:rowOff>0</xdr:rowOff>
    </xdr:from>
    <xdr:to>
      <xdr:col>74</xdr:col>
      <xdr:colOff>0</xdr:colOff>
      <xdr:row>16</xdr:row>
      <xdr:rowOff>0</xdr:rowOff>
    </xdr:to>
    <xdr:sp macro="" textlink="">
      <xdr:nvSpPr>
        <xdr:cNvPr id="781195" name="Line 80"/>
        <xdr:cNvSpPr>
          <a:spLocks noChangeShapeType="1"/>
        </xdr:cNvSpPr>
      </xdr:nvSpPr>
      <xdr:spPr bwMode="auto">
        <a:xfrm flipV="1">
          <a:off x="17992725" y="914400"/>
          <a:ext cx="1228725" cy="24003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600075</xdr:colOff>
      <xdr:row>2</xdr:row>
      <xdr:rowOff>133350</xdr:rowOff>
    </xdr:from>
    <xdr:to>
      <xdr:col>69</xdr:col>
      <xdr:colOff>0</xdr:colOff>
      <xdr:row>16</xdr:row>
      <xdr:rowOff>180975</xdr:rowOff>
    </xdr:to>
    <xdr:sp macro="" textlink="">
      <xdr:nvSpPr>
        <xdr:cNvPr id="781196" name="Line 82"/>
        <xdr:cNvSpPr>
          <a:spLocks noChangeShapeType="1"/>
        </xdr:cNvSpPr>
      </xdr:nvSpPr>
      <xdr:spPr bwMode="auto">
        <a:xfrm flipV="1">
          <a:off x="16163925" y="647700"/>
          <a:ext cx="9525" cy="2847975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808080" mc:Ignorable="a14" a14:legacySpreadsheetColorIndex="23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295275</xdr:colOff>
      <xdr:row>4</xdr:row>
      <xdr:rowOff>0</xdr:rowOff>
    </xdr:from>
    <xdr:to>
      <xdr:col>74</xdr:col>
      <xdr:colOff>0</xdr:colOff>
      <xdr:row>4</xdr:row>
      <xdr:rowOff>0</xdr:rowOff>
    </xdr:to>
    <xdr:sp macro="" textlink="">
      <xdr:nvSpPr>
        <xdr:cNvPr id="781197" name="Line 83"/>
        <xdr:cNvSpPr>
          <a:spLocks noChangeShapeType="1"/>
        </xdr:cNvSpPr>
      </xdr:nvSpPr>
      <xdr:spPr bwMode="auto">
        <a:xfrm>
          <a:off x="15859125" y="914400"/>
          <a:ext cx="3362325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68</xdr:col>
      <xdr:colOff>323850</xdr:colOff>
      <xdr:row>16</xdr:row>
      <xdr:rowOff>0</xdr:rowOff>
    </xdr:from>
    <xdr:to>
      <xdr:col>72</xdr:col>
      <xdr:colOff>0</xdr:colOff>
      <xdr:row>16</xdr:row>
      <xdr:rowOff>9525</xdr:rowOff>
    </xdr:to>
    <xdr:sp macro="" textlink="">
      <xdr:nvSpPr>
        <xdr:cNvPr id="781198" name="Line 88"/>
        <xdr:cNvSpPr>
          <a:spLocks noChangeShapeType="1"/>
        </xdr:cNvSpPr>
      </xdr:nvSpPr>
      <xdr:spPr bwMode="auto">
        <a:xfrm flipV="1">
          <a:off x="15887700" y="3314700"/>
          <a:ext cx="2114550" cy="95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69</xdr:col>
      <xdr:colOff>0</xdr:colOff>
      <xdr:row>10</xdr:row>
      <xdr:rowOff>9525</xdr:rowOff>
    </xdr:from>
    <xdr:to>
      <xdr:col>72</xdr:col>
      <xdr:colOff>0</xdr:colOff>
      <xdr:row>16</xdr:row>
      <xdr:rowOff>0</xdr:rowOff>
    </xdr:to>
    <xdr:sp macro="" textlink="">
      <xdr:nvSpPr>
        <xdr:cNvPr id="781199" name="Line 89"/>
        <xdr:cNvSpPr>
          <a:spLocks noChangeShapeType="1"/>
        </xdr:cNvSpPr>
      </xdr:nvSpPr>
      <xdr:spPr bwMode="auto">
        <a:xfrm>
          <a:off x="16173450" y="2124075"/>
          <a:ext cx="1828800" cy="11906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FF" mc:Ignorable="a14" a14:legacySpreadsheetColorIndex="1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69</xdr:col>
      <xdr:colOff>9525</xdr:colOff>
      <xdr:row>10</xdr:row>
      <xdr:rowOff>9525</xdr:rowOff>
    </xdr:from>
    <xdr:to>
      <xdr:col>72</xdr:col>
      <xdr:colOff>219075</xdr:colOff>
      <xdr:row>12</xdr:row>
      <xdr:rowOff>19050</xdr:rowOff>
    </xdr:to>
    <xdr:sp macro="" textlink="">
      <xdr:nvSpPr>
        <xdr:cNvPr id="781200" name="Line 90"/>
        <xdr:cNvSpPr>
          <a:spLocks noChangeShapeType="1"/>
        </xdr:cNvSpPr>
      </xdr:nvSpPr>
      <xdr:spPr bwMode="auto">
        <a:xfrm>
          <a:off x="16182975" y="2124075"/>
          <a:ext cx="2038350" cy="409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72</xdr:col>
      <xdr:colOff>0</xdr:colOff>
      <xdr:row>12</xdr:row>
      <xdr:rowOff>28575</xdr:rowOff>
    </xdr:from>
    <xdr:to>
      <xdr:col>72</xdr:col>
      <xdr:colOff>200025</xdr:colOff>
      <xdr:row>15</xdr:row>
      <xdr:rowOff>161925</xdr:rowOff>
    </xdr:to>
    <xdr:sp macro="" textlink="">
      <xdr:nvSpPr>
        <xdr:cNvPr id="781201" name="Line 91"/>
        <xdr:cNvSpPr>
          <a:spLocks noChangeShapeType="1"/>
        </xdr:cNvSpPr>
      </xdr:nvSpPr>
      <xdr:spPr bwMode="auto">
        <a:xfrm flipV="1">
          <a:off x="18002250" y="2543175"/>
          <a:ext cx="200025" cy="7334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C0C0C0" mc:Ignorable="a14" a14:legacySpreadsheetColorIndex="2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72</xdr:col>
      <xdr:colOff>219075</xdr:colOff>
      <xdr:row>12</xdr:row>
      <xdr:rowOff>19050</xdr:rowOff>
    </xdr:from>
    <xdr:to>
      <xdr:col>72</xdr:col>
      <xdr:colOff>371475</xdr:colOff>
      <xdr:row>12</xdr:row>
      <xdr:rowOff>47625</xdr:rowOff>
    </xdr:to>
    <xdr:sp macro="" textlink="">
      <xdr:nvSpPr>
        <xdr:cNvPr id="781202" name="Line 92"/>
        <xdr:cNvSpPr>
          <a:spLocks noChangeShapeType="1"/>
        </xdr:cNvSpPr>
      </xdr:nvSpPr>
      <xdr:spPr bwMode="auto">
        <a:xfrm>
          <a:off x="18221325" y="2533650"/>
          <a:ext cx="152400" cy="28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67</xdr:col>
      <xdr:colOff>219075</xdr:colOff>
      <xdr:row>4</xdr:row>
      <xdr:rowOff>0</xdr:rowOff>
    </xdr:from>
    <xdr:to>
      <xdr:col>69</xdr:col>
      <xdr:colOff>0</xdr:colOff>
      <xdr:row>10</xdr:row>
      <xdr:rowOff>9525</xdr:rowOff>
    </xdr:to>
    <xdr:grpSp>
      <xdr:nvGrpSpPr>
        <xdr:cNvPr id="781203" name="Group 111"/>
        <xdr:cNvGrpSpPr>
          <a:grpSpLocks/>
        </xdr:cNvGrpSpPr>
      </xdr:nvGrpSpPr>
      <xdr:grpSpPr bwMode="auto">
        <a:xfrm>
          <a:off x="15563850" y="914400"/>
          <a:ext cx="609600" cy="1209675"/>
          <a:chOff x="2480" y="96"/>
          <a:chExt cx="105" cy="127"/>
        </a:xfrm>
      </xdr:grpSpPr>
      <xdr:sp macro="" textlink="">
        <xdr:nvSpPr>
          <xdr:cNvPr id="781204" name="Line 105"/>
          <xdr:cNvSpPr>
            <a:spLocks noChangeShapeType="1"/>
          </xdr:cNvSpPr>
        </xdr:nvSpPr>
        <xdr:spPr bwMode="auto">
          <a:xfrm flipH="1" flipV="1">
            <a:off x="2540" y="96"/>
            <a:ext cx="45" cy="127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800080" mc:Ignorable="a14" a14:legacySpreadsheetColorIndex="2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205" name="Line 107"/>
          <xdr:cNvSpPr>
            <a:spLocks noChangeShapeType="1"/>
          </xdr:cNvSpPr>
        </xdr:nvSpPr>
        <xdr:spPr bwMode="auto">
          <a:xfrm flipH="1">
            <a:off x="2515" y="96"/>
            <a:ext cx="26" cy="5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206" name="Line 108"/>
          <xdr:cNvSpPr>
            <a:spLocks noChangeShapeType="1"/>
          </xdr:cNvSpPr>
        </xdr:nvSpPr>
        <xdr:spPr bwMode="auto">
          <a:xfrm flipH="1" flipV="1">
            <a:off x="2480" y="106"/>
            <a:ext cx="105" cy="115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prstDash val="dash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81207" name="Line 110"/>
          <xdr:cNvSpPr>
            <a:spLocks noChangeShapeType="1"/>
          </xdr:cNvSpPr>
        </xdr:nvSpPr>
        <xdr:spPr bwMode="auto">
          <a:xfrm flipH="1" flipV="1">
            <a:off x="2526" y="126"/>
            <a:ext cx="59" cy="96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339933" mc:Ignorable="a14" a14:legacySpreadsheetColorIndex="50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609600</xdr:colOff>
          <xdr:row>71</xdr:row>
          <xdr:rowOff>0</xdr:rowOff>
        </xdr:from>
        <xdr:to>
          <xdr:col>2</xdr:col>
          <xdr:colOff>38100</xdr:colOff>
          <xdr:row>72</xdr:row>
          <xdr:rowOff>9525</xdr:rowOff>
        </xdr:to>
        <xdr:sp macro="" textlink="">
          <xdr:nvSpPr>
            <xdr:cNvPr id="185505" name="SpinButton5" hidden="1">
              <a:extLst>
                <a:ext uri="{63B3BB69-23CF-44E3-9099-C40C66FF867C}">
                  <a14:compatExt spid="_x0000_s185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419100</xdr:colOff>
          <xdr:row>70</xdr:row>
          <xdr:rowOff>161925</xdr:rowOff>
        </xdr:from>
        <xdr:to>
          <xdr:col>4</xdr:col>
          <xdr:colOff>161925</xdr:colOff>
          <xdr:row>72</xdr:row>
          <xdr:rowOff>0</xdr:rowOff>
        </xdr:to>
        <xdr:sp macro="" textlink="">
          <xdr:nvSpPr>
            <xdr:cNvPr id="185506" name="SpinButton6" hidden="1">
              <a:extLst>
                <a:ext uri="{63B3BB69-23CF-44E3-9099-C40C66FF867C}">
                  <a14:compatExt spid="_x0000_s185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142875</xdr:colOff>
          <xdr:row>53</xdr:row>
          <xdr:rowOff>133350</xdr:rowOff>
        </xdr:from>
        <xdr:to>
          <xdr:col>9</xdr:col>
          <xdr:colOff>133350</xdr:colOff>
          <xdr:row>54</xdr:row>
          <xdr:rowOff>152400</xdr:rowOff>
        </xdr:to>
        <xdr:sp macro="" textlink="">
          <xdr:nvSpPr>
            <xdr:cNvPr id="185603" name="OptionButton1" hidden="1">
              <a:extLst>
                <a:ext uri="{63B3BB69-23CF-44E3-9099-C40C66FF867C}">
                  <a14:compatExt spid="_x0000_s18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371475</xdr:colOff>
          <xdr:row>53</xdr:row>
          <xdr:rowOff>133350</xdr:rowOff>
        </xdr:from>
        <xdr:to>
          <xdr:col>11</xdr:col>
          <xdr:colOff>209550</xdr:colOff>
          <xdr:row>54</xdr:row>
          <xdr:rowOff>152400</xdr:rowOff>
        </xdr:to>
        <xdr:sp macro="" textlink="">
          <xdr:nvSpPr>
            <xdr:cNvPr id="185604" name="OptionButton2" hidden="1">
              <a:extLst>
                <a:ext uri="{63B3BB69-23CF-44E3-9099-C40C66FF867C}">
                  <a14:compatExt spid="_x0000_s18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53</xdr:row>
          <xdr:rowOff>133350</xdr:rowOff>
        </xdr:from>
        <xdr:to>
          <xdr:col>12</xdr:col>
          <xdr:colOff>438150</xdr:colOff>
          <xdr:row>54</xdr:row>
          <xdr:rowOff>152400</xdr:rowOff>
        </xdr:to>
        <xdr:sp macro="" textlink="">
          <xdr:nvSpPr>
            <xdr:cNvPr id="185605" name="OptionButton3" hidden="1">
              <a:extLst>
                <a:ext uri="{63B3BB69-23CF-44E3-9099-C40C66FF867C}">
                  <a14:compatExt spid="_x0000_s18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54</xdr:row>
          <xdr:rowOff>133350</xdr:rowOff>
        </xdr:from>
        <xdr:to>
          <xdr:col>10</xdr:col>
          <xdr:colOff>19050</xdr:colOff>
          <xdr:row>56</xdr:row>
          <xdr:rowOff>28575</xdr:rowOff>
        </xdr:to>
        <xdr:sp macro="" textlink="">
          <xdr:nvSpPr>
            <xdr:cNvPr id="185619" name="CommandButton19" hidden="1">
              <a:extLst>
                <a:ext uri="{63B3BB69-23CF-44E3-9099-C40C66FF867C}">
                  <a14:compatExt spid="_x0000_s18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133350</xdr:rowOff>
        </xdr:from>
        <xdr:to>
          <xdr:col>13</xdr:col>
          <xdr:colOff>9525</xdr:colOff>
          <xdr:row>56</xdr:row>
          <xdr:rowOff>28575</xdr:rowOff>
        </xdr:to>
        <xdr:sp macro="" textlink="">
          <xdr:nvSpPr>
            <xdr:cNvPr id="185620" name="CommandButton20" hidden="1">
              <a:extLst>
                <a:ext uri="{63B3BB69-23CF-44E3-9099-C40C66FF867C}">
                  <a14:compatExt spid="_x0000_s18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123825</xdr:colOff>
          <xdr:row>60</xdr:row>
          <xdr:rowOff>133350</xdr:rowOff>
        </xdr:from>
        <xdr:to>
          <xdr:col>9</xdr:col>
          <xdr:colOff>114300</xdr:colOff>
          <xdr:row>61</xdr:row>
          <xdr:rowOff>133350</xdr:rowOff>
        </xdr:to>
        <xdr:sp macro="" textlink="">
          <xdr:nvSpPr>
            <xdr:cNvPr id="185631" name="OptionButton4" hidden="1">
              <a:extLst>
                <a:ext uri="{63B3BB69-23CF-44E3-9099-C40C66FF867C}">
                  <a14:compatExt spid="_x0000_s18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361950</xdr:colOff>
          <xdr:row>60</xdr:row>
          <xdr:rowOff>133350</xdr:rowOff>
        </xdr:from>
        <xdr:to>
          <xdr:col>11</xdr:col>
          <xdr:colOff>200025</xdr:colOff>
          <xdr:row>61</xdr:row>
          <xdr:rowOff>133350</xdr:rowOff>
        </xdr:to>
        <xdr:sp macro="" textlink="">
          <xdr:nvSpPr>
            <xdr:cNvPr id="185632" name="OptionButton5" hidden="1">
              <a:extLst>
                <a:ext uri="{63B3BB69-23CF-44E3-9099-C40C66FF867C}">
                  <a14:compatExt spid="_x0000_s18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60</xdr:row>
          <xdr:rowOff>133350</xdr:rowOff>
        </xdr:from>
        <xdr:to>
          <xdr:col>12</xdr:col>
          <xdr:colOff>438150</xdr:colOff>
          <xdr:row>61</xdr:row>
          <xdr:rowOff>133350</xdr:rowOff>
        </xdr:to>
        <xdr:sp macro="" textlink="">
          <xdr:nvSpPr>
            <xdr:cNvPr id="185633" name="OptionButton6" hidden="1">
              <a:extLst>
                <a:ext uri="{63B3BB69-23CF-44E3-9099-C40C66FF867C}">
                  <a14:compatExt spid="_x0000_s18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61</xdr:row>
          <xdr:rowOff>133350</xdr:rowOff>
        </xdr:from>
        <xdr:to>
          <xdr:col>10</xdr:col>
          <xdr:colOff>19050</xdr:colOff>
          <xdr:row>63</xdr:row>
          <xdr:rowOff>28575</xdr:rowOff>
        </xdr:to>
        <xdr:sp macro="" textlink="">
          <xdr:nvSpPr>
            <xdr:cNvPr id="185634" name="CommandButton21" hidden="1">
              <a:extLst>
                <a:ext uri="{63B3BB69-23CF-44E3-9099-C40C66FF867C}">
                  <a14:compatExt spid="_x0000_s18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133350</xdr:rowOff>
        </xdr:from>
        <xdr:to>
          <xdr:col>13</xdr:col>
          <xdr:colOff>9525</xdr:colOff>
          <xdr:row>63</xdr:row>
          <xdr:rowOff>28575</xdr:rowOff>
        </xdr:to>
        <xdr:sp macro="" textlink="">
          <xdr:nvSpPr>
            <xdr:cNvPr id="185635" name="CommandButton22" hidden="1">
              <a:extLst>
                <a:ext uri="{63B3BB69-23CF-44E3-9099-C40C66FF867C}">
                  <a14:compatExt spid="_x0000_s18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47625</xdr:colOff>
          <xdr:row>16</xdr:row>
          <xdr:rowOff>142875</xdr:rowOff>
        </xdr:from>
        <xdr:to>
          <xdr:col>3</xdr:col>
          <xdr:colOff>257175</xdr:colOff>
          <xdr:row>18</xdr:row>
          <xdr:rowOff>9525</xdr:rowOff>
        </xdr:to>
        <xdr:sp macro="" textlink="">
          <xdr:nvSpPr>
            <xdr:cNvPr id="357378" name="SpinButton3" hidden="1">
              <a:extLst>
                <a:ext uri="{63B3BB69-23CF-44E3-9099-C40C66FF867C}">
                  <a14:compatExt spid="_x0000_s357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14</xdr:row>
          <xdr:rowOff>123825</xdr:rowOff>
        </xdr:from>
        <xdr:to>
          <xdr:col>3</xdr:col>
          <xdr:colOff>304800</xdr:colOff>
          <xdr:row>16</xdr:row>
          <xdr:rowOff>19050</xdr:rowOff>
        </xdr:to>
        <xdr:sp macro="" textlink="">
          <xdr:nvSpPr>
            <xdr:cNvPr id="357379" name="ComboBox2" hidden="1">
              <a:extLst>
                <a:ext uri="{63B3BB69-23CF-44E3-9099-C40C66FF867C}">
                  <a14:compatExt spid="_x0000_s357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19</xdr:row>
          <xdr:rowOff>95250</xdr:rowOff>
        </xdr:from>
        <xdr:to>
          <xdr:col>1</xdr:col>
          <xdr:colOff>333375</xdr:colOff>
          <xdr:row>21</xdr:row>
          <xdr:rowOff>85725</xdr:rowOff>
        </xdr:to>
        <xdr:sp macro="" textlink="">
          <xdr:nvSpPr>
            <xdr:cNvPr id="357380" name="CommandButton2" hidden="1">
              <a:extLst>
                <a:ext uri="{63B3BB69-23CF-44E3-9099-C40C66FF867C}">
                  <a14:compatExt spid="_x0000_s357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333375</xdr:colOff>
          <xdr:row>10</xdr:row>
          <xdr:rowOff>152400</xdr:rowOff>
        </xdr:from>
        <xdr:to>
          <xdr:col>24</xdr:col>
          <xdr:colOff>495300</xdr:colOff>
          <xdr:row>12</xdr:row>
          <xdr:rowOff>152400</xdr:rowOff>
        </xdr:to>
        <xdr:sp macro="" textlink="">
          <xdr:nvSpPr>
            <xdr:cNvPr id="357381" name="CommandButton3" hidden="1">
              <a:extLst>
                <a:ext uri="{63B3BB69-23CF-44E3-9099-C40C66FF867C}">
                  <a14:compatExt spid="_x0000_s357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66675</xdr:colOff>
          <xdr:row>24</xdr:row>
          <xdr:rowOff>66675</xdr:rowOff>
        </xdr:from>
        <xdr:to>
          <xdr:col>1</xdr:col>
          <xdr:colOff>314325</xdr:colOff>
          <xdr:row>26</xdr:row>
          <xdr:rowOff>57150</xdr:rowOff>
        </xdr:to>
        <xdr:sp macro="" textlink="">
          <xdr:nvSpPr>
            <xdr:cNvPr id="357383" name="CommandButton4" hidden="1">
              <a:extLst>
                <a:ext uri="{63B3BB69-23CF-44E3-9099-C40C66FF867C}">
                  <a14:compatExt spid="_x0000_s357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0</xdr:colOff>
          <xdr:row>8</xdr:row>
          <xdr:rowOff>104775</xdr:rowOff>
        </xdr:from>
        <xdr:to>
          <xdr:col>16</xdr:col>
          <xdr:colOff>28575</xdr:colOff>
          <xdr:row>10</xdr:row>
          <xdr:rowOff>104775</xdr:rowOff>
        </xdr:to>
        <xdr:grpSp>
          <xdr:nvGrpSpPr>
            <xdr:cNvPr id="357866" name="Group 8"/>
            <xdr:cNvGrpSpPr>
              <a:grpSpLocks/>
            </xdr:cNvGrpSpPr>
          </xdr:nvGrpSpPr>
          <xdr:grpSpPr bwMode="auto">
            <a:xfrm>
              <a:off x="6581775" y="1409700"/>
              <a:ext cx="923925" cy="323850"/>
              <a:chOff x="487" y="134"/>
              <a:chExt cx="98" cy="34"/>
            </a:xfrm>
          </xdr:grpSpPr>
          <xdr:sp macro="" textlink="">
            <xdr:nvSpPr>
              <xdr:cNvPr id="357385" name="ComboBox3" hidden="1">
                <a:extLst>
                  <a:ext uri="{63B3BB69-23CF-44E3-9099-C40C66FF867C}">
                    <a14:compatExt spid="_x0000_s357385"/>
                  </a:ext>
                </a:extLst>
              </xdr:cNvPr>
              <xdr:cNvSpPr/>
            </xdr:nvSpPr>
            <xdr:spPr bwMode="auto">
              <a:xfrm>
                <a:off x="487" y="146"/>
                <a:ext cx="95" cy="2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57386" name="Label1" hidden="1">
                <a:extLst>
                  <a:ext uri="{63B3BB69-23CF-44E3-9099-C40C66FF867C}">
                    <a14:compatExt spid="_x0000_s357386"/>
                  </a:ext>
                </a:extLst>
              </xdr:cNvPr>
              <xdr:cNvSpPr/>
            </xdr:nvSpPr>
            <xdr:spPr bwMode="auto">
              <a:xfrm>
                <a:off x="487" y="134"/>
                <a:ext cx="98" cy="16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19050</xdr:colOff>
          <xdr:row>8</xdr:row>
          <xdr:rowOff>95250</xdr:rowOff>
        </xdr:from>
        <xdr:to>
          <xdr:col>18</xdr:col>
          <xdr:colOff>47625</xdr:colOff>
          <xdr:row>10</xdr:row>
          <xdr:rowOff>104775</xdr:rowOff>
        </xdr:to>
        <xdr:grpSp>
          <xdr:nvGrpSpPr>
            <xdr:cNvPr id="357867" name="Group 11"/>
            <xdr:cNvGrpSpPr>
              <a:grpSpLocks/>
            </xdr:cNvGrpSpPr>
          </xdr:nvGrpSpPr>
          <xdr:grpSpPr bwMode="auto">
            <a:xfrm>
              <a:off x="7496175" y="1400175"/>
              <a:ext cx="952500" cy="333375"/>
              <a:chOff x="584" y="133"/>
              <a:chExt cx="99" cy="35"/>
            </a:xfrm>
          </xdr:grpSpPr>
          <xdr:sp macro="" textlink="">
            <xdr:nvSpPr>
              <xdr:cNvPr id="357388" name="ComboBox1" hidden="1">
                <a:extLst>
                  <a:ext uri="{63B3BB69-23CF-44E3-9099-C40C66FF867C}">
                    <a14:compatExt spid="_x0000_s357388"/>
                  </a:ext>
                </a:extLst>
              </xdr:cNvPr>
              <xdr:cNvSpPr/>
            </xdr:nvSpPr>
            <xdr:spPr bwMode="auto">
              <a:xfrm>
                <a:off x="584" y="146"/>
                <a:ext cx="95" cy="22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57389" name="Label2" hidden="1">
                <a:extLst>
                  <a:ext uri="{63B3BB69-23CF-44E3-9099-C40C66FF867C}">
                    <a14:compatExt spid="_x0000_s357389"/>
                  </a:ext>
                </a:extLst>
              </xdr:cNvPr>
              <xdr:cNvSpPr/>
            </xdr:nvSpPr>
            <xdr:spPr bwMode="auto">
              <a:xfrm>
                <a:off x="585" y="133"/>
                <a:ext cx="98" cy="17"/>
              </a:xfrm>
              <a:prstGeom prst="rect">
                <a:avLst/>
              </a:prstGeom>
              <a:noFill/>
              <a:ln>
                <a:noFill/>
              </a:ln>
              <a:extLst>
                <a:ext uri="{91240B29-F687-4F45-9708-019B960494DF}">
                  <a14:hiddenLine w="9525">
                    <a:noFill/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85725</xdr:colOff>
          <xdr:row>16</xdr:row>
          <xdr:rowOff>57150</xdr:rowOff>
        </xdr:from>
        <xdr:to>
          <xdr:col>1</xdr:col>
          <xdr:colOff>285750</xdr:colOff>
          <xdr:row>18</xdr:row>
          <xdr:rowOff>47625</xdr:rowOff>
        </xdr:to>
        <xdr:sp macro="" textlink="">
          <xdr:nvSpPr>
            <xdr:cNvPr id="357392" name="CommandButton5" hidden="1">
              <a:extLst>
                <a:ext uri="{63B3BB69-23CF-44E3-9099-C40C66FF867C}">
                  <a14:compatExt spid="_x0000_s357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38100</xdr:colOff>
          <xdr:row>15</xdr:row>
          <xdr:rowOff>38100</xdr:rowOff>
        </xdr:from>
        <xdr:to>
          <xdr:col>10</xdr:col>
          <xdr:colOff>266700</xdr:colOff>
          <xdr:row>17</xdr:row>
          <xdr:rowOff>28575</xdr:rowOff>
        </xdr:to>
        <xdr:sp macro="" textlink="">
          <xdr:nvSpPr>
            <xdr:cNvPr id="357393" name="CommandButton6" hidden="1">
              <a:extLst>
                <a:ext uri="{63B3BB69-23CF-44E3-9099-C40C66FF867C}">
                  <a14:compatExt spid="_x0000_s357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53640926-AAD7-44D8-BBD7-CCE9431645EC}">
                <a14:shadowObscured val="1"/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47625</xdr:colOff>
          <xdr:row>0</xdr:row>
          <xdr:rowOff>152400</xdr:rowOff>
        </xdr:from>
        <xdr:to>
          <xdr:col>20</xdr:col>
          <xdr:colOff>0</xdr:colOff>
          <xdr:row>2</xdr:row>
          <xdr:rowOff>19050</xdr:rowOff>
        </xdr:to>
        <xdr:sp macro="" textlink="">
          <xdr:nvSpPr>
            <xdr:cNvPr id="357417" name="OptionButton1" hidden="1">
              <a:extLst>
                <a:ext uri="{63B3BB69-23CF-44E3-9099-C40C66FF867C}">
                  <a14:compatExt spid="_x0000_s35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47625</xdr:colOff>
          <xdr:row>2</xdr:row>
          <xdr:rowOff>0</xdr:rowOff>
        </xdr:from>
        <xdr:to>
          <xdr:col>19</xdr:col>
          <xdr:colOff>190500</xdr:colOff>
          <xdr:row>3</xdr:row>
          <xdr:rowOff>0</xdr:rowOff>
        </xdr:to>
        <xdr:sp macro="" textlink="">
          <xdr:nvSpPr>
            <xdr:cNvPr id="357418" name="OptionButton2" hidden="1">
              <a:extLst>
                <a:ext uri="{63B3BB69-23CF-44E3-9099-C40C66FF867C}">
                  <a14:compatExt spid="_x0000_s35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18</xdr:col>
          <xdr:colOff>0</xdr:colOff>
          <xdr:row>0</xdr:row>
          <xdr:rowOff>57150</xdr:rowOff>
        </xdr:from>
        <xdr:to>
          <xdr:col>20</xdr:col>
          <xdr:colOff>0</xdr:colOff>
          <xdr:row>4</xdr:row>
          <xdr:rowOff>0</xdr:rowOff>
        </xdr:to>
        <xdr:sp macro="" textlink="">
          <xdr:nvSpPr>
            <xdr:cNvPr id="357419" name="Group Box 43" hidden="1">
              <a:extLst>
                <a:ext uri="{63B3BB69-23CF-44E3-9099-C40C66FF867C}">
                  <a14:compatExt spid="_x0000_s35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Comms: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266700</xdr:colOff>
          <xdr:row>0</xdr:row>
          <xdr:rowOff>57150</xdr:rowOff>
        </xdr:from>
        <xdr:to>
          <xdr:col>17</xdr:col>
          <xdr:colOff>266700</xdr:colOff>
          <xdr:row>4</xdr:row>
          <xdr:rowOff>0</xdr:rowOff>
        </xdr:to>
        <xdr:sp macro="" textlink="">
          <xdr:nvSpPr>
            <xdr:cNvPr id="357420" name="Group Box 44" hidden="1">
              <a:extLst>
                <a:ext uri="{63B3BB69-23CF-44E3-9099-C40C66FF867C}">
                  <a14:compatExt spid="_x0000_s35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Terminals: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323850</xdr:colOff>
          <xdr:row>0</xdr:row>
          <xdr:rowOff>152400</xdr:rowOff>
        </xdr:from>
        <xdr:to>
          <xdr:col>17</xdr:col>
          <xdr:colOff>257175</xdr:colOff>
          <xdr:row>2</xdr:row>
          <xdr:rowOff>19050</xdr:rowOff>
        </xdr:to>
        <xdr:sp macro="" textlink="">
          <xdr:nvSpPr>
            <xdr:cNvPr id="357421" name="OptionButton3" hidden="1">
              <a:extLst>
                <a:ext uri="{63B3BB69-23CF-44E3-9099-C40C66FF867C}">
                  <a14:compatExt spid="_x0000_s35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323850</xdr:colOff>
          <xdr:row>2</xdr:row>
          <xdr:rowOff>0</xdr:rowOff>
        </xdr:from>
        <xdr:to>
          <xdr:col>17</xdr:col>
          <xdr:colOff>257175</xdr:colOff>
          <xdr:row>3</xdr:row>
          <xdr:rowOff>19050</xdr:rowOff>
        </xdr:to>
        <xdr:sp macro="" textlink="">
          <xdr:nvSpPr>
            <xdr:cNvPr id="357422" name="OptionButton4" hidden="1">
              <a:extLst>
                <a:ext uri="{63B3BB69-23CF-44E3-9099-C40C66FF867C}">
                  <a14:compatExt spid="_x0000_s35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19050</xdr:colOff>
          <xdr:row>2</xdr:row>
          <xdr:rowOff>152400</xdr:rowOff>
        </xdr:from>
        <xdr:to>
          <xdr:col>8</xdr:col>
          <xdr:colOff>476250</xdr:colOff>
          <xdr:row>4</xdr:row>
          <xdr:rowOff>47625</xdr:rowOff>
        </xdr:to>
        <xdr:sp macro="" textlink="">
          <xdr:nvSpPr>
            <xdr:cNvPr id="357423" name="CheckBox3" hidden="1">
              <a:extLst>
                <a:ext uri="{63B3BB69-23CF-44E3-9099-C40C66FF867C}">
                  <a14:compatExt spid="_x0000_s35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31</xdr:row>
          <xdr:rowOff>133350</xdr:rowOff>
        </xdr:from>
        <xdr:to>
          <xdr:col>20</xdr:col>
          <xdr:colOff>123825</xdr:colOff>
          <xdr:row>32</xdr:row>
          <xdr:rowOff>161925</xdr:rowOff>
        </xdr:to>
        <xdr:sp macro="" textlink="">
          <xdr:nvSpPr>
            <xdr:cNvPr id="357464" name="SpinButton1" hidden="1">
              <a:extLst>
                <a:ext uri="{63B3BB69-23CF-44E3-9099-C40C66FF867C}">
                  <a14:compatExt spid="_x0000_s357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</xdr:colOff>
          <xdr:row>33</xdr:row>
          <xdr:rowOff>9525</xdr:rowOff>
        </xdr:from>
        <xdr:to>
          <xdr:col>20</xdr:col>
          <xdr:colOff>123825</xdr:colOff>
          <xdr:row>34</xdr:row>
          <xdr:rowOff>28575</xdr:rowOff>
        </xdr:to>
        <xdr:sp macro="" textlink="">
          <xdr:nvSpPr>
            <xdr:cNvPr id="357465" name="SpinButton2" hidden="1">
              <a:extLst>
                <a:ext uri="{63B3BB69-23CF-44E3-9099-C40C66FF867C}">
                  <a14:compatExt spid="_x0000_s357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5</xdr:col>
      <xdr:colOff>371475</xdr:colOff>
      <xdr:row>28</xdr:row>
      <xdr:rowOff>76200</xdr:rowOff>
    </xdr:from>
    <xdr:to>
      <xdr:col>15</xdr:col>
      <xdr:colOff>295275</xdr:colOff>
      <xdr:row>46</xdr:row>
      <xdr:rowOff>47625</xdr:rowOff>
    </xdr:to>
    <xdr:graphicFrame macro="">
      <xdr:nvGraphicFramePr>
        <xdr:cNvPr id="357868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447675</xdr:colOff>
          <xdr:row>33</xdr:row>
          <xdr:rowOff>0</xdr:rowOff>
        </xdr:from>
        <xdr:to>
          <xdr:col>22</xdr:col>
          <xdr:colOff>104775</xdr:colOff>
          <xdr:row>34</xdr:row>
          <xdr:rowOff>19050</xdr:rowOff>
        </xdr:to>
        <xdr:sp macro="" textlink="">
          <xdr:nvSpPr>
            <xdr:cNvPr id="357470" name="SpinButton4" hidden="1">
              <a:extLst>
                <a:ext uri="{63B3BB69-23CF-44E3-9099-C40C66FF867C}">
                  <a14:compatExt spid="_x0000_s357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8</xdr:row>
      <xdr:rowOff>0</xdr:rowOff>
    </xdr:from>
    <xdr:to>
      <xdr:col>9</xdr:col>
      <xdr:colOff>466725</xdr:colOff>
      <xdr:row>38</xdr:row>
      <xdr:rowOff>47625</xdr:rowOff>
    </xdr:to>
    <xdr:graphicFrame macro="">
      <xdr:nvGraphicFramePr>
        <xdr:cNvPr id="34841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381000</xdr:colOff>
          <xdr:row>0</xdr:row>
          <xdr:rowOff>57150</xdr:rowOff>
        </xdr:from>
        <xdr:to>
          <xdr:col>2</xdr:col>
          <xdr:colOff>600075</xdr:colOff>
          <xdr:row>2</xdr:row>
          <xdr:rowOff>0</xdr:rowOff>
        </xdr:to>
        <xdr:sp macro="" textlink="">
          <xdr:nvSpPr>
            <xdr:cNvPr id="348162" name="SpinButton1" hidden="1">
              <a:extLst>
                <a:ext uri="{63B3BB69-23CF-44E3-9099-C40C66FF867C}">
                  <a14:compatExt spid="_x0000_s348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>
    <xdr:from>
      <xdr:col>9</xdr:col>
      <xdr:colOff>466725</xdr:colOff>
      <xdr:row>8</xdr:row>
      <xdr:rowOff>0</xdr:rowOff>
    </xdr:from>
    <xdr:to>
      <xdr:col>14</xdr:col>
      <xdr:colOff>447675</xdr:colOff>
      <xdr:row>23</xdr:row>
      <xdr:rowOff>133350</xdr:rowOff>
    </xdr:to>
    <xdr:graphicFrame macro="">
      <xdr:nvGraphicFramePr>
        <xdr:cNvPr id="3484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7SA51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Test Data"/>
      <sheetName val="Fast Test"/>
      <sheetName val="Starting Char."/>
      <sheetName val="Tripping Char."/>
      <sheetName val="Fault Model"/>
      <sheetName val="EF calcs"/>
    </sheetNames>
    <sheetDataSet>
      <sheetData sheetId="0" refreshError="1">
        <row r="17">
          <cell r="I17">
            <v>0.4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ontrol" Target="../activeX/activeX13.xml"/><Relationship Id="rId117" Type="http://schemas.openxmlformats.org/officeDocument/2006/relationships/control" Target="../activeX/activeX61.xml"/><Relationship Id="rId21" Type="http://schemas.openxmlformats.org/officeDocument/2006/relationships/image" Target="../media/image9.emf"/><Relationship Id="rId42" Type="http://schemas.openxmlformats.org/officeDocument/2006/relationships/control" Target="../activeX/activeX22.xml"/><Relationship Id="rId47" Type="http://schemas.openxmlformats.org/officeDocument/2006/relationships/image" Target="../media/image20.emf"/><Relationship Id="rId63" Type="http://schemas.openxmlformats.org/officeDocument/2006/relationships/image" Target="../media/image28.emf"/><Relationship Id="rId68" Type="http://schemas.openxmlformats.org/officeDocument/2006/relationships/control" Target="../activeX/activeX35.xml"/><Relationship Id="rId84" Type="http://schemas.openxmlformats.org/officeDocument/2006/relationships/control" Target="../activeX/activeX43.xml"/><Relationship Id="rId89" Type="http://schemas.openxmlformats.org/officeDocument/2006/relationships/image" Target="../media/image41.emf"/><Relationship Id="rId112" Type="http://schemas.openxmlformats.org/officeDocument/2006/relationships/image" Target="../media/image51.emf"/><Relationship Id="rId16" Type="http://schemas.openxmlformats.org/officeDocument/2006/relationships/control" Target="../activeX/activeX7.xml"/><Relationship Id="rId107" Type="http://schemas.openxmlformats.org/officeDocument/2006/relationships/image" Target="../media/image50.emf"/><Relationship Id="rId11" Type="http://schemas.openxmlformats.org/officeDocument/2006/relationships/image" Target="../media/image4.emf"/><Relationship Id="rId32" Type="http://schemas.openxmlformats.org/officeDocument/2006/relationships/control" Target="../activeX/activeX17.xml"/><Relationship Id="rId37" Type="http://schemas.openxmlformats.org/officeDocument/2006/relationships/image" Target="../media/image15.emf"/><Relationship Id="rId53" Type="http://schemas.openxmlformats.org/officeDocument/2006/relationships/image" Target="../media/image23.emf"/><Relationship Id="rId58" Type="http://schemas.openxmlformats.org/officeDocument/2006/relationships/control" Target="../activeX/activeX30.xml"/><Relationship Id="rId74" Type="http://schemas.openxmlformats.org/officeDocument/2006/relationships/control" Target="../activeX/activeX38.xml"/><Relationship Id="rId79" Type="http://schemas.openxmlformats.org/officeDocument/2006/relationships/image" Target="../media/image36.emf"/><Relationship Id="rId102" Type="http://schemas.openxmlformats.org/officeDocument/2006/relationships/control" Target="../activeX/activeX52.xml"/><Relationship Id="rId123" Type="http://schemas.openxmlformats.org/officeDocument/2006/relationships/ctrlProp" Target="../ctrlProps/ctrlProp1.xml"/><Relationship Id="rId5" Type="http://schemas.openxmlformats.org/officeDocument/2006/relationships/image" Target="../media/image1.emf"/><Relationship Id="rId90" Type="http://schemas.openxmlformats.org/officeDocument/2006/relationships/control" Target="../activeX/activeX46.xml"/><Relationship Id="rId95" Type="http://schemas.openxmlformats.org/officeDocument/2006/relationships/image" Target="../media/image44.emf"/><Relationship Id="rId22" Type="http://schemas.openxmlformats.org/officeDocument/2006/relationships/control" Target="../activeX/activeX10.xml"/><Relationship Id="rId27" Type="http://schemas.openxmlformats.org/officeDocument/2006/relationships/control" Target="../activeX/activeX14.xml"/><Relationship Id="rId43" Type="http://schemas.openxmlformats.org/officeDocument/2006/relationships/image" Target="../media/image18.emf"/><Relationship Id="rId48" Type="http://schemas.openxmlformats.org/officeDocument/2006/relationships/control" Target="../activeX/activeX25.xml"/><Relationship Id="rId64" Type="http://schemas.openxmlformats.org/officeDocument/2006/relationships/control" Target="../activeX/activeX33.xml"/><Relationship Id="rId69" Type="http://schemas.openxmlformats.org/officeDocument/2006/relationships/image" Target="../media/image31.emf"/><Relationship Id="rId113" Type="http://schemas.openxmlformats.org/officeDocument/2006/relationships/control" Target="../activeX/activeX59.xml"/><Relationship Id="rId118" Type="http://schemas.openxmlformats.org/officeDocument/2006/relationships/image" Target="../media/image54.emf"/><Relationship Id="rId80" Type="http://schemas.openxmlformats.org/officeDocument/2006/relationships/control" Target="../activeX/activeX41.xml"/><Relationship Id="rId85" Type="http://schemas.openxmlformats.org/officeDocument/2006/relationships/image" Target="../media/image39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33" Type="http://schemas.openxmlformats.org/officeDocument/2006/relationships/image" Target="../media/image13.emf"/><Relationship Id="rId38" Type="http://schemas.openxmlformats.org/officeDocument/2006/relationships/control" Target="../activeX/activeX20.xml"/><Relationship Id="rId59" Type="http://schemas.openxmlformats.org/officeDocument/2006/relationships/image" Target="../media/image26.emf"/><Relationship Id="rId103" Type="http://schemas.openxmlformats.org/officeDocument/2006/relationships/image" Target="../media/image48.emf"/><Relationship Id="rId108" Type="http://schemas.openxmlformats.org/officeDocument/2006/relationships/control" Target="../activeX/activeX55.xml"/><Relationship Id="rId124" Type="http://schemas.openxmlformats.org/officeDocument/2006/relationships/ctrlProp" Target="../ctrlProps/ctrlProp2.xml"/><Relationship Id="rId54" Type="http://schemas.openxmlformats.org/officeDocument/2006/relationships/control" Target="../activeX/activeX28.xml"/><Relationship Id="rId70" Type="http://schemas.openxmlformats.org/officeDocument/2006/relationships/control" Target="../activeX/activeX36.xml"/><Relationship Id="rId75" Type="http://schemas.openxmlformats.org/officeDocument/2006/relationships/image" Target="../media/image34.emf"/><Relationship Id="rId91" Type="http://schemas.openxmlformats.org/officeDocument/2006/relationships/image" Target="../media/image42.emf"/><Relationship Id="rId96" Type="http://schemas.openxmlformats.org/officeDocument/2006/relationships/control" Target="../activeX/activeX49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23" Type="http://schemas.openxmlformats.org/officeDocument/2006/relationships/image" Target="../media/image10.emf"/><Relationship Id="rId28" Type="http://schemas.openxmlformats.org/officeDocument/2006/relationships/control" Target="../activeX/activeX15.xml"/><Relationship Id="rId49" Type="http://schemas.openxmlformats.org/officeDocument/2006/relationships/image" Target="../media/image21.emf"/><Relationship Id="rId114" Type="http://schemas.openxmlformats.org/officeDocument/2006/relationships/image" Target="../media/image52.emf"/><Relationship Id="rId119" Type="http://schemas.openxmlformats.org/officeDocument/2006/relationships/control" Target="../activeX/activeX62.xml"/><Relationship Id="rId44" Type="http://schemas.openxmlformats.org/officeDocument/2006/relationships/control" Target="../activeX/activeX23.xml"/><Relationship Id="rId60" Type="http://schemas.openxmlformats.org/officeDocument/2006/relationships/control" Target="../activeX/activeX31.xml"/><Relationship Id="rId65" Type="http://schemas.openxmlformats.org/officeDocument/2006/relationships/image" Target="../media/image29.emf"/><Relationship Id="rId81" Type="http://schemas.openxmlformats.org/officeDocument/2006/relationships/image" Target="../media/image37.emf"/><Relationship Id="rId86" Type="http://schemas.openxmlformats.org/officeDocument/2006/relationships/control" Target="../activeX/activeX44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39" Type="http://schemas.openxmlformats.org/officeDocument/2006/relationships/image" Target="../media/image16.emf"/><Relationship Id="rId109" Type="http://schemas.openxmlformats.org/officeDocument/2006/relationships/control" Target="../activeX/activeX56.xml"/><Relationship Id="rId34" Type="http://schemas.openxmlformats.org/officeDocument/2006/relationships/control" Target="../activeX/activeX18.xml"/><Relationship Id="rId50" Type="http://schemas.openxmlformats.org/officeDocument/2006/relationships/control" Target="../activeX/activeX26.xml"/><Relationship Id="rId55" Type="http://schemas.openxmlformats.org/officeDocument/2006/relationships/image" Target="../media/image24.emf"/><Relationship Id="rId76" Type="http://schemas.openxmlformats.org/officeDocument/2006/relationships/control" Target="../activeX/activeX39.xml"/><Relationship Id="rId97" Type="http://schemas.openxmlformats.org/officeDocument/2006/relationships/image" Target="../media/image45.emf"/><Relationship Id="rId104" Type="http://schemas.openxmlformats.org/officeDocument/2006/relationships/control" Target="../activeX/activeX53.xml"/><Relationship Id="rId120" Type="http://schemas.openxmlformats.org/officeDocument/2006/relationships/image" Target="../media/image55.emf"/><Relationship Id="rId125" Type="http://schemas.openxmlformats.org/officeDocument/2006/relationships/comments" Target="../comments1.xml"/><Relationship Id="rId7" Type="http://schemas.openxmlformats.org/officeDocument/2006/relationships/image" Target="../media/image2.emf"/><Relationship Id="rId71" Type="http://schemas.openxmlformats.org/officeDocument/2006/relationships/image" Target="../media/image32.emf"/><Relationship Id="rId92" Type="http://schemas.openxmlformats.org/officeDocument/2006/relationships/control" Target="../activeX/activeX47.xml"/><Relationship Id="rId2" Type="http://schemas.openxmlformats.org/officeDocument/2006/relationships/drawing" Target="../drawings/drawing1.xml"/><Relationship Id="rId29" Type="http://schemas.openxmlformats.org/officeDocument/2006/relationships/image" Target="../media/image11.emf"/><Relationship Id="rId24" Type="http://schemas.openxmlformats.org/officeDocument/2006/relationships/control" Target="../activeX/activeX11.xml"/><Relationship Id="rId40" Type="http://schemas.openxmlformats.org/officeDocument/2006/relationships/control" Target="../activeX/activeX21.xml"/><Relationship Id="rId45" Type="http://schemas.openxmlformats.org/officeDocument/2006/relationships/image" Target="../media/image19.emf"/><Relationship Id="rId66" Type="http://schemas.openxmlformats.org/officeDocument/2006/relationships/control" Target="../activeX/activeX34.xml"/><Relationship Id="rId87" Type="http://schemas.openxmlformats.org/officeDocument/2006/relationships/image" Target="../media/image40.emf"/><Relationship Id="rId110" Type="http://schemas.openxmlformats.org/officeDocument/2006/relationships/control" Target="../activeX/activeX57.xml"/><Relationship Id="rId115" Type="http://schemas.openxmlformats.org/officeDocument/2006/relationships/control" Target="../activeX/activeX60.xml"/><Relationship Id="rId61" Type="http://schemas.openxmlformats.org/officeDocument/2006/relationships/image" Target="../media/image27.emf"/><Relationship Id="rId82" Type="http://schemas.openxmlformats.org/officeDocument/2006/relationships/control" Target="../activeX/activeX42.xml"/><Relationship Id="rId19" Type="http://schemas.openxmlformats.org/officeDocument/2006/relationships/image" Target="../media/image8.emf"/><Relationship Id="rId14" Type="http://schemas.openxmlformats.org/officeDocument/2006/relationships/control" Target="../activeX/activeX6.xml"/><Relationship Id="rId30" Type="http://schemas.openxmlformats.org/officeDocument/2006/relationships/control" Target="../activeX/activeX16.xml"/><Relationship Id="rId35" Type="http://schemas.openxmlformats.org/officeDocument/2006/relationships/image" Target="../media/image14.emf"/><Relationship Id="rId56" Type="http://schemas.openxmlformats.org/officeDocument/2006/relationships/control" Target="../activeX/activeX29.xml"/><Relationship Id="rId77" Type="http://schemas.openxmlformats.org/officeDocument/2006/relationships/image" Target="../media/image35.emf"/><Relationship Id="rId100" Type="http://schemas.openxmlformats.org/officeDocument/2006/relationships/control" Target="../activeX/activeX51.xml"/><Relationship Id="rId105" Type="http://schemas.openxmlformats.org/officeDocument/2006/relationships/image" Target="../media/image49.emf"/><Relationship Id="rId8" Type="http://schemas.openxmlformats.org/officeDocument/2006/relationships/control" Target="../activeX/activeX3.xml"/><Relationship Id="rId51" Type="http://schemas.openxmlformats.org/officeDocument/2006/relationships/image" Target="../media/image22.emf"/><Relationship Id="rId72" Type="http://schemas.openxmlformats.org/officeDocument/2006/relationships/control" Target="../activeX/activeX37.xml"/><Relationship Id="rId93" Type="http://schemas.openxmlformats.org/officeDocument/2006/relationships/image" Target="../media/image43.emf"/><Relationship Id="rId98" Type="http://schemas.openxmlformats.org/officeDocument/2006/relationships/control" Target="../activeX/activeX50.xml"/><Relationship Id="rId121" Type="http://schemas.openxmlformats.org/officeDocument/2006/relationships/control" Target="../activeX/activeX63.xml"/><Relationship Id="rId3" Type="http://schemas.openxmlformats.org/officeDocument/2006/relationships/vmlDrawing" Target="../drawings/vmlDrawing1.vml"/><Relationship Id="rId25" Type="http://schemas.openxmlformats.org/officeDocument/2006/relationships/control" Target="../activeX/activeX12.xml"/><Relationship Id="rId46" Type="http://schemas.openxmlformats.org/officeDocument/2006/relationships/control" Target="../activeX/activeX24.xml"/><Relationship Id="rId67" Type="http://schemas.openxmlformats.org/officeDocument/2006/relationships/image" Target="../media/image30.emf"/><Relationship Id="rId116" Type="http://schemas.openxmlformats.org/officeDocument/2006/relationships/image" Target="../media/image53.emf"/><Relationship Id="rId20" Type="http://schemas.openxmlformats.org/officeDocument/2006/relationships/control" Target="../activeX/activeX9.xml"/><Relationship Id="rId41" Type="http://schemas.openxmlformats.org/officeDocument/2006/relationships/image" Target="../media/image17.emf"/><Relationship Id="rId62" Type="http://schemas.openxmlformats.org/officeDocument/2006/relationships/control" Target="../activeX/activeX32.xml"/><Relationship Id="rId83" Type="http://schemas.openxmlformats.org/officeDocument/2006/relationships/image" Target="../media/image38.emf"/><Relationship Id="rId88" Type="http://schemas.openxmlformats.org/officeDocument/2006/relationships/control" Target="../activeX/activeX45.xml"/><Relationship Id="rId111" Type="http://schemas.openxmlformats.org/officeDocument/2006/relationships/control" Target="../activeX/activeX58.xml"/><Relationship Id="rId15" Type="http://schemas.openxmlformats.org/officeDocument/2006/relationships/image" Target="../media/image6.emf"/><Relationship Id="rId36" Type="http://schemas.openxmlformats.org/officeDocument/2006/relationships/control" Target="../activeX/activeX19.xml"/><Relationship Id="rId57" Type="http://schemas.openxmlformats.org/officeDocument/2006/relationships/image" Target="../media/image25.emf"/><Relationship Id="rId106" Type="http://schemas.openxmlformats.org/officeDocument/2006/relationships/control" Target="../activeX/activeX54.xml"/><Relationship Id="rId10" Type="http://schemas.openxmlformats.org/officeDocument/2006/relationships/control" Target="../activeX/activeX4.xml"/><Relationship Id="rId31" Type="http://schemas.openxmlformats.org/officeDocument/2006/relationships/image" Target="../media/image12.emf"/><Relationship Id="rId52" Type="http://schemas.openxmlformats.org/officeDocument/2006/relationships/control" Target="../activeX/activeX27.xml"/><Relationship Id="rId73" Type="http://schemas.openxmlformats.org/officeDocument/2006/relationships/image" Target="../media/image33.emf"/><Relationship Id="rId78" Type="http://schemas.openxmlformats.org/officeDocument/2006/relationships/control" Target="../activeX/activeX40.xml"/><Relationship Id="rId94" Type="http://schemas.openxmlformats.org/officeDocument/2006/relationships/control" Target="../activeX/activeX48.xml"/><Relationship Id="rId99" Type="http://schemas.openxmlformats.org/officeDocument/2006/relationships/image" Target="../media/image46.emf"/><Relationship Id="rId101" Type="http://schemas.openxmlformats.org/officeDocument/2006/relationships/image" Target="../media/image47.emf"/><Relationship Id="rId122" Type="http://schemas.openxmlformats.org/officeDocument/2006/relationships/image" Target="../media/image56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image" Target="../media/image61.emf"/><Relationship Id="rId18" Type="http://schemas.openxmlformats.org/officeDocument/2006/relationships/image" Target="../media/image63.emf"/><Relationship Id="rId26" Type="http://schemas.openxmlformats.org/officeDocument/2006/relationships/control" Target="../activeX/activeX76.xml"/><Relationship Id="rId39" Type="http://schemas.openxmlformats.org/officeDocument/2006/relationships/image" Target="../media/image72.emf"/><Relationship Id="rId21" Type="http://schemas.openxmlformats.org/officeDocument/2006/relationships/control" Target="../activeX/activeX73.xml"/><Relationship Id="rId34" Type="http://schemas.openxmlformats.org/officeDocument/2006/relationships/control" Target="../activeX/activeX81.xml"/><Relationship Id="rId42" Type="http://schemas.openxmlformats.org/officeDocument/2006/relationships/control" Target="../activeX/activeX85.xml"/><Relationship Id="rId47" Type="http://schemas.openxmlformats.org/officeDocument/2006/relationships/image" Target="../media/image76.emf"/><Relationship Id="rId50" Type="http://schemas.openxmlformats.org/officeDocument/2006/relationships/control" Target="../activeX/activeX89.xml"/><Relationship Id="rId7" Type="http://schemas.openxmlformats.org/officeDocument/2006/relationships/image" Target="../media/image58.emf"/><Relationship Id="rId2" Type="http://schemas.openxmlformats.org/officeDocument/2006/relationships/drawing" Target="../drawings/drawing4.xml"/><Relationship Id="rId16" Type="http://schemas.openxmlformats.org/officeDocument/2006/relationships/control" Target="../activeX/activeX70.xml"/><Relationship Id="rId29" Type="http://schemas.openxmlformats.org/officeDocument/2006/relationships/image" Target="../media/image68.emf"/><Relationship Id="rId11" Type="http://schemas.openxmlformats.org/officeDocument/2006/relationships/image" Target="../media/image60.emf"/><Relationship Id="rId24" Type="http://schemas.openxmlformats.org/officeDocument/2006/relationships/image" Target="../media/image66.emf"/><Relationship Id="rId32" Type="http://schemas.openxmlformats.org/officeDocument/2006/relationships/control" Target="../activeX/activeX79.xml"/><Relationship Id="rId37" Type="http://schemas.openxmlformats.org/officeDocument/2006/relationships/image" Target="../media/image71.emf"/><Relationship Id="rId40" Type="http://schemas.openxmlformats.org/officeDocument/2006/relationships/control" Target="../activeX/activeX84.xml"/><Relationship Id="rId45" Type="http://schemas.openxmlformats.org/officeDocument/2006/relationships/image" Target="../media/image75.emf"/><Relationship Id="rId53" Type="http://schemas.openxmlformats.org/officeDocument/2006/relationships/image" Target="../media/image79.emf"/><Relationship Id="rId5" Type="http://schemas.openxmlformats.org/officeDocument/2006/relationships/image" Target="../media/image57.emf"/><Relationship Id="rId10" Type="http://schemas.openxmlformats.org/officeDocument/2006/relationships/control" Target="../activeX/activeX67.xml"/><Relationship Id="rId19" Type="http://schemas.openxmlformats.org/officeDocument/2006/relationships/control" Target="../activeX/activeX72.xml"/><Relationship Id="rId31" Type="http://schemas.openxmlformats.org/officeDocument/2006/relationships/image" Target="../media/image69.emf"/><Relationship Id="rId44" Type="http://schemas.openxmlformats.org/officeDocument/2006/relationships/control" Target="../activeX/activeX86.xml"/><Relationship Id="rId52" Type="http://schemas.openxmlformats.org/officeDocument/2006/relationships/control" Target="../activeX/activeX90.xml"/><Relationship Id="rId4" Type="http://schemas.openxmlformats.org/officeDocument/2006/relationships/control" Target="../activeX/activeX64.xml"/><Relationship Id="rId9" Type="http://schemas.openxmlformats.org/officeDocument/2006/relationships/image" Target="../media/image59.emf"/><Relationship Id="rId14" Type="http://schemas.openxmlformats.org/officeDocument/2006/relationships/control" Target="../activeX/activeX69.xml"/><Relationship Id="rId22" Type="http://schemas.openxmlformats.org/officeDocument/2006/relationships/image" Target="../media/image65.emf"/><Relationship Id="rId27" Type="http://schemas.openxmlformats.org/officeDocument/2006/relationships/image" Target="../media/image67.emf"/><Relationship Id="rId30" Type="http://schemas.openxmlformats.org/officeDocument/2006/relationships/control" Target="../activeX/activeX78.xml"/><Relationship Id="rId35" Type="http://schemas.openxmlformats.org/officeDocument/2006/relationships/image" Target="../media/image70.emf"/><Relationship Id="rId43" Type="http://schemas.openxmlformats.org/officeDocument/2006/relationships/image" Target="../media/image74.emf"/><Relationship Id="rId48" Type="http://schemas.openxmlformats.org/officeDocument/2006/relationships/control" Target="../activeX/activeX88.xml"/><Relationship Id="rId8" Type="http://schemas.openxmlformats.org/officeDocument/2006/relationships/control" Target="../activeX/activeX66.xml"/><Relationship Id="rId51" Type="http://schemas.openxmlformats.org/officeDocument/2006/relationships/image" Target="../media/image78.emf"/><Relationship Id="rId3" Type="http://schemas.openxmlformats.org/officeDocument/2006/relationships/vmlDrawing" Target="../drawings/vmlDrawing2.vml"/><Relationship Id="rId12" Type="http://schemas.openxmlformats.org/officeDocument/2006/relationships/control" Target="../activeX/activeX68.xml"/><Relationship Id="rId17" Type="http://schemas.openxmlformats.org/officeDocument/2006/relationships/control" Target="../activeX/activeX71.xml"/><Relationship Id="rId25" Type="http://schemas.openxmlformats.org/officeDocument/2006/relationships/control" Target="../activeX/activeX75.xml"/><Relationship Id="rId33" Type="http://schemas.openxmlformats.org/officeDocument/2006/relationships/control" Target="../activeX/activeX80.xml"/><Relationship Id="rId38" Type="http://schemas.openxmlformats.org/officeDocument/2006/relationships/control" Target="../activeX/activeX83.xml"/><Relationship Id="rId46" Type="http://schemas.openxmlformats.org/officeDocument/2006/relationships/control" Target="../activeX/activeX87.xml"/><Relationship Id="rId20" Type="http://schemas.openxmlformats.org/officeDocument/2006/relationships/image" Target="../media/image64.emf"/><Relationship Id="rId41" Type="http://schemas.openxmlformats.org/officeDocument/2006/relationships/image" Target="../media/image73.emf"/><Relationship Id="rId54" Type="http://schemas.openxmlformats.org/officeDocument/2006/relationships/comments" Target="../comments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65.xml"/><Relationship Id="rId15" Type="http://schemas.openxmlformats.org/officeDocument/2006/relationships/image" Target="../media/image62.emf"/><Relationship Id="rId23" Type="http://schemas.openxmlformats.org/officeDocument/2006/relationships/control" Target="../activeX/activeX74.xml"/><Relationship Id="rId28" Type="http://schemas.openxmlformats.org/officeDocument/2006/relationships/control" Target="../activeX/activeX77.xml"/><Relationship Id="rId36" Type="http://schemas.openxmlformats.org/officeDocument/2006/relationships/control" Target="../activeX/activeX82.xml"/><Relationship Id="rId49" Type="http://schemas.openxmlformats.org/officeDocument/2006/relationships/image" Target="../media/image77.emf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84.emf"/><Relationship Id="rId18" Type="http://schemas.openxmlformats.org/officeDocument/2006/relationships/control" Target="../activeX/activeX98.xml"/><Relationship Id="rId26" Type="http://schemas.openxmlformats.org/officeDocument/2006/relationships/control" Target="../activeX/activeX102.xml"/><Relationship Id="rId39" Type="http://schemas.openxmlformats.org/officeDocument/2006/relationships/control" Target="../activeX/activeX109.xml"/><Relationship Id="rId21" Type="http://schemas.openxmlformats.org/officeDocument/2006/relationships/image" Target="../media/image88.emf"/><Relationship Id="rId34" Type="http://schemas.openxmlformats.org/officeDocument/2006/relationships/control" Target="../activeX/activeX106.xml"/><Relationship Id="rId42" Type="http://schemas.openxmlformats.org/officeDocument/2006/relationships/comments" Target="../comments3.xml"/><Relationship Id="rId7" Type="http://schemas.openxmlformats.org/officeDocument/2006/relationships/image" Target="../media/image81.emf"/><Relationship Id="rId2" Type="http://schemas.openxmlformats.org/officeDocument/2006/relationships/drawing" Target="../drawings/drawing5.xml"/><Relationship Id="rId16" Type="http://schemas.openxmlformats.org/officeDocument/2006/relationships/control" Target="../activeX/activeX97.xml"/><Relationship Id="rId20" Type="http://schemas.openxmlformats.org/officeDocument/2006/relationships/control" Target="../activeX/activeX99.xml"/><Relationship Id="rId29" Type="http://schemas.openxmlformats.org/officeDocument/2006/relationships/image" Target="../media/image92.emf"/><Relationship Id="rId41" Type="http://schemas.openxmlformats.org/officeDocument/2006/relationships/ctrlProp" Target="../ctrlProps/ctrlProp4.xml"/><Relationship Id="rId1" Type="http://schemas.openxmlformats.org/officeDocument/2006/relationships/printerSettings" Target="../printerSettings/printerSettings3.bin"/><Relationship Id="rId6" Type="http://schemas.openxmlformats.org/officeDocument/2006/relationships/control" Target="../activeX/activeX92.xml"/><Relationship Id="rId11" Type="http://schemas.openxmlformats.org/officeDocument/2006/relationships/image" Target="../media/image83.emf"/><Relationship Id="rId24" Type="http://schemas.openxmlformats.org/officeDocument/2006/relationships/control" Target="../activeX/activeX101.xml"/><Relationship Id="rId32" Type="http://schemas.openxmlformats.org/officeDocument/2006/relationships/control" Target="../activeX/activeX105.xml"/><Relationship Id="rId37" Type="http://schemas.openxmlformats.org/officeDocument/2006/relationships/image" Target="../media/image96.emf"/><Relationship Id="rId40" Type="http://schemas.openxmlformats.org/officeDocument/2006/relationships/ctrlProp" Target="../ctrlProps/ctrlProp3.xml"/><Relationship Id="rId5" Type="http://schemas.openxmlformats.org/officeDocument/2006/relationships/image" Target="../media/image80.emf"/><Relationship Id="rId15" Type="http://schemas.openxmlformats.org/officeDocument/2006/relationships/image" Target="../media/image85.emf"/><Relationship Id="rId23" Type="http://schemas.openxmlformats.org/officeDocument/2006/relationships/image" Target="../media/image89.emf"/><Relationship Id="rId28" Type="http://schemas.openxmlformats.org/officeDocument/2006/relationships/control" Target="../activeX/activeX103.xml"/><Relationship Id="rId36" Type="http://schemas.openxmlformats.org/officeDocument/2006/relationships/control" Target="../activeX/activeX107.xml"/><Relationship Id="rId10" Type="http://schemas.openxmlformats.org/officeDocument/2006/relationships/control" Target="../activeX/activeX94.xml"/><Relationship Id="rId19" Type="http://schemas.openxmlformats.org/officeDocument/2006/relationships/image" Target="../media/image87.emf"/><Relationship Id="rId31" Type="http://schemas.openxmlformats.org/officeDocument/2006/relationships/image" Target="../media/image93.emf"/><Relationship Id="rId4" Type="http://schemas.openxmlformats.org/officeDocument/2006/relationships/control" Target="../activeX/activeX91.xml"/><Relationship Id="rId9" Type="http://schemas.openxmlformats.org/officeDocument/2006/relationships/image" Target="../media/image82.emf"/><Relationship Id="rId14" Type="http://schemas.openxmlformats.org/officeDocument/2006/relationships/control" Target="../activeX/activeX96.xml"/><Relationship Id="rId22" Type="http://schemas.openxmlformats.org/officeDocument/2006/relationships/control" Target="../activeX/activeX100.xml"/><Relationship Id="rId27" Type="http://schemas.openxmlformats.org/officeDocument/2006/relationships/image" Target="../media/image91.emf"/><Relationship Id="rId30" Type="http://schemas.openxmlformats.org/officeDocument/2006/relationships/control" Target="../activeX/activeX104.xml"/><Relationship Id="rId35" Type="http://schemas.openxmlformats.org/officeDocument/2006/relationships/image" Target="../media/image95.emf"/><Relationship Id="rId8" Type="http://schemas.openxmlformats.org/officeDocument/2006/relationships/control" Target="../activeX/activeX93.xml"/><Relationship Id="rId3" Type="http://schemas.openxmlformats.org/officeDocument/2006/relationships/vmlDrawing" Target="../drawings/vmlDrawing3.vml"/><Relationship Id="rId12" Type="http://schemas.openxmlformats.org/officeDocument/2006/relationships/control" Target="../activeX/activeX95.xml"/><Relationship Id="rId17" Type="http://schemas.openxmlformats.org/officeDocument/2006/relationships/image" Target="../media/image86.emf"/><Relationship Id="rId25" Type="http://schemas.openxmlformats.org/officeDocument/2006/relationships/image" Target="../media/image90.emf"/><Relationship Id="rId33" Type="http://schemas.openxmlformats.org/officeDocument/2006/relationships/image" Target="../media/image94.emf"/><Relationship Id="rId38" Type="http://schemas.openxmlformats.org/officeDocument/2006/relationships/control" Target="../activeX/activeX108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Relationship Id="rId6" Type="http://schemas.openxmlformats.org/officeDocument/2006/relationships/comments" Target="../comments4.xml"/><Relationship Id="rId5" Type="http://schemas.openxmlformats.org/officeDocument/2006/relationships/image" Target="../media/image97.emf"/><Relationship Id="rId4" Type="http://schemas.openxmlformats.org/officeDocument/2006/relationships/control" Target="../activeX/activeX110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L331"/>
  <sheetViews>
    <sheetView topLeftCell="A2" zoomScale="130" zoomScaleNormal="130" workbookViewId="0">
      <selection activeCell="M20" sqref="M20"/>
    </sheetView>
  </sheetViews>
  <sheetFormatPr defaultRowHeight="12.75"/>
  <cols>
    <col min="1" max="1" width="8.7109375" customWidth="1"/>
    <col min="2" max="2" width="15.42578125" style="2" customWidth="1"/>
    <col min="3" max="3" width="7.140625" customWidth="1"/>
    <col min="4" max="4" width="15.42578125" style="2" customWidth="1"/>
    <col min="5" max="5" width="7.28515625" customWidth="1"/>
    <col min="6" max="6" width="15.42578125" style="2" customWidth="1"/>
    <col min="7" max="7" width="7.28515625" customWidth="1"/>
    <col min="8" max="8" width="15.42578125" customWidth="1"/>
    <col min="9" max="9" width="7.28515625" customWidth="1"/>
    <col min="10" max="10" width="15.42578125" customWidth="1"/>
    <col min="11" max="11" width="7.28515625" customWidth="1"/>
    <col min="12" max="12" width="15.42578125" customWidth="1"/>
    <col min="13" max="13" width="7.5703125" customWidth="1"/>
    <col min="14" max="14" width="11.85546875" customWidth="1"/>
    <col min="15" max="15" width="9.42578125" customWidth="1"/>
    <col min="16" max="16" width="8.140625" hidden="1" customWidth="1"/>
    <col min="17" max="22" width="6.7109375" hidden="1" customWidth="1"/>
    <col min="23" max="23" width="7.42578125" hidden="1" customWidth="1"/>
    <col min="24" max="25" width="6.7109375" hidden="1" customWidth="1"/>
    <col min="26" max="28" width="9.140625" hidden="1" customWidth="1"/>
  </cols>
  <sheetData>
    <row r="1" spans="1:26" s="17" customFormat="1" ht="20.100000000000001" customHeight="1">
      <c r="B1" s="45" t="s">
        <v>66</v>
      </c>
      <c r="D1" s="46"/>
      <c r="E1"/>
      <c r="F1" s="47"/>
      <c r="H1" s="1166" t="s">
        <v>975</v>
      </c>
      <c r="I1" s="1166"/>
      <c r="J1" s="520"/>
      <c r="K1" s="520"/>
      <c r="L1" s="519">
        <v>40478</v>
      </c>
      <c r="M1" s="520"/>
      <c r="N1" s="1122"/>
      <c r="O1" s="1122"/>
      <c r="P1" s="513" t="s">
        <v>1008</v>
      </c>
      <c r="Q1" s="517" t="str">
        <f>Q7&amp;"A"</f>
        <v>5A</v>
      </c>
      <c r="R1"/>
      <c r="S1" s="1159" t="s">
        <v>2</v>
      </c>
      <c r="T1" s="1160"/>
      <c r="U1" s="1160"/>
      <c r="V1" s="1160"/>
      <c r="W1" s="1161"/>
      <c r="X1"/>
      <c r="Y1" s="1175" t="s">
        <v>977</v>
      </c>
      <c r="Z1" s="1175"/>
    </row>
    <row r="2" spans="1:26" s="17" customFormat="1" ht="20.100000000000001" customHeight="1">
      <c r="B2" s="45" t="s">
        <v>67</v>
      </c>
      <c r="F2" s="47"/>
      <c r="H2" s="1006"/>
      <c r="I2" s="520"/>
      <c r="J2" s="520"/>
      <c r="K2" s="520"/>
      <c r="L2" s="521"/>
      <c r="M2" s="521"/>
      <c r="N2" s="1122"/>
      <c r="O2" s="1122"/>
      <c r="P2" s="513" t="s">
        <v>1007</v>
      </c>
      <c r="Q2" s="518"/>
      <c r="R2"/>
      <c r="S2" s="512" t="s">
        <v>4</v>
      </c>
      <c r="T2" s="512"/>
      <c r="U2" s="512" t="s">
        <v>5</v>
      </c>
      <c r="V2" s="512"/>
      <c r="W2" s="118" t="s">
        <v>55</v>
      </c>
      <c r="Y2" s="663" t="s">
        <v>976</v>
      </c>
      <c r="Z2" s="663" t="s">
        <v>978</v>
      </c>
    </row>
    <row r="3" spans="1:26" s="3" customFormat="1" ht="20.100000000000001" customHeight="1">
      <c r="B3" s="4"/>
      <c r="D3" s="4"/>
      <c r="F3" s="4"/>
      <c r="H3" s="1006"/>
      <c r="I3" s="1007"/>
      <c r="J3" s="521"/>
      <c r="K3" s="521"/>
      <c r="L3" s="521"/>
      <c r="M3" s="521"/>
      <c r="N3" s="18"/>
      <c r="O3" s="18"/>
      <c r="P3" s="862" t="s">
        <v>628</v>
      </c>
      <c r="Q3" s="517" t="b">
        <v>0</v>
      </c>
      <c r="R3"/>
      <c r="S3" s="118">
        <f>IF($Q$6="7SA511",135,-22)</f>
        <v>-22</v>
      </c>
      <c r="T3" s="118">
        <f>IF($Q$6="7SA511",135,120)</f>
        <v>120</v>
      </c>
      <c r="U3" s="118">
        <f>IF($Q$6="7SA511",135,-22)</f>
        <v>-22</v>
      </c>
      <c r="V3" s="118">
        <f>IF($Q$6="7SA511",135,118)</f>
        <v>118</v>
      </c>
      <c r="W3" s="118">
        <v>8</v>
      </c>
    </row>
    <row r="4" spans="1:26" s="3" customFormat="1" ht="11.25" customHeight="1">
      <c r="A4" s="397" t="s">
        <v>618</v>
      </c>
      <c r="L4" s="597" t="s">
        <v>16</v>
      </c>
      <c r="M4" s="598">
        <f>IF(AND(Characteristic!C18&gt;25,Characteristic!C18&lt;65),10,IF(OR(Characteristic!C18&lt;10,Characteristic!C18&gt;80),2,5))</f>
        <v>10</v>
      </c>
      <c r="P4" s="141" t="s">
        <v>391</v>
      </c>
      <c r="Q4" s="517" t="b">
        <v>1</v>
      </c>
      <c r="S4" s="222"/>
      <c r="T4" s="663"/>
      <c r="U4" s="663"/>
      <c r="V4" s="664" t="s">
        <v>734</v>
      </c>
      <c r="W4" s="662">
        <f>IF($Q$6&lt;&gt;"7SA612",M12*1000,0)</f>
        <v>0</v>
      </c>
    </row>
    <row r="5" spans="1:26" s="3" customFormat="1">
      <c r="A5" s="6"/>
      <c r="B5" s="6" t="s">
        <v>398</v>
      </c>
      <c r="L5"/>
      <c r="P5" s="141" t="s">
        <v>844</v>
      </c>
      <c r="Q5" s="517" t="b">
        <v>0</v>
      </c>
      <c r="S5" s="222"/>
      <c r="T5" s="651" t="s">
        <v>735</v>
      </c>
      <c r="U5" s="222">
        <v>60</v>
      </c>
    </row>
    <row r="6" spans="1:26" s="3" customFormat="1" ht="12" thickBot="1">
      <c r="P6" s="514" t="s">
        <v>3</v>
      </c>
      <c r="Q6" s="517" t="str">
        <f>IF(Q3=TRUE,"7SA611",IF(Q4=TRUE,"7SA612","7SD522"))</f>
        <v>7SA612</v>
      </c>
      <c r="S6" s="222"/>
      <c r="T6" s="651" t="s">
        <v>736</v>
      </c>
      <c r="U6" s="350">
        <f>IF($Q$6&lt;&gt;"7SA612",'EF calcs'!C17,63)</f>
        <v>63</v>
      </c>
      <c r="V6" s="660">
        <f>IF($Q$6&lt;&gt;"7SA612",'EF calcs'!D17,120)</f>
        <v>120</v>
      </c>
      <c r="W6" s="654">
        <f>IF($Q$6&lt;&gt;"7SA612",'EF calcs'!C35,63)</f>
        <v>63</v>
      </c>
      <c r="X6" s="661">
        <f>IF($Q$6&lt;&gt;"7SA612",'EF calcs'!D35,120)</f>
        <v>120</v>
      </c>
    </row>
    <row r="7" spans="1:26" s="3" customFormat="1" ht="11.25">
      <c r="A7" s="891" t="s">
        <v>388</v>
      </c>
      <c r="B7" s="294"/>
      <c r="C7" s="349"/>
      <c r="D7" s="349"/>
      <c r="E7" s="349"/>
      <c r="F7" s="450" t="s">
        <v>617</v>
      </c>
      <c r="G7" s="451">
        <v>220</v>
      </c>
      <c r="H7" s="505" t="s">
        <v>389</v>
      </c>
      <c r="I7" s="442"/>
      <c r="J7" s="910" t="s">
        <v>935</v>
      </c>
      <c r="K7" s="911">
        <v>500</v>
      </c>
      <c r="L7" s="443"/>
      <c r="M7" s="444"/>
      <c r="P7" s="514" t="s">
        <v>65</v>
      </c>
      <c r="Q7" s="517">
        <v>5</v>
      </c>
      <c r="R7" s="698">
        <v>1</v>
      </c>
      <c r="S7" s="3" t="s">
        <v>743</v>
      </c>
      <c r="T7" s="137" t="b">
        <v>1</v>
      </c>
    </row>
    <row r="8" spans="1:26" s="3" customFormat="1">
      <c r="A8" s="191"/>
      <c r="B8" s="651" t="s">
        <v>390</v>
      </c>
      <c r="C8" s="866" t="str">
        <f>IF(Q10=0,"Busbar","Line")</f>
        <v>Busbar</v>
      </c>
      <c r="D8" s="222" t="s">
        <v>614</v>
      </c>
      <c r="E8" s="865">
        <v>1.73</v>
      </c>
      <c r="F8" s="441" t="s">
        <v>615</v>
      </c>
      <c r="G8" s="867">
        <v>100</v>
      </c>
      <c r="H8" s="885" t="s">
        <v>384</v>
      </c>
      <c r="I8" s="868">
        <v>0.93</v>
      </c>
      <c r="J8" s="908" t="s">
        <v>385</v>
      </c>
      <c r="K8" s="909">
        <v>0.85</v>
      </c>
      <c r="L8" s="691" t="s">
        <v>809</v>
      </c>
      <c r="M8" s="692"/>
      <c r="P8" s="141" t="s">
        <v>6</v>
      </c>
      <c r="Q8" s="517">
        <f>IF($Q6="7SD522",40,30)</f>
        <v>30</v>
      </c>
      <c r="S8"/>
      <c r="T8"/>
      <c r="U8"/>
      <c r="W8"/>
      <c r="X8"/>
    </row>
    <row r="9" spans="1:26" s="6" customFormat="1" ht="13.5" thickBot="1">
      <c r="A9" s="191"/>
      <c r="B9" s="191"/>
      <c r="C9" s="348"/>
      <c r="D9" s="191"/>
      <c r="E9" s="191"/>
      <c r="F9" s="441" t="s">
        <v>616</v>
      </c>
      <c r="G9" s="867">
        <v>1800</v>
      </c>
      <c r="H9" s="886" t="s">
        <v>386</v>
      </c>
      <c r="I9" s="887">
        <v>0.93</v>
      </c>
      <c r="J9" s="888" t="s">
        <v>387</v>
      </c>
      <c r="K9" s="887">
        <v>0.85</v>
      </c>
      <c r="L9" s="693" t="s">
        <v>810</v>
      </c>
      <c r="M9" s="690">
        <v>1.5</v>
      </c>
      <c r="P9" s="515" t="s">
        <v>7</v>
      </c>
      <c r="Q9" s="517">
        <v>1</v>
      </c>
      <c r="R9" s="3"/>
      <c r="W9"/>
      <c r="X9" s="585" t="s">
        <v>705</v>
      </c>
    </row>
    <row r="10" spans="1:26" s="6" customFormat="1" ht="13.5" thickBot="1">
      <c r="A10" s="878"/>
      <c r="B10" s="892" t="s">
        <v>922</v>
      </c>
      <c r="C10" s="889"/>
      <c r="D10" s="882" t="s">
        <v>921</v>
      </c>
      <c r="E10" s="880">
        <v>1.5</v>
      </c>
      <c r="F10" s="879"/>
      <c r="G10" s="879"/>
      <c r="H10" s="881" t="s">
        <v>920</v>
      </c>
      <c r="I10" s="883">
        <v>0.02</v>
      </c>
      <c r="J10" s="879"/>
      <c r="K10" s="879"/>
      <c r="L10" s="881" t="s">
        <v>919</v>
      </c>
      <c r="M10" s="884">
        <v>0.1</v>
      </c>
      <c r="P10" s="514" t="s">
        <v>9</v>
      </c>
      <c r="Q10" s="517">
        <v>0</v>
      </c>
      <c r="R10" s="517">
        <f>IF(Q10=0,180,0)</f>
        <v>180</v>
      </c>
      <c r="S10" s="955" t="s">
        <v>951</v>
      </c>
      <c r="T10" s="956">
        <f>C38/In</f>
        <v>0.2</v>
      </c>
      <c r="W10"/>
      <c r="X10" s="586">
        <f>IF(C13="oo",99999,C13)</f>
        <v>99999</v>
      </c>
    </row>
    <row r="11" spans="1:26" s="3" customFormat="1">
      <c r="A11" s="8" t="s">
        <v>8</v>
      </c>
      <c r="B11" s="4"/>
      <c r="C11" s="5"/>
      <c r="D11" s="4"/>
      <c r="E11" s="16"/>
      <c r="F11" s="4"/>
      <c r="L11" s="6"/>
      <c r="M11" s="6"/>
      <c r="P11" s="514" t="s">
        <v>840</v>
      </c>
      <c r="Q11" s="517" t="b">
        <v>0</v>
      </c>
      <c r="R11"/>
      <c r="W11"/>
      <c r="X11" s="586">
        <f>IF(G13="oo",99999,G13)</f>
        <v>72</v>
      </c>
    </row>
    <row r="12" spans="1:26" s="3" customFormat="1">
      <c r="B12" s="583" t="str">
        <f>$Q$14&amp;"02] Min.  Iph&gt;"</f>
        <v>[1202] Min.  Iph&gt;</v>
      </c>
      <c r="C12" s="584">
        <v>0.16</v>
      </c>
      <c r="D12" s="890" t="str">
        <f>$Q$14&amp;"11] Ang.of Inc"</f>
        <v>[1211] Ang.of Inc</v>
      </c>
      <c r="E12" s="584">
        <v>75</v>
      </c>
      <c r="F12" s="441" t="str">
        <f>$Q$14&amp;"32] Man. Close"</f>
        <v>[1232] Man. Close</v>
      </c>
      <c r="G12" s="222"/>
      <c r="H12" s="222"/>
      <c r="I12" s="222"/>
      <c r="J12" s="583" t="str">
        <f>$Q$14&amp;"03] EFDet. Ie&gt;"</f>
        <v>[1203] EFDet. Ie&gt;</v>
      </c>
      <c r="K12" s="584">
        <v>0.16</v>
      </c>
      <c r="L12" s="649" t="str">
        <f>IF(Q6="7SD522","[1218]",$Q$14&amp;"06]")&amp;" Delay 1ph-faults"</f>
        <v>[1206] Delay 1ph-faults</v>
      </c>
      <c r="M12" s="650">
        <v>0.05</v>
      </c>
      <c r="V12"/>
      <c r="W12"/>
      <c r="X12"/>
    </row>
    <row r="13" spans="1:26" s="3" customFormat="1" ht="12.75" customHeight="1">
      <c r="B13" s="583" t="str">
        <f>$Q$14&amp;"41] R Load, (ph-e)"</f>
        <v>[1241] R Load, (ph-e)</v>
      </c>
      <c r="C13" s="584" t="s">
        <v>958</v>
      </c>
      <c r="D13" s="583" t="str">
        <f>$Q$14&amp;"42] Φ Load, (ph-e)"</f>
        <v>[1242] Φ Load, (ph-e)</v>
      </c>
      <c r="E13" s="584">
        <v>60</v>
      </c>
      <c r="F13" s="583" t="str">
        <f>$Q$14&amp;"43] R Load, (ph-ph)"</f>
        <v>[1243] R Load, (ph-ph)</v>
      </c>
      <c r="G13" s="584">
        <v>72</v>
      </c>
      <c r="H13" s="583" t="str">
        <f>$Q$14&amp;"44] Φ Load, (ph-ph)"</f>
        <v>[1244] Φ Load, (ph-ph)</v>
      </c>
      <c r="I13" s="584">
        <v>60</v>
      </c>
      <c r="J13"/>
      <c r="K13"/>
      <c r="L13" s="594"/>
      <c r="M13"/>
      <c r="P13" s="256" t="s">
        <v>926</v>
      </c>
      <c r="Q13" s="256"/>
      <c r="V13" s="340" t="s">
        <v>472</v>
      </c>
      <c r="W13" s="341"/>
      <c r="X13" s="342"/>
    </row>
    <row r="14" spans="1:26" s="3" customFormat="1" ht="11.25">
      <c r="A14" s="9" t="s">
        <v>10</v>
      </c>
      <c r="N14" s="6"/>
      <c r="P14" s="256" t="str">
        <f>IF($Q$6&lt;&gt;"7SD522","[13","[16")</f>
        <v>[13</v>
      </c>
      <c r="Q14" s="256" t="str">
        <f>IF($Q$6&lt;&gt;"7SD522","[12","[15")</f>
        <v>[12</v>
      </c>
      <c r="R14" s="265" t="s">
        <v>286</v>
      </c>
      <c r="S14" s="118" t="s">
        <v>788</v>
      </c>
      <c r="T14" s="118"/>
      <c r="U14" s="263" t="s">
        <v>99</v>
      </c>
      <c r="V14" s="343" t="s">
        <v>789</v>
      </c>
      <c r="W14" s="343"/>
      <c r="X14" s="343"/>
    </row>
    <row r="15" spans="1:26" s="3" customFormat="1" ht="12.75" customHeight="1">
      <c r="B15" s="1151" t="s">
        <v>12</v>
      </c>
      <c r="C15" s="1152"/>
      <c r="D15" s="1153" t="s">
        <v>15</v>
      </c>
      <c r="E15" s="1154"/>
      <c r="F15" s="1155" t="s">
        <v>13</v>
      </c>
      <c r="G15" s="1156"/>
      <c r="H15" s="1157" t="s">
        <v>14</v>
      </c>
      <c r="I15" s="1158"/>
      <c r="J15" s="1162" t="s">
        <v>392</v>
      </c>
      <c r="K15" s="1163"/>
      <c r="L15" s="1164" t="s">
        <v>393</v>
      </c>
      <c r="M15" s="1165"/>
      <c r="N15" s="6"/>
      <c r="O15" s="590"/>
      <c r="R15" s="265"/>
      <c r="S15" s="118" t="s">
        <v>790</v>
      </c>
      <c r="T15" s="118"/>
      <c r="U15" s="263"/>
      <c r="V15" s="1169" t="s">
        <v>791</v>
      </c>
      <c r="W15" s="1170"/>
      <c r="X15" s="1171"/>
      <c r="Y15" s="590"/>
      <c r="Z15" s="672"/>
    </row>
    <row r="16" spans="1:26" s="6" customFormat="1" ht="12.75" customHeight="1">
      <c r="A16" s="3"/>
      <c r="B16" s="298" t="str">
        <f>$P$14&amp;"01] Op Mode"</f>
        <v>[1301] Op Mode</v>
      </c>
      <c r="C16" s="299" t="str">
        <f>IF(S21=1,"Forward","Reverse")</f>
        <v>Forward</v>
      </c>
      <c r="D16" s="317" t="str">
        <f>$P$14&amp;"51] Op Mode"</f>
        <v>[1351] Op Mode</v>
      </c>
      <c r="E16" s="318" t="str">
        <f>IF(T21=1,"Forward","Reverse")</f>
        <v>Forward</v>
      </c>
      <c r="F16" s="319" t="str">
        <f>$P$14&amp;"11] Op Mode"</f>
        <v>[1311] Op Mode</v>
      </c>
      <c r="G16" s="307" t="str">
        <f>IF(U23=1,"Forward",IF(U23=2,"Inactive","Reverse"))</f>
        <v>Forward</v>
      </c>
      <c r="H16" s="320" t="str">
        <f>$P$14&amp;"21] Op Mode"</f>
        <v>[1321] Op Mode</v>
      </c>
      <c r="I16" s="312" t="str">
        <f>IF(V23=1,"Forward",IF(V23=2,"Inactive","Reverse"))</f>
        <v>Reverse</v>
      </c>
      <c r="J16" s="431" t="str">
        <f>$P$14&amp;"31] Op Mode"</f>
        <v>[1331] Op Mode</v>
      </c>
      <c r="K16" s="432" t="str">
        <f>IF(W23=1,"Forward",IF(W23=2,"Inactive","Reverse"))</f>
        <v>Forward</v>
      </c>
      <c r="L16" s="425" t="str">
        <f>$P$14&amp;"41] Op Mode"</f>
        <v>[1341] Op Mode</v>
      </c>
      <c r="M16" s="426" t="str">
        <f>IF(X21=1,"Forward","Reverse")</f>
        <v>Reverse</v>
      </c>
      <c r="N16" s="3"/>
      <c r="O16" s="590"/>
      <c r="R16" s="266"/>
      <c r="S16" s="118" t="s">
        <v>792</v>
      </c>
      <c r="T16" s="267"/>
      <c r="U16" s="264"/>
      <c r="V16" s="1169" t="s">
        <v>793</v>
      </c>
      <c r="W16" s="1170"/>
      <c r="X16" s="1171"/>
      <c r="Y16" s="590"/>
      <c r="Z16" s="672"/>
    </row>
    <row r="17" spans="1:28" s="6" customFormat="1" ht="12.75" customHeight="1">
      <c r="A17" s="3"/>
      <c r="B17" s="300" t="str">
        <f>$P$14&amp;"02] R(Z1)"</f>
        <v>[1302] R(Z1)</v>
      </c>
      <c r="C17" s="301">
        <v>13.64</v>
      </c>
      <c r="D17" s="303" t="str">
        <f>$P$14&amp;"52] R(Z1B)"</f>
        <v>[1352] R(Z1B)</v>
      </c>
      <c r="E17" s="304">
        <v>22.73</v>
      </c>
      <c r="F17" s="308" t="str">
        <f>$P$14&amp;"12] R(Z2)"</f>
        <v>[1312] R(Z2)</v>
      </c>
      <c r="G17" s="309">
        <v>17.05</v>
      </c>
      <c r="H17" s="313" t="str">
        <f>$P$14&amp;"22] R(Z3)"</f>
        <v>[1322] R(Z3)</v>
      </c>
      <c r="I17" s="314">
        <v>2.27</v>
      </c>
      <c r="J17" s="433" t="str">
        <f>$P$14&amp;"32] R(Z4)"</f>
        <v>[1332] R(Z4)</v>
      </c>
      <c r="K17" s="434">
        <v>34.090000000000003</v>
      </c>
      <c r="L17" s="427" t="str">
        <f>$P$14&amp;"42] R(Z5)"</f>
        <v>[1342] R(Z5)</v>
      </c>
      <c r="M17" s="428">
        <v>11.36</v>
      </c>
      <c r="N17" s="398"/>
      <c r="O17" s="590"/>
      <c r="S17" s="118" t="s">
        <v>794</v>
      </c>
      <c r="T17" s="440" t="s">
        <v>792</v>
      </c>
      <c r="U17" s="264"/>
      <c r="V17" s="1172" t="s">
        <v>793</v>
      </c>
      <c r="W17" s="1173"/>
      <c r="X17" s="1174"/>
      <c r="Y17" s="590"/>
      <c r="Z17" s="672"/>
    </row>
    <row r="18" spans="1:28" s="3" customFormat="1" ht="11.25">
      <c r="B18" s="300" t="str">
        <f>$P$14&amp;"03] X(Z1)"</f>
        <v>[1303] X(Z1)</v>
      </c>
      <c r="C18" s="301">
        <v>8.0500000000000007</v>
      </c>
      <c r="D18" s="303" t="str">
        <f>$P$14&amp;"53] X(Z1B)"</f>
        <v>[1353] X(Z1B)</v>
      </c>
      <c r="E18" s="304">
        <v>15.16</v>
      </c>
      <c r="F18" s="308" t="str">
        <f>$P$14&amp;"13] X(Z2)"</f>
        <v>[1313] X(Z2)</v>
      </c>
      <c r="G18" s="309">
        <v>12.16</v>
      </c>
      <c r="H18" s="313" t="str">
        <f>$P$14&amp;"23] X(Z3)"</f>
        <v>[1323] X(Z3)</v>
      </c>
      <c r="I18" s="314">
        <v>0.93</v>
      </c>
      <c r="J18" s="433" t="str">
        <f>$P$14&amp;"33] X(Z4)"</f>
        <v>[1333] X(Z4)</v>
      </c>
      <c r="K18" s="434">
        <v>22.9</v>
      </c>
      <c r="L18" s="427" t="str">
        <f>$P$14&amp;"43] X(Z5)+"</f>
        <v>[1343] X(Z5)+</v>
      </c>
      <c r="M18" s="428">
        <v>6.23</v>
      </c>
      <c r="N18" s="6"/>
      <c r="P18" s="676"/>
      <c r="Q18" s="677" t="s">
        <v>795</v>
      </c>
      <c r="R18" s="517">
        <f>MAX(K12,J_)</f>
        <v>0.16</v>
      </c>
      <c r="U18" s="712" t="str">
        <f>IF(AND(T_2=T_3,G16=I16),"Phantom Zone","Test")</f>
        <v>Test</v>
      </c>
      <c r="V18" s="712" t="str">
        <f>IF(AND(T_3=T_4,I16=K16),"Phantom Zone","Test")</f>
        <v>Test</v>
      </c>
      <c r="Y18" s="590"/>
      <c r="Z18" s="672"/>
    </row>
    <row r="19" spans="1:28" s="3" customFormat="1" ht="11.25">
      <c r="B19" s="300" t="str">
        <f>$P$14&amp;"04] RE(Z1)"</f>
        <v>[1304] RE(Z1)</v>
      </c>
      <c r="C19" s="301">
        <v>39.770000000000003</v>
      </c>
      <c r="D19" s="303" t="str">
        <f>$P$14&amp;"54] RE(Z1B)"</f>
        <v>[1354] RE(Z1B)</v>
      </c>
      <c r="E19" s="304">
        <v>79.55</v>
      </c>
      <c r="F19" s="308" t="str">
        <f>$P$14&amp;"14] RE(Z2)"</f>
        <v>[1314] RE(Z2)</v>
      </c>
      <c r="G19" s="309">
        <v>62.5</v>
      </c>
      <c r="H19" s="313" t="str">
        <f>$P$14&amp;"24] RE(Z3)"</f>
        <v>[1324] RE(Z3)</v>
      </c>
      <c r="I19" s="314">
        <v>4.55</v>
      </c>
      <c r="J19" s="433" t="str">
        <f>$P$14&amp;"34] RE(Z4)"</f>
        <v>[1334] RE(Z4)</v>
      </c>
      <c r="K19" s="434">
        <v>90.91</v>
      </c>
      <c r="L19" s="427" t="str">
        <f>$P$14&amp;"44] RE(Z5)"</f>
        <v>[1344] RE(Z5)</v>
      </c>
      <c r="M19" s="428">
        <v>28.41</v>
      </c>
      <c r="N19" s="6"/>
      <c r="O19" s="6"/>
      <c r="P19" s="6"/>
      <c r="R19" s="675" t="s">
        <v>650</v>
      </c>
      <c r="S19" s="510"/>
      <c r="T19" s="511"/>
      <c r="U19" s="511" t="b">
        <f>IF(G16="Inactive",FALSE,TRUE)</f>
        <v>1</v>
      </c>
      <c r="V19" s="511" t="b">
        <f>IF(I16="Inactive",FALSE,TRUE)</f>
        <v>1</v>
      </c>
      <c r="W19" s="511" t="b">
        <f>IF(K16="Inactive",FALSE,TRUE)</f>
        <v>1</v>
      </c>
      <c r="X19" s="511"/>
    </row>
    <row r="20" spans="1:28" s="3" customFormat="1" ht="11.25" customHeight="1">
      <c r="B20" s="300" t="str">
        <f>$P$14&amp;"05 / 06] T1"</f>
        <v>[1305 / 06] T1</v>
      </c>
      <c r="C20" s="301">
        <v>0</v>
      </c>
      <c r="D20" s="303" t="str">
        <f>$P$14&amp;"55 / 56] T1B"</f>
        <v>[1355 / 56] T1B</v>
      </c>
      <c r="E20" s="304">
        <v>0</v>
      </c>
      <c r="F20" s="308" t="str">
        <f>$P$14&amp;"15 / 16] T2"</f>
        <v>[1315 / 16] T2</v>
      </c>
      <c r="G20" s="309">
        <v>0.4</v>
      </c>
      <c r="H20" s="313" t="str">
        <f>$P$14&amp;"25] T3"</f>
        <v>[1325] T3</v>
      </c>
      <c r="I20" s="314">
        <v>0.4</v>
      </c>
      <c r="J20" s="433" t="str">
        <f>$P$14&amp;"35] T4"</f>
        <v>[1335] T4</v>
      </c>
      <c r="K20" s="434">
        <v>0.9</v>
      </c>
      <c r="L20" s="427" t="str">
        <f>$P$14&amp;"45] T5"</f>
        <v>[1345] T5</v>
      </c>
      <c r="M20" s="428">
        <v>1.1000000000000001</v>
      </c>
      <c r="N20" s="6"/>
      <c r="O20" s="6"/>
      <c r="P20" s="678" t="s">
        <v>796</v>
      </c>
      <c r="R20" s="709" t="s">
        <v>11</v>
      </c>
      <c r="S20" s="14" t="s">
        <v>12</v>
      </c>
      <c r="T20" s="15" t="s">
        <v>15</v>
      </c>
      <c r="U20" s="14" t="s">
        <v>13</v>
      </c>
      <c r="V20" s="15" t="s">
        <v>14</v>
      </c>
      <c r="W20" s="15" t="s">
        <v>392</v>
      </c>
      <c r="X20" s="15" t="s">
        <v>393</v>
      </c>
    </row>
    <row r="21" spans="1:28" s="3" customFormat="1" ht="11.25" customHeight="1">
      <c r="A21" s="7"/>
      <c r="B21" s="302" t="str">
        <f>$P$14&amp;"07], Z Red.Ang"</f>
        <v>[1307], Z Red.Ang</v>
      </c>
      <c r="C21" s="596">
        <v>0</v>
      </c>
      <c r="D21" s="305"/>
      <c r="E21" s="306"/>
      <c r="F21" s="310"/>
      <c r="G21" s="311"/>
      <c r="H21" s="315"/>
      <c r="I21" s="316"/>
      <c r="J21" s="435"/>
      <c r="K21" s="436"/>
      <c r="L21" s="429" t="str">
        <f>$P$14&amp;"46] X(Z5)-"</f>
        <v>[1346] X(Z5)-</v>
      </c>
      <c r="M21" s="430">
        <v>26.79</v>
      </c>
      <c r="N21" s="6"/>
      <c r="O21" s="6"/>
      <c r="P21" s="678">
        <f>IF(X21=1,M18,M21)</f>
        <v>26.79</v>
      </c>
      <c r="R21" s="709">
        <f>IF($C8="BUSBAR",0,1)</f>
        <v>0</v>
      </c>
      <c r="S21" s="44">
        <v>1</v>
      </c>
      <c r="T21" s="44">
        <v>1</v>
      </c>
      <c r="U21" s="359">
        <f>IF(U19=TRUE,U23,S21)</f>
        <v>1</v>
      </c>
      <c r="V21" s="359">
        <f>IF(V19=TRUE,V23,U21)</f>
        <v>0</v>
      </c>
      <c r="W21" s="359">
        <f>IF(W19=TRUE,W23,V21)</f>
        <v>1</v>
      </c>
      <c r="X21" s="44">
        <v>0</v>
      </c>
    </row>
    <row r="22" spans="1:28" s="3" customFormat="1" ht="11.25" customHeight="1">
      <c r="N22" s="6"/>
      <c r="O22" s="6"/>
      <c r="P22" s="6"/>
      <c r="Q22" s="6"/>
      <c r="R22" s="14" t="s">
        <v>17</v>
      </c>
      <c r="S22" s="14">
        <f>$R$21+$S21</f>
        <v>1</v>
      </c>
      <c r="T22" s="14">
        <f>$R$21+$T21</f>
        <v>1</v>
      </c>
      <c r="U22" s="14">
        <f>$R$21+$U23</f>
        <v>1</v>
      </c>
      <c r="V22" s="14">
        <f>$R$21+$V21</f>
        <v>0</v>
      </c>
      <c r="W22" s="14">
        <f>$R$21+$W21</f>
        <v>1</v>
      </c>
      <c r="X22" s="14">
        <f>$R$21+$X21</f>
        <v>0</v>
      </c>
    </row>
    <row r="23" spans="1:28" s="3" customFormat="1" ht="11.25" customHeight="1">
      <c r="B23" s="530" t="s">
        <v>128</v>
      </c>
      <c r="C23" s="424"/>
      <c r="D23" s="527" t="s">
        <v>490</v>
      </c>
      <c r="E23" s="437"/>
      <c r="G23" s="6"/>
      <c r="L23" s="398"/>
      <c r="M23" s="6"/>
      <c r="N23" s="18"/>
      <c r="P23" s="6"/>
      <c r="Q23" s="6"/>
      <c r="R23" s="6" t="s">
        <v>814</v>
      </c>
      <c r="S23" s="6"/>
      <c r="T23" s="6"/>
      <c r="U23" s="44">
        <v>1</v>
      </c>
      <c r="V23" s="44">
        <v>0</v>
      </c>
      <c r="W23" s="44">
        <v>1</v>
      </c>
    </row>
    <row r="24" spans="1:28" s="3" customFormat="1" ht="11.25" customHeight="1">
      <c r="B24" s="529" t="s">
        <v>129</v>
      </c>
      <c r="C24" s="531">
        <v>2</v>
      </c>
      <c r="D24" s="528" t="s">
        <v>489</v>
      </c>
      <c r="E24" s="438">
        <v>35</v>
      </c>
      <c r="F24" s="6"/>
      <c r="G24" s="6"/>
      <c r="L24" s="398"/>
      <c r="M24" s="6"/>
      <c r="O24"/>
      <c r="P24" s="6"/>
      <c r="Q24"/>
      <c r="R24" s="1167" t="s">
        <v>18</v>
      </c>
      <c r="S24" s="1168"/>
      <c r="T24" s="1168"/>
      <c r="U24" s="1168"/>
      <c r="V24" s="1168"/>
      <c r="W24" s="1168"/>
      <c r="X24" s="1168"/>
    </row>
    <row r="25" spans="1:28" s="3" customFormat="1" ht="11.25" customHeight="1" thickBot="1">
      <c r="A25" s="6"/>
      <c r="B25" s="6"/>
      <c r="C25" s="6"/>
      <c r="D25" s="6"/>
      <c r="E25" s="6"/>
      <c r="F25" s="6"/>
      <c r="G25" s="6"/>
      <c r="H25" s="6"/>
      <c r="I25" s="6"/>
      <c r="J25" s="6"/>
      <c r="K25" s="398"/>
      <c r="L25" s="398"/>
      <c r="M25" s="6"/>
      <c r="O25" s="6"/>
      <c r="P25" s="6"/>
      <c r="Q25"/>
      <c r="R25" s="12" t="s">
        <v>56</v>
      </c>
      <c r="S25" s="12" t="s">
        <v>19</v>
      </c>
      <c r="T25" s="13" t="s">
        <v>22</v>
      </c>
      <c r="U25" s="13" t="s">
        <v>20</v>
      </c>
      <c r="V25" s="13" t="s">
        <v>21</v>
      </c>
      <c r="W25" s="13" t="s">
        <v>394</v>
      </c>
      <c r="X25" s="13" t="s">
        <v>395</v>
      </c>
    </row>
    <row r="26" spans="1:28" s="3" customFormat="1" ht="11.25" customHeight="1">
      <c r="A26" s="481" t="s">
        <v>498</v>
      </c>
      <c r="B26" s="482"/>
      <c r="C26" s="482"/>
      <c r="D26" s="483"/>
      <c r="E26" s="482"/>
      <c r="F26" s="482"/>
      <c r="G26" s="482"/>
      <c r="H26" s="482"/>
      <c r="I26" s="482"/>
      <c r="J26" s="505" t="s">
        <v>640</v>
      </c>
      <c r="K26" s="503"/>
      <c r="L26" s="507" t="s">
        <v>639</v>
      </c>
      <c r="M26" s="508">
        <v>50</v>
      </c>
      <c r="Q26"/>
      <c r="R26" s="14">
        <f>IF($C8="BUSBAR",0,180)</f>
        <v>0</v>
      </c>
      <c r="S26" s="12">
        <f>IF($S22=1,0,180)</f>
        <v>0</v>
      </c>
      <c r="T26" s="12">
        <f>IF($T22=1,0,180)</f>
        <v>0</v>
      </c>
      <c r="U26" s="12">
        <f>IF($U22=1,0,180)</f>
        <v>0</v>
      </c>
      <c r="V26" s="12">
        <f>IF($V22=1,0,180)</f>
        <v>180</v>
      </c>
      <c r="W26" s="12">
        <f>IF($W22=1,0,180)</f>
        <v>0</v>
      </c>
      <c r="X26" s="12">
        <f>IF($X22=1,0,180)</f>
        <v>180</v>
      </c>
    </row>
    <row r="27" spans="1:28" s="3" customFormat="1" ht="15" customHeight="1">
      <c r="A27" s="295"/>
      <c r="B27" s="191" t="s">
        <v>474</v>
      </c>
      <c r="C27" s="484">
        <v>2.4</v>
      </c>
      <c r="D27" s="191" t="s">
        <v>473</v>
      </c>
      <c r="E27" s="484">
        <v>0.1</v>
      </c>
      <c r="F27" s="191" t="s">
        <v>475</v>
      </c>
      <c r="G27" s="484">
        <v>3.6</v>
      </c>
      <c r="H27" s="191" t="s">
        <v>476</v>
      </c>
      <c r="I27" s="484" t="s">
        <v>958</v>
      </c>
      <c r="J27" s="506" t="s">
        <v>642</v>
      </c>
      <c r="K27" s="136">
        <v>40</v>
      </c>
      <c r="L27" s="478" t="s">
        <v>641</v>
      </c>
      <c r="M27" s="509">
        <v>75</v>
      </c>
    </row>
    <row r="28" spans="1:28" s="3" customFormat="1" ht="11.25" customHeight="1" thickBot="1">
      <c r="A28" s="296"/>
      <c r="B28" s="297" t="s">
        <v>477</v>
      </c>
      <c r="C28" s="485">
        <v>1.5</v>
      </c>
      <c r="D28" s="297" t="s">
        <v>478</v>
      </c>
      <c r="E28" s="485">
        <v>0.9</v>
      </c>
      <c r="F28" s="297" t="s">
        <v>479</v>
      </c>
      <c r="G28" s="485">
        <v>0.5</v>
      </c>
      <c r="H28" s="297" t="s">
        <v>480</v>
      </c>
      <c r="I28" s="485">
        <v>0.9</v>
      </c>
      <c r="J28" s="504" t="s">
        <v>638</v>
      </c>
      <c r="K28" s="439">
        <v>8.0000000000000002E-3</v>
      </c>
      <c r="L28" s="480" t="s">
        <v>701</v>
      </c>
      <c r="M28" s="532">
        <v>2.5</v>
      </c>
    </row>
    <row r="29" spans="1:28" s="3" customFormat="1" ht="11.25" customHeight="1" thickBot="1">
      <c r="A29" s="19"/>
      <c r="B29" s="167" t="str">
        <f>IF(OR(AND(Q6="7SA612",t_Je_HS&lt;&gt;"oo",Je_LS&gt;Je_HS),AND(t_J_HS&lt;&gt;"oo",J_LS&gt;J_HS)),"Error: Low Stage &gt; High Stage","")</f>
        <v/>
      </c>
      <c r="C29" s="19"/>
      <c r="E29" s="167"/>
      <c r="F29" s="167" t="str">
        <f>IF(OR(AND(Q6="7SA612",t_Je_HS&lt;&gt;"oo",t_Je_LS&lt;t_Je_HS),AND(t_J_HS&lt;&gt;"oo",t_J_LS&lt;t_J_HS)),"Error: Low Stage Timer &lt; High Stage Timer","")</f>
        <v/>
      </c>
      <c r="N29"/>
      <c r="R29" s="78" t="s">
        <v>58</v>
      </c>
      <c r="S29" s="79" t="str">
        <f>IF(SUM(U29:U30)=0,"Old RBB","Normal")</f>
        <v>Normal</v>
      </c>
      <c r="T29" s="680" t="s">
        <v>57</v>
      </c>
      <c r="U29" s="75">
        <v>0</v>
      </c>
      <c r="Z29"/>
    </row>
    <row r="30" spans="1:28" s="3" customFormat="1" ht="11.25" customHeight="1">
      <c r="A30" s="486" t="s">
        <v>619</v>
      </c>
      <c r="B30" s="487"/>
      <c r="C30" s="487"/>
      <c r="D30" s="487"/>
      <c r="E30" s="487"/>
      <c r="F30" s="487"/>
      <c r="G30" s="487"/>
      <c r="H30" s="487"/>
      <c r="I30" s="487"/>
      <c r="J30" s="487"/>
      <c r="K30" s="488"/>
      <c r="L30" s="505" t="s">
        <v>842</v>
      </c>
      <c r="M30" s="719"/>
      <c r="N30"/>
      <c r="S30"/>
      <c r="T30" s="76"/>
      <c r="U30" s="77">
        <f>IF(Q6="7SA612",1,0)</f>
        <v>1</v>
      </c>
    </row>
    <row r="31" spans="1:28">
      <c r="A31" s="489" t="s">
        <v>465</v>
      </c>
      <c r="B31" s="490" t="s">
        <v>481</v>
      </c>
      <c r="C31" s="491">
        <v>0.1</v>
      </c>
      <c r="D31" s="490" t="s">
        <v>482</v>
      </c>
      <c r="E31" s="491">
        <v>1.7</v>
      </c>
      <c r="F31" s="492"/>
      <c r="G31" s="478"/>
      <c r="H31" s="492" t="s">
        <v>92</v>
      </c>
      <c r="I31" s="136">
        <v>0.01</v>
      </c>
      <c r="J31" s="478"/>
      <c r="K31" s="479"/>
      <c r="L31" s="506"/>
      <c r="M31" s="720"/>
      <c r="P31" s="103" t="s">
        <v>96</v>
      </c>
      <c r="R31" s="137" t="b">
        <v>0</v>
      </c>
      <c r="T31" s="3"/>
      <c r="U31" s="3"/>
      <c r="V31" s="3"/>
      <c r="W31" s="3"/>
      <c r="X31" s="3"/>
      <c r="Y31" s="3"/>
      <c r="Z31" s="3"/>
      <c r="AA31" s="3"/>
      <c r="AB31" s="3"/>
    </row>
    <row r="32" spans="1:28" ht="13.5" thickBot="1">
      <c r="A32" s="493"/>
      <c r="B32" s="494" t="s">
        <v>485</v>
      </c>
      <c r="C32" s="495">
        <v>338</v>
      </c>
      <c r="D32" s="494" t="s">
        <v>486</v>
      </c>
      <c r="E32" s="495">
        <v>122</v>
      </c>
      <c r="F32" s="496"/>
      <c r="G32" s="480"/>
      <c r="H32" s="445" t="s">
        <v>93</v>
      </c>
      <c r="I32" s="439">
        <v>2</v>
      </c>
      <c r="J32" s="497"/>
      <c r="K32" s="498"/>
      <c r="L32" s="504" t="s">
        <v>843</v>
      </c>
      <c r="M32" s="721">
        <v>1</v>
      </c>
      <c r="P32" s="57" t="s">
        <v>89</v>
      </c>
      <c r="Q32" s="57">
        <v>80</v>
      </c>
      <c r="R32" s="57">
        <v>2</v>
      </c>
      <c r="U32" s="57" t="s">
        <v>26</v>
      </c>
      <c r="V32" s="57" t="s">
        <v>27</v>
      </c>
      <c r="Y32" s="3"/>
      <c r="Z32" s="3"/>
      <c r="AA32" s="3"/>
      <c r="AB32" s="3"/>
    </row>
    <row r="33" spans="1:28" ht="13.5" thickBot="1">
      <c r="P33" s="57" t="s">
        <v>620</v>
      </c>
      <c r="Q33">
        <v>120</v>
      </c>
      <c r="R33">
        <v>1</v>
      </c>
      <c r="U33" s="57">
        <f>R_1E*(1+RE_RL_Z1)</f>
        <v>76.756100000000018</v>
      </c>
      <c r="V33" s="57">
        <f>X_1*(1+XE_XL_Z1)</f>
        <v>14.892500000000002</v>
      </c>
      <c r="Z33" s="3"/>
      <c r="AA33" s="3"/>
      <c r="AB33" s="3"/>
    </row>
    <row r="34" spans="1:28">
      <c r="A34" s="481" t="s">
        <v>629</v>
      </c>
      <c r="B34" s="499"/>
      <c r="C34" s="499"/>
      <c r="D34" s="499"/>
      <c r="E34" s="499"/>
      <c r="F34" s="500"/>
      <c r="G34" s="499"/>
      <c r="H34" s="499"/>
      <c r="I34" s="501"/>
      <c r="P34" s="57" t="s">
        <v>90</v>
      </c>
      <c r="Q34" s="57">
        <v>0.14000000000000001</v>
      </c>
      <c r="R34" s="57">
        <v>0.02</v>
      </c>
      <c r="U34" s="57">
        <f>R_1BE*(1+RE_RL)</f>
        <v>153.53149999999999</v>
      </c>
      <c r="V34" s="57">
        <f>X_1B*(1+XE_XL)</f>
        <v>28.046000000000003</v>
      </c>
      <c r="Y34" s="966" t="s">
        <v>870</v>
      </c>
      <c r="Z34" s="967">
        <f>'7SD522'!G4</f>
        <v>100</v>
      </c>
      <c r="AA34" s="968"/>
      <c r="AB34" s="968"/>
    </row>
    <row r="35" spans="1:28" ht="13.5" thickBot="1">
      <c r="A35" s="502"/>
      <c r="B35" s="875" t="s">
        <v>630</v>
      </c>
      <c r="C35" s="876">
        <v>0.1</v>
      </c>
      <c r="D35" s="875" t="s">
        <v>632</v>
      </c>
      <c r="E35" s="893">
        <v>0.1</v>
      </c>
      <c r="F35" s="875" t="s">
        <v>631</v>
      </c>
      <c r="G35" s="876">
        <v>0.2</v>
      </c>
      <c r="H35" s="875" t="s">
        <v>633</v>
      </c>
      <c r="I35" s="877">
        <v>0.04</v>
      </c>
      <c r="P35" s="57" t="s">
        <v>91</v>
      </c>
      <c r="Q35" s="57">
        <v>13.5</v>
      </c>
      <c r="R35" s="57">
        <v>1</v>
      </c>
      <c r="U35" s="57">
        <f>R_2E*(1+RE_RL)</f>
        <v>120.62500000000001</v>
      </c>
      <c r="V35" s="57">
        <f>X_2*(1+XE_XL)</f>
        <v>22.496000000000002</v>
      </c>
      <c r="Y35" s="966" t="s">
        <v>866</v>
      </c>
      <c r="Z35" s="967">
        <v>0.05</v>
      </c>
      <c r="AA35" s="966" t="s">
        <v>867</v>
      </c>
      <c r="AB35" s="967">
        <v>0.09</v>
      </c>
    </row>
    <row r="36" spans="1:28" ht="13.5" thickBot="1">
      <c r="P36" s="105" t="s">
        <v>620</v>
      </c>
      <c r="Q36" s="105">
        <f>VLOOKUP(P36,P32:R35,2)</f>
        <v>120</v>
      </c>
      <c r="R36" s="105">
        <f>VLOOKUP(P36,P32:R35,3)</f>
        <v>1</v>
      </c>
      <c r="U36" s="57">
        <f>R_3E*(1+RE_RL)</f>
        <v>8.7815000000000012</v>
      </c>
      <c r="V36" s="57">
        <f>X_3*(1+XE_XL)</f>
        <v>1.7205000000000001</v>
      </c>
      <c r="Y36" s="966" t="s">
        <v>874</v>
      </c>
      <c r="Z36" s="967">
        <f>'7SD522'!G3*1000/'7SD522'!G4</f>
        <v>2200</v>
      </c>
      <c r="AA36" s="966"/>
      <c r="AB36" s="967"/>
    </row>
    <row r="37" spans="1:28">
      <c r="A37" s="869" t="s">
        <v>917</v>
      </c>
      <c r="B37" s="870"/>
      <c r="C37" s="871"/>
      <c r="D37" s="870"/>
      <c r="E37" s="871"/>
      <c r="F37" s="870"/>
      <c r="G37" s="871"/>
      <c r="H37" s="871"/>
      <c r="I37" s="871"/>
      <c r="J37" s="871"/>
      <c r="K37" s="871"/>
      <c r="L37" s="871"/>
      <c r="M37" s="1118"/>
      <c r="P37" s="97" t="s">
        <v>94</v>
      </c>
      <c r="Q37" s="104" t="s">
        <v>95</v>
      </c>
      <c r="R37" s="104" t="s">
        <v>45</v>
      </c>
      <c r="U37" s="57">
        <f>R_4E*(1+RE_RL)</f>
        <v>175.4563</v>
      </c>
      <c r="V37" s="57">
        <f>X_4*(1+XE_XL)</f>
        <v>42.365000000000002</v>
      </c>
      <c r="Y37" s="3"/>
      <c r="Z37" s="3"/>
      <c r="AA37" s="3"/>
      <c r="AB37" s="3"/>
    </row>
    <row r="38" spans="1:28" ht="13.5" thickBot="1">
      <c r="A38" s="872"/>
      <c r="B38" s="873" t="s">
        <v>945</v>
      </c>
      <c r="C38" s="874">
        <v>1</v>
      </c>
      <c r="D38" s="873" t="s">
        <v>946</v>
      </c>
      <c r="E38" s="874">
        <v>1</v>
      </c>
      <c r="F38" s="873" t="s">
        <v>918</v>
      </c>
      <c r="G38" s="874">
        <v>0</v>
      </c>
      <c r="H38" s="955" t="s">
        <v>925</v>
      </c>
      <c r="I38" s="874">
        <v>0.05</v>
      </c>
      <c r="J38" s="955" t="s">
        <v>947</v>
      </c>
      <c r="K38" s="954">
        <v>6.8</v>
      </c>
      <c r="L38" s="955" t="s">
        <v>948</v>
      </c>
      <c r="M38" s="894">
        <v>6.8</v>
      </c>
      <c r="P38" s="102">
        <v>20</v>
      </c>
      <c r="Q38" s="106">
        <f t="shared" ref="Q38:Q45" si="0">P38*Inv_EF_Setting*In/3</f>
        <v>0.33333333333333331</v>
      </c>
      <c r="R38" s="106">
        <f t="shared" ref="R38:R44" si="1">$Q$36/(POWER(P38,$R$36)-1)*Delay_time/10 + OpTime/1000</f>
        <v>1.2931578947368421</v>
      </c>
      <c r="U38" s="57">
        <f>R_5E*(1+RE_RL)</f>
        <v>54.831300000000006</v>
      </c>
      <c r="V38" s="57">
        <f>X_5*(1+XE_XL)</f>
        <v>49.561500000000002</v>
      </c>
      <c r="Y38" s="48" t="s">
        <v>969</v>
      </c>
      <c r="Z38" s="48" t="str">
        <f>IF(AND(Q5=TRUE,OR(E38&lt;&gt;C38,M38&lt;&gt;DIFI_2)),"Warning","OK")</f>
        <v>OK</v>
      </c>
      <c r="AA38" s="3"/>
      <c r="AB38" s="3"/>
    </row>
    <row r="39" spans="1:28">
      <c r="A39" s="323"/>
      <c r="B39" s="1069"/>
      <c r="C39" s="323"/>
      <c r="D39" s="1069"/>
      <c r="E39" s="323"/>
      <c r="F39" s="1069"/>
      <c r="G39" s="323"/>
      <c r="H39" s="323"/>
      <c r="I39" s="323"/>
      <c r="J39" s="323"/>
      <c r="K39" s="323"/>
      <c r="L39" s="323"/>
      <c r="M39" s="323"/>
      <c r="N39" s="323"/>
      <c r="O39" s="641"/>
      <c r="P39" s="101">
        <v>10</v>
      </c>
      <c r="Q39" s="106">
        <f t="shared" si="0"/>
        <v>0.16666666666666666</v>
      </c>
      <c r="R39" s="106">
        <f t="shared" si="1"/>
        <v>2.6966666666666668</v>
      </c>
      <c r="U39">
        <f>B134</f>
        <v>0</v>
      </c>
      <c r="Y39" s="3"/>
      <c r="Z39" s="3"/>
      <c r="AA39" s="3"/>
      <c r="AB39" s="3"/>
    </row>
    <row r="40" spans="1:28">
      <c r="A40" s="323"/>
      <c r="B40" s="1069"/>
      <c r="C40" s="323"/>
      <c r="D40" s="1069"/>
      <c r="E40" s="323"/>
      <c r="F40" s="1069"/>
      <c r="G40" s="323"/>
      <c r="H40" s="323"/>
      <c r="I40" s="323"/>
      <c r="J40" s="323"/>
      <c r="K40" s="323"/>
      <c r="L40" s="323"/>
      <c r="M40" s="323"/>
      <c r="N40" s="323"/>
      <c r="O40" s="641"/>
      <c r="P40" s="101">
        <v>8</v>
      </c>
      <c r="Q40" s="106">
        <f t="shared" si="0"/>
        <v>0.13333333333333333</v>
      </c>
      <c r="R40" s="106">
        <f t="shared" si="1"/>
        <v>3.4585714285714282</v>
      </c>
      <c r="Y40" s="3"/>
      <c r="Z40" s="3"/>
      <c r="AA40" s="3"/>
      <c r="AB40" s="3"/>
    </row>
    <row r="41" spans="1:28">
      <c r="N41" s="323"/>
      <c r="O41" s="641"/>
      <c r="P41" s="101">
        <v>6</v>
      </c>
      <c r="Q41" s="106">
        <f t="shared" si="0"/>
        <v>9.9999999999999992E-2</v>
      </c>
      <c r="R41" s="106">
        <f t="shared" si="1"/>
        <v>4.83</v>
      </c>
      <c r="T41" s="57"/>
      <c r="U41" s="584" t="s">
        <v>13</v>
      </c>
      <c r="V41" s="710" t="s">
        <v>14</v>
      </c>
      <c r="W41" s="711" t="s">
        <v>392</v>
      </c>
      <c r="Y41" s="3"/>
      <c r="Z41" s="3"/>
      <c r="AA41" s="3"/>
      <c r="AB41" s="3"/>
    </row>
    <row r="42" spans="1:28">
      <c r="N42" s="323"/>
      <c r="O42" s="641"/>
      <c r="P42" s="101">
        <v>4</v>
      </c>
      <c r="Q42" s="106">
        <f t="shared" si="0"/>
        <v>6.6666666666666666E-2</v>
      </c>
      <c r="R42" s="106">
        <f t="shared" si="1"/>
        <v>8.0299999999999994</v>
      </c>
      <c r="T42" s="583" t="s">
        <v>26</v>
      </c>
      <c r="U42" s="584">
        <f>IF($G$16="Inactive",0.00001,G17)</f>
        <v>17.05</v>
      </c>
      <c r="V42" s="710">
        <f>IF($I$16="Inactive",0.00001,I17)</f>
        <v>2.27</v>
      </c>
      <c r="W42" s="711">
        <f>IF($K$16="Inactive",0.00001,K17)</f>
        <v>34.090000000000003</v>
      </c>
      <c r="Y42" s="3"/>
      <c r="Z42" s="3"/>
      <c r="AA42" s="3"/>
      <c r="AB42" s="3"/>
    </row>
    <row r="43" spans="1:28">
      <c r="N43" s="323"/>
      <c r="O43" s="641"/>
      <c r="P43" s="101">
        <v>2</v>
      </c>
      <c r="Q43" s="106">
        <f t="shared" si="0"/>
        <v>3.3333333333333333E-2</v>
      </c>
      <c r="R43" s="106">
        <f t="shared" si="1"/>
        <v>24.03</v>
      </c>
      <c r="T43" s="583" t="s">
        <v>27</v>
      </c>
      <c r="U43" s="584">
        <f>IF($G$16="Inactive",0.00001,G18)</f>
        <v>12.16</v>
      </c>
      <c r="V43" s="710">
        <f>IF($I$16="Inactive",0.00001,I18)</f>
        <v>0.93</v>
      </c>
      <c r="W43" s="711">
        <f>IF($K$16="Inactive",0.00001,K18)</f>
        <v>22.9</v>
      </c>
    </row>
    <row r="44" spans="1:28">
      <c r="N44" s="323"/>
      <c r="O44" s="641"/>
      <c r="P44" s="101">
        <v>1.5</v>
      </c>
      <c r="Q44" s="106">
        <f t="shared" si="0"/>
        <v>2.4999999999999998E-2</v>
      </c>
      <c r="R44" s="106">
        <f t="shared" si="1"/>
        <v>48.03</v>
      </c>
      <c r="T44" s="583" t="s">
        <v>815</v>
      </c>
      <c r="U44" s="584">
        <f>IF($G$16="Inactive",0.00001,G19)</f>
        <v>62.5</v>
      </c>
      <c r="V44" s="710">
        <f>IF($I$16="Inactive",0.00001,I19)</f>
        <v>4.55</v>
      </c>
      <c r="W44" s="711">
        <f>IF($K$16="Inactive",0.00001,K19)</f>
        <v>90.91</v>
      </c>
    </row>
    <row r="45" spans="1:28">
      <c r="N45" s="323"/>
      <c r="O45" s="641"/>
      <c r="P45" s="101">
        <v>1</v>
      </c>
      <c r="Q45" s="106">
        <f t="shared" si="0"/>
        <v>1.6666666666666666E-2</v>
      </c>
      <c r="R45" s="106"/>
      <c r="T45" s="583" t="s">
        <v>816</v>
      </c>
      <c r="U45" s="584">
        <f>IF($G$16="Inactive",0,G20)</f>
        <v>0.4</v>
      </c>
      <c r="V45" s="710">
        <f>IF($I$16="Inactive",0,I20)</f>
        <v>0.4</v>
      </c>
      <c r="W45" s="711">
        <f>IF($K$16="Inactive",0,K20)</f>
        <v>0.9</v>
      </c>
    </row>
    <row r="46" spans="1:28" ht="13.5" thickBot="1">
      <c r="N46" s="323"/>
      <c r="O46" s="641"/>
    </row>
    <row r="47" spans="1:28" ht="13.5" thickBot="1">
      <c r="N47" s="323"/>
      <c r="O47" s="641"/>
      <c r="P47" s="103" t="s">
        <v>127</v>
      </c>
      <c r="W47" s="1142" t="s">
        <v>981</v>
      </c>
      <c r="X47" s="1143"/>
      <c r="Y47" s="1143"/>
      <c r="Z47" s="1143"/>
      <c r="AA47" s="1143"/>
      <c r="AB47" s="1144"/>
    </row>
    <row r="48" spans="1:28">
      <c r="N48" s="323"/>
      <c r="O48" s="641"/>
      <c r="P48" s="3" t="s">
        <v>130</v>
      </c>
      <c r="Q48" s="137" t="b">
        <v>0</v>
      </c>
      <c r="R48" s="137" t="b">
        <f>(AND($Q$6="7SA612",$Q48=TRUE))</f>
        <v>0</v>
      </c>
      <c r="W48" s="1010">
        <f>Vh</f>
        <v>60</v>
      </c>
      <c r="X48" s="1011">
        <v>0</v>
      </c>
      <c r="Y48" s="1012">
        <f>M77</f>
        <v>53.4</v>
      </c>
      <c r="Z48" s="1013">
        <f t="shared" ref="Z48:Z53" si="2">X48</f>
        <v>0</v>
      </c>
    </row>
    <row r="49" spans="5:28">
      <c r="N49" s="323"/>
      <c r="O49" s="641"/>
      <c r="P49" s="3" t="s">
        <v>131</v>
      </c>
      <c r="Q49" s="137" t="b">
        <v>0</v>
      </c>
      <c r="R49" s="137" t="b">
        <f>(AND($Q$6="7SA612",$Q49=TRUE))</f>
        <v>0</v>
      </c>
      <c r="W49" s="1014">
        <f>Vh</f>
        <v>60</v>
      </c>
      <c r="X49" s="674">
        <v>-120</v>
      </c>
      <c r="Y49" s="995">
        <f>Vh</f>
        <v>60</v>
      </c>
      <c r="Z49" s="1015">
        <f t="shared" si="2"/>
        <v>-120</v>
      </c>
      <c r="AA49" s="1016" t="b">
        <v>1</v>
      </c>
      <c r="AB49" s="1017">
        <v>178</v>
      </c>
    </row>
    <row r="50" spans="5:28" ht="13.5" thickBot="1">
      <c r="N50" s="323"/>
      <c r="O50" s="641"/>
      <c r="W50" s="1014">
        <f>Vh</f>
        <v>60</v>
      </c>
      <c r="X50" s="674">
        <v>120</v>
      </c>
      <c r="Y50" s="995">
        <f>Vh</f>
        <v>60</v>
      </c>
      <c r="Z50" s="1015">
        <f t="shared" si="2"/>
        <v>120</v>
      </c>
      <c r="AA50" s="1018" t="str">
        <f>IF(Y51&gt;30,"warning","OK")</f>
        <v>OK</v>
      </c>
      <c r="AB50" s="1019" t="str">
        <f>IF(Y51&lt;Je_,"Warning","OK")</f>
        <v>OK</v>
      </c>
    </row>
    <row r="51" spans="5:28">
      <c r="N51" s="323"/>
      <c r="O51" s="641"/>
      <c r="W51" s="1020">
        <v>0</v>
      </c>
      <c r="X51" s="674">
        <v>0</v>
      </c>
      <c r="Y51" s="357">
        <f>M78</f>
        <v>0.626</v>
      </c>
      <c r="Z51" s="1015">
        <f>MOD($R$10-$M$76,360)</f>
        <v>154</v>
      </c>
    </row>
    <row r="52" spans="5:28">
      <c r="N52" s="323"/>
      <c r="O52" s="641"/>
      <c r="P52" s="706" t="s">
        <v>133</v>
      </c>
      <c r="Q52" s="707" t="b">
        <v>1</v>
      </c>
      <c r="R52" s="708">
        <f>IF(OR(Q52=FALSE,Q6&lt;&gt;"7SA612"),9999,C24)</f>
        <v>2</v>
      </c>
      <c r="W52" s="1020">
        <v>0</v>
      </c>
      <c r="X52" s="674">
        <v>0</v>
      </c>
      <c r="Y52" s="357">
        <v>0</v>
      </c>
      <c r="Z52" s="1015">
        <f t="shared" si="2"/>
        <v>0</v>
      </c>
    </row>
    <row r="53" spans="5:28" ht="13.5" thickBot="1">
      <c r="N53" s="323"/>
      <c r="O53" s="641"/>
      <c r="P53" s="104" t="s">
        <v>132</v>
      </c>
      <c r="Q53" s="57"/>
      <c r="R53" s="57"/>
      <c r="W53" s="1021">
        <v>0</v>
      </c>
      <c r="X53" s="1022">
        <v>0</v>
      </c>
      <c r="Y53" s="1023">
        <v>0</v>
      </c>
      <c r="Z53" s="1024">
        <f t="shared" si="2"/>
        <v>0</v>
      </c>
    </row>
    <row r="54" spans="5:28" ht="13.5" thickBot="1">
      <c r="N54" s="323"/>
      <c r="O54" s="641"/>
      <c r="P54" s="744" t="s">
        <v>46</v>
      </c>
      <c r="Q54" s="857" t="e">
        <f>IF(#REF!=TRUE,0,1)*([0]!TestVSOTF/SOTF_Isc)</f>
        <v>#REF!</v>
      </c>
    </row>
    <row r="55" spans="5:28">
      <c r="N55" s="323"/>
      <c r="O55" s="641"/>
      <c r="P55" s="57" t="s">
        <v>47</v>
      </c>
      <c r="Q55" s="611" t="e">
        <f>IF(#REF!=TRUE,0,1)*(#REF!/SOTF_Isc)</f>
        <v>#REF!</v>
      </c>
      <c r="W55" s="1145" t="s">
        <v>982</v>
      </c>
      <c r="X55" s="1146"/>
      <c r="Y55" s="1147"/>
      <c r="Z55" s="1013">
        <f>DEGREES(ATAN($C$77/(Vh)))</f>
        <v>43.348142728957797</v>
      </c>
    </row>
    <row r="56" spans="5:28">
      <c r="N56" s="323"/>
      <c r="O56" s="641"/>
      <c r="W56" s="1014">
        <f>Vh</f>
        <v>60</v>
      </c>
      <c r="X56" s="674">
        <v>150</v>
      </c>
      <c r="Y56" s="995">
        <f>$C$77/2/SIN(RADIANS(Z55))</f>
        <v>41.254338574748715</v>
      </c>
      <c r="Z56" s="1015">
        <f>90+DEGREES(ATAN($C$77/(Vh)))</f>
        <v>133.34814272895778</v>
      </c>
    </row>
    <row r="57" spans="5:28">
      <c r="N57" s="323"/>
      <c r="O57" s="641"/>
      <c r="P57" s="57" t="s">
        <v>117</v>
      </c>
      <c r="Q57" s="154">
        <f>DEGREES(ATAN(MVar/MW))</f>
        <v>45</v>
      </c>
      <c r="W57" s="1014">
        <f>Vh</f>
        <v>60</v>
      </c>
      <c r="X57" s="674">
        <v>30</v>
      </c>
      <c r="Y57" s="995">
        <f>Y56</f>
        <v>41.254338574748715</v>
      </c>
      <c r="Z57" s="1015">
        <f>90-DEGREES(ATAN($C$77/(Vh)))</f>
        <v>46.651857271042203</v>
      </c>
    </row>
    <row r="58" spans="5:28">
      <c r="N58" s="323"/>
      <c r="O58" s="641"/>
      <c r="P58" s="57" t="s">
        <v>115</v>
      </c>
      <c r="Q58" s="154">
        <f>IF(MW&lt;0,-1,1)</f>
        <v>1</v>
      </c>
      <c r="S58" s="685" t="s">
        <v>800</v>
      </c>
      <c r="T58" s="686" t="s">
        <v>799</v>
      </c>
      <c r="U58" s="686" t="s">
        <v>798</v>
      </c>
      <c r="W58" s="1014">
        <f>Vh</f>
        <v>60</v>
      </c>
      <c r="X58" s="674">
        <v>270</v>
      </c>
      <c r="Y58" s="995">
        <f>Vh</f>
        <v>60</v>
      </c>
      <c r="Z58" s="1015">
        <v>270</v>
      </c>
    </row>
    <row r="59" spans="5:28">
      <c r="N59" s="323"/>
      <c r="O59" s="641"/>
      <c r="P59" s="57" t="s">
        <v>118</v>
      </c>
      <c r="Q59" s="856" t="e">
        <f>MAX(ABS(#REF!),ABS(#REF!),ABS(#REF!))</f>
        <v>#REF!</v>
      </c>
      <c r="S59" s="681" t="s">
        <v>801</v>
      </c>
      <c r="T59" s="684" t="b">
        <v>0</v>
      </c>
      <c r="U59" s="684" t="b">
        <v>0</v>
      </c>
      <c r="W59" s="1020">
        <v>0</v>
      </c>
      <c r="X59" s="674">
        <v>0</v>
      </c>
      <c r="Y59" s="357">
        <f>$C$78</f>
        <v>1.3089999999999999</v>
      </c>
      <c r="Z59" s="1015">
        <f>MOD(Z60+180,360)</f>
        <v>317</v>
      </c>
      <c r="AA59" s="1004"/>
    </row>
    <row r="60" spans="5:28">
      <c r="N60" s="323"/>
      <c r="O60" s="641"/>
      <c r="Q60" s="154"/>
      <c r="S60" s="681" t="s">
        <v>706</v>
      </c>
      <c r="T60" s="684" t="b">
        <v>0</v>
      </c>
      <c r="U60" s="684" t="b">
        <v>0</v>
      </c>
      <c r="W60" s="1020">
        <v>0</v>
      </c>
      <c r="X60" s="674">
        <v>0</v>
      </c>
      <c r="Y60" s="357">
        <f>Y59</f>
        <v>1.3089999999999999</v>
      </c>
      <c r="Z60" s="1015">
        <f>MOD($R$10-$C$76,360)</f>
        <v>137</v>
      </c>
    </row>
    <row r="61" spans="5:28" ht="13.5" thickBot="1">
      <c r="N61" s="323"/>
      <c r="O61" s="641"/>
      <c r="P61" s="57">
        <f>IF(AND(Q57&gt;-30,Q57&lt;120),1,0)</f>
        <v>1</v>
      </c>
      <c r="Q61" s="154"/>
      <c r="S61" s="681" t="s">
        <v>401</v>
      </c>
      <c r="T61" s="684" t="b">
        <v>1</v>
      </c>
      <c r="U61" s="684" t="b">
        <v>1</v>
      </c>
      <c r="W61" s="1021">
        <v>0</v>
      </c>
      <c r="X61" s="1022">
        <v>0</v>
      </c>
      <c r="Y61" s="1023">
        <v>0</v>
      </c>
      <c r="Z61" s="1024">
        <v>0</v>
      </c>
    </row>
    <row r="62" spans="5:28" ht="13.5" thickBot="1">
      <c r="N62" s="323"/>
      <c r="O62" s="641"/>
      <c r="P62" s="57">
        <f>IF(AND(Q57&gt;150,Q57&lt;300),1,0)</f>
        <v>0</v>
      </c>
      <c r="Q62" s="154"/>
      <c r="S62" s="681" t="s">
        <v>400</v>
      </c>
      <c r="T62" s="684" t="b">
        <v>1</v>
      </c>
      <c r="U62" s="684" t="b">
        <v>1</v>
      </c>
      <c r="W62" s="594"/>
      <c r="X62" s="594"/>
      <c r="Y62" s="1115" t="str">
        <f>IF(Y59&gt;30,"Warning","OK")</f>
        <v>OK</v>
      </c>
      <c r="Z62" s="1116" t="str">
        <f>IF(Y59&lt;J_,"Warning","OK")</f>
        <v>OK</v>
      </c>
    </row>
    <row r="63" spans="5:28" ht="13.5" thickBot="1">
      <c r="E63" s="2"/>
      <c r="F63"/>
      <c r="N63" s="323"/>
      <c r="O63" s="641"/>
      <c r="P63" s="57">
        <f>SUM(P61:P62)</f>
        <v>1</v>
      </c>
      <c r="Q63" s="154"/>
      <c r="S63" s="681" t="s">
        <v>81</v>
      </c>
      <c r="T63" s="684" t="b">
        <v>1</v>
      </c>
      <c r="U63" s="684" t="b">
        <v>1</v>
      </c>
      <c r="W63" s="1124" t="s">
        <v>1006</v>
      </c>
      <c r="X63" s="1125"/>
      <c r="Y63" s="1126"/>
      <c r="Z63" s="1127" t="str">
        <f>IF(OR(AA50&lt;&gt;"OK",AB50&lt;&gt;"OK",Z62&lt;&gt;"OK",Y71&lt;&gt;"OK"),"Warning","OK")</f>
        <v>OK</v>
      </c>
    </row>
    <row r="64" spans="5:28">
      <c r="F64"/>
      <c r="N64" s="323"/>
      <c r="O64" s="641"/>
      <c r="P64" s="57"/>
      <c r="Q64" s="154"/>
      <c r="S64" s="681" t="s">
        <v>1003</v>
      </c>
      <c r="T64" s="684" t="b">
        <v>1</v>
      </c>
      <c r="U64" s="684" t="b">
        <v>1</v>
      </c>
      <c r="W64" s="1176" t="s">
        <v>983</v>
      </c>
      <c r="X64" s="1177"/>
      <c r="Y64" s="1177"/>
      <c r="Z64" s="1117">
        <f>ROUND(J_*1.732/2,3)</f>
        <v>0.13900000000000001</v>
      </c>
    </row>
    <row r="65" spans="1:38" ht="13.5" thickBot="1">
      <c r="B65" s="156"/>
      <c r="N65" s="323"/>
      <c r="O65" s="641"/>
      <c r="P65" s="57" t="s">
        <v>116</v>
      </c>
      <c r="Q65" s="154">
        <f>Q58*P61</f>
        <v>1</v>
      </c>
      <c r="W65" s="1014">
        <f>Vh</f>
        <v>60</v>
      </c>
      <c r="X65" s="674">
        <v>0</v>
      </c>
      <c r="Y65" s="995">
        <f>$C$77/1.732</f>
        <v>32.699999999999996</v>
      </c>
      <c r="Z65" s="1015">
        <v>0</v>
      </c>
    </row>
    <row r="66" spans="1:38" ht="13.5" thickBot="1">
      <c r="F66" s="169"/>
      <c r="I66" s="324" t="s">
        <v>999</v>
      </c>
      <c r="J66" s="1070">
        <f>M75*COS(RADIANS(M76))*$U$64</f>
        <v>76.699696717483647</v>
      </c>
      <c r="K66" s="1071">
        <f>M75*SIN(RADIANS(M76))*$U$64</f>
        <v>37.408941622234799</v>
      </c>
      <c r="N66" s="323"/>
      <c r="O66" s="641"/>
      <c r="W66" s="1014">
        <f>Vh</f>
        <v>60</v>
      </c>
      <c r="X66" s="674">
        <v>-120</v>
      </c>
      <c r="Y66" s="995">
        <f>Y65</f>
        <v>32.699999999999996</v>
      </c>
      <c r="Z66" s="1015">
        <v>-120</v>
      </c>
    </row>
    <row r="67" spans="1:38" ht="13.5" thickBot="1">
      <c r="I67" s="324" t="s">
        <v>1000</v>
      </c>
      <c r="J67" s="1105">
        <f>IF($V85=TRUE,U86,IF($X85=TRUE,W86,Y86))*$V$87</f>
        <v>0</v>
      </c>
      <c r="K67" s="1074">
        <f>IF($V85=TRUE,V86,IF($X85=TRUE,X86,Z86))*$V$87</f>
        <v>0</v>
      </c>
      <c r="N67" s="323"/>
      <c r="O67" s="641"/>
      <c r="W67" s="1014">
        <f>Vh</f>
        <v>60</v>
      </c>
      <c r="X67" s="674">
        <v>120</v>
      </c>
      <c r="Y67" s="995">
        <f>Y65</f>
        <v>32.699999999999996</v>
      </c>
      <c r="Z67" s="1015">
        <v>120</v>
      </c>
    </row>
    <row r="68" spans="1:38" ht="13.5" thickBot="1">
      <c r="A68" s="323"/>
      <c r="B68" s="1069"/>
      <c r="C68" s="324" t="s">
        <v>999</v>
      </c>
      <c r="D68" s="1106">
        <f>C75*COS(RADIANS(C76))*$T$64</f>
        <v>31.65220361163173</v>
      </c>
      <c r="E68" s="1073">
        <f>C75*SIN(RADIANS(C76))*$T$64</f>
        <v>29.516157377347568</v>
      </c>
      <c r="F68" s="1069"/>
      <c r="G68" s="323"/>
      <c r="H68" s="323"/>
      <c r="I68" s="323"/>
      <c r="J68" s="323"/>
      <c r="K68" s="323"/>
      <c r="L68" s="323"/>
      <c r="M68" s="323"/>
      <c r="N68" s="323"/>
      <c r="O68" s="641"/>
      <c r="P68" s="641"/>
      <c r="Q68" s="641"/>
      <c r="R68" s="641"/>
      <c r="S68" s="641"/>
      <c r="T68" s="641"/>
      <c r="U68" s="641"/>
      <c r="V68" s="641"/>
      <c r="W68" s="1020">
        <v>0</v>
      </c>
      <c r="X68" s="674">
        <v>0</v>
      </c>
      <c r="Y68" s="1025">
        <f>$C$78/1.732*2</f>
        <v>1.5115473441108545</v>
      </c>
      <c r="Z68" s="1015">
        <f>MOD($R$10-$C$76,360)</f>
        <v>137</v>
      </c>
    </row>
    <row r="69" spans="1:38" ht="13.5" thickBot="1">
      <c r="A69" s="323"/>
      <c r="B69" s="1069"/>
      <c r="C69" s="324" t="s">
        <v>1000</v>
      </c>
      <c r="D69" s="1105">
        <f>IF($V78=TRUE,U79,IF($X78=TRUE,W79,Y79))*$V$80</f>
        <v>196.359907451184</v>
      </c>
      <c r="E69" s="1074">
        <f>IF($V78=TRUE,V79,IF($X78=TRUE,X79,Z79))*$V$80</f>
        <v>71.267356720939404</v>
      </c>
      <c r="F69" s="1069"/>
      <c r="G69" s="323"/>
      <c r="H69" s="323"/>
      <c r="I69" s="323"/>
      <c r="J69" s="323"/>
      <c r="K69" s="323"/>
      <c r="L69" s="323"/>
      <c r="M69" s="323"/>
      <c r="N69" s="323"/>
      <c r="O69" s="641"/>
      <c r="P69" s="641"/>
      <c r="Q69" s="641"/>
      <c r="R69" s="641"/>
      <c r="S69" s="641"/>
      <c r="T69" s="641"/>
      <c r="U69" s="641"/>
      <c r="V69" s="641"/>
      <c r="W69" s="1020">
        <v>0</v>
      </c>
      <c r="X69" s="674">
        <v>0</v>
      </c>
      <c r="Y69" s="1025">
        <f>Y68</f>
        <v>1.5115473441108545</v>
      </c>
      <c r="Z69" s="1015">
        <f>MOD(Z68-120,360)</f>
        <v>17</v>
      </c>
    </row>
    <row r="70" spans="1:38" ht="13.5" thickBot="1">
      <c r="A70" s="323"/>
      <c r="B70" s="1069"/>
      <c r="C70" s="323"/>
      <c r="D70" s="1069"/>
      <c r="E70" s="323"/>
      <c r="F70" s="1069"/>
      <c r="G70" s="323"/>
      <c r="H70" s="323"/>
      <c r="I70" s="323"/>
      <c r="J70" s="324"/>
      <c r="K70" s="324"/>
      <c r="L70" s="323"/>
      <c r="M70" s="323"/>
      <c r="N70" s="323"/>
      <c r="O70" s="641"/>
      <c r="P70" s="641"/>
      <c r="Q70" s="324" t="s">
        <v>1004</v>
      </c>
      <c r="R70" s="737">
        <v>85</v>
      </c>
      <c r="S70" s="641"/>
      <c r="T70" s="641"/>
      <c r="U70" s="641"/>
      <c r="V70" s="641"/>
      <c r="W70" s="1064">
        <v>0</v>
      </c>
      <c r="X70" s="1027">
        <v>0</v>
      </c>
      <c r="Y70" s="1026">
        <f>Y68</f>
        <v>1.5115473441108545</v>
      </c>
      <c r="Z70" s="1015">
        <f>MOD(Z69-120,360)</f>
        <v>257</v>
      </c>
    </row>
    <row r="71" spans="1:38" ht="13.5" thickBot="1">
      <c r="A71" s="323"/>
      <c r="B71" s="1069"/>
      <c r="C71" s="323"/>
      <c r="D71" s="1075">
        <f>IF($V78=TRUE,U77,IF($X78=TRUE,W77,Y77))</f>
        <v>208.89291368600124</v>
      </c>
      <c r="E71" s="1076">
        <f>IF($V78=TRUE,V77,IF($X78=TRUE,X77,Z77))*$V$80</f>
        <v>19.947986475740301</v>
      </c>
      <c r="F71" s="323"/>
      <c r="G71" s="323"/>
      <c r="H71" s="323"/>
      <c r="I71" s="323"/>
      <c r="J71" s="1075">
        <f>IF($V85=TRUE,U84,IF($X85=TRUE,W84,Y84))</f>
        <v>200.00000000000014</v>
      </c>
      <c r="K71" s="1121">
        <f>IF($V85=TRUE,V84,IF($X85=TRUE,X84,Z84))</f>
        <v>-16.099999999999945</v>
      </c>
      <c r="L71" s="223"/>
      <c r="M71" s="223"/>
      <c r="N71" s="323"/>
      <c r="O71" s="641"/>
      <c r="P71" s="641"/>
      <c r="Q71" s="324" t="s">
        <v>1005</v>
      </c>
      <c r="R71" s="737">
        <v>81</v>
      </c>
      <c r="S71" s="641"/>
      <c r="T71" s="641"/>
      <c r="U71" s="641"/>
      <c r="V71" s="641"/>
      <c r="W71" s="1029" t="b">
        <v>1</v>
      </c>
      <c r="X71" s="1030">
        <v>109</v>
      </c>
      <c r="Y71" s="1031" t="str">
        <f>IF(Y68&gt;30,"Warning","OK")</f>
        <v>OK</v>
      </c>
      <c r="Z71" s="1028" t="str">
        <f>IF(Y68&lt;J_,"Warning","OK")</f>
        <v>OK</v>
      </c>
    </row>
    <row r="72" spans="1:38" ht="13.5" thickBot="1">
      <c r="A72" s="323"/>
      <c r="B72" s="1069"/>
      <c r="C72" s="323"/>
      <c r="D72" s="1069"/>
      <c r="E72" s="323"/>
      <c r="F72" s="1069"/>
      <c r="G72" s="323"/>
      <c r="H72" s="1134" t="s">
        <v>996</v>
      </c>
      <c r="I72" s="1135"/>
      <c r="J72" s="323"/>
      <c r="K72" s="323"/>
      <c r="L72" s="323"/>
      <c r="M72" s="323"/>
      <c r="N72" s="323"/>
      <c r="O72" s="641"/>
    </row>
    <row r="73" spans="1:38" ht="13.5" thickBot="1">
      <c r="A73" s="323"/>
      <c r="B73" s="1069"/>
      <c r="C73" s="323"/>
      <c r="D73" s="1072"/>
      <c r="E73" s="323"/>
      <c r="F73" s="1069"/>
      <c r="G73" s="1079" t="s">
        <v>985</v>
      </c>
      <c r="H73" s="1080">
        <v>60</v>
      </c>
      <c r="I73" s="1081">
        <v>127.9</v>
      </c>
      <c r="J73" s="323"/>
      <c r="K73" s="323"/>
      <c r="L73" s="1139" t="s">
        <v>1002</v>
      </c>
      <c r="M73" s="1139"/>
      <c r="N73" s="323"/>
      <c r="O73" s="641"/>
      <c r="Q73" s="1032" t="s">
        <v>984</v>
      </c>
      <c r="R73" s="524" t="str">
        <f>IMSUM(T74,T75,T76)</f>
        <v>-13.4897029941728+17.361803677193j</v>
      </c>
      <c r="S73" s="516"/>
      <c r="T73" s="516"/>
      <c r="U73" s="1148" t="s">
        <v>75</v>
      </c>
      <c r="V73" s="1149"/>
      <c r="W73" s="1150" t="s">
        <v>76</v>
      </c>
      <c r="X73" s="1149"/>
      <c r="Y73" s="1150" t="s">
        <v>77</v>
      </c>
      <c r="Z73" s="1149"/>
    </row>
    <row r="74" spans="1:38">
      <c r="A74" s="323"/>
      <c r="B74" s="1132" t="s">
        <v>995</v>
      </c>
      <c r="C74" s="1133"/>
      <c r="D74" s="323"/>
      <c r="E74" s="323"/>
      <c r="F74" s="1069"/>
      <c r="G74" s="1079" t="s">
        <v>986</v>
      </c>
      <c r="H74" s="1080">
        <v>38.04</v>
      </c>
      <c r="I74" s="1085">
        <v>52.1</v>
      </c>
      <c r="J74" s="323"/>
      <c r="K74" s="323"/>
      <c r="L74" s="1132" t="s">
        <v>995</v>
      </c>
      <c r="M74" s="1133"/>
      <c r="N74" s="323"/>
      <c r="O74" s="641"/>
      <c r="Q74" s="516" t="s">
        <v>985</v>
      </c>
      <c r="R74" s="600">
        <f>H73*COS(RADIANS(I73))</f>
        <v>-36.8571120059366</v>
      </c>
      <c r="S74" s="600">
        <f>H73*SIN(RADIANS(I73))</f>
        <v>47.345045090081435</v>
      </c>
      <c r="T74" s="449" t="str">
        <f t="shared" ref="T74:T79" si="3">COMPLEX(R74,S74,"j")</f>
        <v>-36.8571120059366+47.3450450900814j</v>
      </c>
      <c r="U74" s="1033" t="str">
        <f>IMSUB(T74,T75)</f>
        <v>-60.2245210177004+17.3282865029698j</v>
      </c>
      <c r="V74" s="1034"/>
      <c r="W74" s="1035" t="str">
        <f>IMSUB(T75,T76)</f>
        <v>23.3674090117638+90.0167585871116j</v>
      </c>
      <c r="X74" s="1034"/>
      <c r="Y74" s="1035" t="str">
        <f>IMSUB(T76,T74)</f>
        <v>36.8571120059366-107.345045090081j</v>
      </c>
      <c r="Z74" s="1034"/>
    </row>
    <row r="75" spans="1:38">
      <c r="A75" s="323"/>
      <c r="B75" s="1077" t="s">
        <v>997</v>
      </c>
      <c r="C75" s="1078">
        <f>MAX(Characteristic!M18,Characteristic!P18,Characteristic!S18)*1.1/200*R70</f>
        <v>43.278927202468203</v>
      </c>
      <c r="D75" s="1069"/>
      <c r="E75" s="323"/>
      <c r="F75" s="1069"/>
      <c r="G75" s="1079" t="s">
        <v>988</v>
      </c>
      <c r="H75" s="1080">
        <v>60</v>
      </c>
      <c r="I75" s="1085">
        <v>270</v>
      </c>
      <c r="J75" s="323"/>
      <c r="K75" s="323"/>
      <c r="L75" s="1077" t="s">
        <v>997</v>
      </c>
      <c r="M75" s="1078">
        <f>MAX(Characteristic!M40,Characteristic!P40,Characteristic!S40)*1.1/200*R71</f>
        <v>85.336231401730785</v>
      </c>
      <c r="N75" s="323"/>
      <c r="O75" s="641"/>
      <c r="Q75" s="516" t="s">
        <v>986</v>
      </c>
      <c r="R75" s="600">
        <f>H74*COS(RADIANS(I74))</f>
        <v>23.367409011763797</v>
      </c>
      <c r="S75" s="600">
        <f>H74*SIN(RADIANS(I74))</f>
        <v>30.016758587111635</v>
      </c>
      <c r="T75" s="449" t="str">
        <f t="shared" si="3"/>
        <v>23.3674090117638+30.0167585871116j</v>
      </c>
      <c r="U75" s="1036" t="str">
        <f>IMSUB(T77,T78)</f>
        <v>-0.485410196624968+0.352671151375484j</v>
      </c>
      <c r="V75" s="1037"/>
      <c r="W75" s="1038" t="str">
        <f>IMSUB(T78,T79)</f>
        <v>0.242705098312484-0.176335575687742j</v>
      </c>
      <c r="X75" s="1037"/>
      <c r="Y75" s="1038" t="str">
        <f>IMSUB(T79,T77)</f>
        <v>0.242705098312484-0.176335575687742j</v>
      </c>
      <c r="Z75" s="1037"/>
    </row>
    <row r="76" spans="1:38" ht="13.5" thickBot="1">
      <c r="A76" s="323"/>
      <c r="B76" s="1077" t="s">
        <v>71</v>
      </c>
      <c r="C76" s="1084">
        <v>43</v>
      </c>
      <c r="D76" s="323"/>
      <c r="E76" s="1123"/>
      <c r="F76" s="323"/>
      <c r="G76" s="1079" t="s">
        <v>989</v>
      </c>
      <c r="H76" s="1093">
        <v>0.3</v>
      </c>
      <c r="I76" s="1094">
        <v>324</v>
      </c>
      <c r="J76" s="323"/>
      <c r="K76" s="323"/>
      <c r="L76" s="1077" t="s">
        <v>71</v>
      </c>
      <c r="M76" s="1084">
        <v>26</v>
      </c>
      <c r="N76" s="323"/>
      <c r="O76" s="641"/>
      <c r="P76" s="101" t="s">
        <v>987</v>
      </c>
      <c r="Q76" s="516" t="s">
        <v>988</v>
      </c>
      <c r="R76" s="600">
        <f>H75*COS(RADIANS(I75))</f>
        <v>-1.102633609417758E-14</v>
      </c>
      <c r="S76" s="600">
        <f>H75*SIN(RADIANS(I75))</f>
        <v>-60</v>
      </c>
      <c r="T76" s="449" t="str">
        <f t="shared" si="3"/>
        <v>-1.10263360941776E-14-60j</v>
      </c>
      <c r="U76" s="1039" t="str">
        <f>IMDIV(U74,U75)</f>
        <v>98.179953725592+35.6336783604697j</v>
      </c>
      <c r="V76" s="1040"/>
      <c r="W76" s="1039" t="str">
        <f>IMDIV(W74,W75)</f>
        <v>-113.35297383883+288.533686256404j</v>
      </c>
      <c r="X76" s="1040"/>
      <c r="Y76" s="1041" t="str">
        <f>IMDIV(Y74,Y75)</f>
        <v>309.712881290013-217.266329535464j</v>
      </c>
      <c r="Z76" s="1040"/>
    </row>
    <row r="77" spans="1:38" ht="13.5" thickBot="1">
      <c r="A77" s="323"/>
      <c r="B77" s="1086" t="s">
        <v>68</v>
      </c>
      <c r="C77" s="1087">
        <f>Vh*1.732/(200/X71)</f>
        <v>56.636399999999995</v>
      </c>
      <c r="D77" s="1079"/>
      <c r="E77" s="1069"/>
      <c r="F77" s="323"/>
      <c r="G77" s="1079" t="s">
        <v>990</v>
      </c>
      <c r="H77" s="1093">
        <v>0.3</v>
      </c>
      <c r="I77" s="1094">
        <v>144</v>
      </c>
      <c r="J77" s="323"/>
      <c r="K77" s="323"/>
      <c r="L77" s="1086" t="s">
        <v>68</v>
      </c>
      <c r="M77" s="1088">
        <f>Vh/(200/AB49)</f>
        <v>53.4</v>
      </c>
      <c r="N77" s="323"/>
      <c r="O77" s="641"/>
      <c r="P77" s="101">
        <f>MOD(I76+$R$10,360)</f>
        <v>144</v>
      </c>
      <c r="Q77" s="471" t="s">
        <v>989</v>
      </c>
      <c r="R77" s="1042">
        <f>H76*COS(RADIANS(P77))</f>
        <v>-0.24270509831248419</v>
      </c>
      <c r="S77" s="1042">
        <f>H76*SIN(RADIANS(P77))</f>
        <v>0.17633557568774197</v>
      </c>
      <c r="T77" s="101" t="str">
        <f t="shared" si="3"/>
        <v>-0.242705098312484+0.176335575687742j</v>
      </c>
      <c r="U77" s="1043">
        <f>IMABS(U76)*2</f>
        <v>208.89291368600124</v>
      </c>
      <c r="V77" s="1044">
        <f>DEGREES(IMARGUMENT(U76))</f>
        <v>19.947986475740301</v>
      </c>
      <c r="W77" s="1043">
        <f>IMABS(W76)*2</f>
        <v>620.00188639330906</v>
      </c>
      <c r="X77" s="1044">
        <f>DEGREES(IMARGUMENT(W76))</f>
        <v>111.44781446773698</v>
      </c>
      <c r="Y77" s="1045">
        <f>IMABS(Y76)*2</f>
        <v>756.64186187858922</v>
      </c>
      <c r="Z77" s="1044">
        <f>DEGREES(IMARGUMENT(Y76))</f>
        <v>-35.049999999999912</v>
      </c>
      <c r="AL77" s="594"/>
    </row>
    <row r="78" spans="1:38" ht="13.5" thickBot="1">
      <c r="A78" s="323"/>
      <c r="B78" s="1091" t="s">
        <v>998</v>
      </c>
      <c r="C78" s="1092">
        <f>ROUND(C77/C75,IF(C77/C75&gt;15,2,3))</f>
        <v>1.3089999999999999</v>
      </c>
      <c r="D78" s="1079"/>
      <c r="E78" s="323"/>
      <c r="F78" s="1069"/>
      <c r="G78" s="1079" t="s">
        <v>991</v>
      </c>
      <c r="H78" s="1096">
        <v>0</v>
      </c>
      <c r="I78" s="1097">
        <v>0</v>
      </c>
      <c r="J78" s="323"/>
      <c r="K78" s="323"/>
      <c r="L78" s="1091" t="s">
        <v>998</v>
      </c>
      <c r="M78" s="1095">
        <f>ROUND(M77/M75,IF(M77/M75&gt;15,2,3))</f>
        <v>0.626</v>
      </c>
      <c r="N78" s="323"/>
      <c r="O78" s="641"/>
      <c r="P78" s="101">
        <f>MOD(I77+$R$10,360)</f>
        <v>324</v>
      </c>
      <c r="Q78" s="471" t="s">
        <v>990</v>
      </c>
      <c r="R78" s="1042">
        <f>H77*COS(RADIANS(P78))</f>
        <v>0.24270509831248419</v>
      </c>
      <c r="S78" s="1042">
        <f>H77*SIN(RADIANS(P78))</f>
        <v>-0.176335575687742</v>
      </c>
      <c r="T78" s="101" t="str">
        <f t="shared" si="3"/>
        <v>0.242705098312484-0.176335575687742j</v>
      </c>
      <c r="U78" s="1046" t="s">
        <v>75</v>
      </c>
      <c r="V78" s="1047" t="b">
        <v>1</v>
      </c>
      <c r="W78" s="1048" t="s">
        <v>76</v>
      </c>
      <c r="X78" s="1049" t="b">
        <v>0</v>
      </c>
      <c r="Y78" s="1046" t="s">
        <v>77</v>
      </c>
      <c r="Z78" s="1047" t="b">
        <v>0</v>
      </c>
      <c r="AL78" s="594"/>
    </row>
    <row r="79" spans="1:38" ht="13.5" thickBot="1">
      <c r="A79" s="323"/>
      <c r="B79" s="1069"/>
      <c r="C79" s="323"/>
      <c r="D79" s="1079"/>
      <c r="E79" s="323"/>
      <c r="F79" s="1069"/>
      <c r="G79" s="1079" t="s">
        <v>984</v>
      </c>
      <c r="H79" s="1098">
        <f>IMABS(R73)</f>
        <v>21.986457509030121</v>
      </c>
      <c r="I79" s="1099">
        <f>IF(H79=0,0,DEGREES(IMARGUMENT(R73)))</f>
        <v>127.8463456566684</v>
      </c>
      <c r="J79" s="323"/>
      <c r="K79" s="323"/>
      <c r="L79" s="1100" t="str">
        <f>"E/F loops"</f>
        <v>E/F loops</v>
      </c>
      <c r="M79" s="1101" t="str">
        <f>IF(M78&lt;Je_,"blocked","released")</f>
        <v>released</v>
      </c>
      <c r="N79" s="323"/>
      <c r="O79" s="641"/>
      <c r="P79" s="101">
        <f>MOD(I78+$R$10,360)</f>
        <v>180</v>
      </c>
      <c r="Q79" s="471" t="s">
        <v>991</v>
      </c>
      <c r="R79" s="1042">
        <f>H78*COS(RADIANS(P79))</f>
        <v>0</v>
      </c>
      <c r="S79" s="1042">
        <f>H78*SIN(RADIANS(P79))</f>
        <v>0</v>
      </c>
      <c r="T79" s="101" t="str">
        <f t="shared" si="3"/>
        <v>0</v>
      </c>
      <c r="U79" s="1050">
        <f>IMREAL(U76)*2</f>
        <v>196.359907451184</v>
      </c>
      <c r="V79" s="1051">
        <f>IMAGINARY(U76)*2</f>
        <v>71.267356720939404</v>
      </c>
      <c r="W79" s="1052">
        <f>IMREAL(W76)*2</f>
        <v>-226.70594767765999</v>
      </c>
      <c r="X79" s="1053">
        <f>IMAGINARY(W76)*2</f>
        <v>577.06737251280799</v>
      </c>
      <c r="Y79" s="1054">
        <f>IMREAL(Y76)*2</f>
        <v>619.425762580026</v>
      </c>
      <c r="Z79" s="1055">
        <f>IMAGINARY(Y76)*2</f>
        <v>-434.53265907092799</v>
      </c>
    </row>
    <row r="80" spans="1:38" ht="13.5" thickBot="1">
      <c r="A80" s="323"/>
      <c r="B80" s="1069"/>
      <c r="C80" s="323"/>
      <c r="D80" s="1140"/>
      <c r="E80" s="1141"/>
      <c r="F80" s="1069"/>
      <c r="G80" s="1079" t="s">
        <v>992</v>
      </c>
      <c r="H80" s="1102">
        <f>IMABS(R80)</f>
        <v>0</v>
      </c>
      <c r="I80" s="1103">
        <f>IF(H80=0,0,DEGREES(IMARGUMENT(R80)))</f>
        <v>0</v>
      </c>
      <c r="J80" s="323"/>
      <c r="K80" s="323"/>
      <c r="L80" s="323"/>
      <c r="M80" s="323"/>
      <c r="N80" s="323"/>
      <c r="O80" s="641"/>
      <c r="Q80" s="471" t="s">
        <v>992</v>
      </c>
      <c r="R80" s="473" t="str">
        <f>IMSUM(T77,T78,T79)</f>
        <v>0</v>
      </c>
      <c r="S80" s="471"/>
      <c r="T80" s="101"/>
      <c r="U80" s="1056" t="s">
        <v>993</v>
      </c>
      <c r="V80" s="1057" t="b">
        <v>1</v>
      </c>
      <c r="Y80" s="594"/>
      <c r="Z80" s="1058"/>
    </row>
    <row r="81" spans="1:26" ht="13.5" thickBot="1">
      <c r="A81" s="323"/>
      <c r="B81" s="323"/>
      <c r="C81" s="1069"/>
      <c r="D81" s="1111" t="s">
        <v>908</v>
      </c>
      <c r="E81" s="1112">
        <v>10</v>
      </c>
      <c r="F81" s="323"/>
      <c r="G81" s="1069"/>
      <c r="H81" s="1119" t="str">
        <f>"E/F loops"</f>
        <v>E/F loops</v>
      </c>
      <c r="I81" s="1120" t="str">
        <f>IF(I80&lt;Je_,"blocked","released")</f>
        <v>blocked</v>
      </c>
      <c r="J81" s="323"/>
      <c r="K81" s="1104"/>
      <c r="L81" s="1104"/>
      <c r="M81" s="1104"/>
      <c r="N81" s="1104"/>
      <c r="O81" s="641"/>
      <c r="T81" s="594"/>
    </row>
    <row r="82" spans="1:26" ht="13.5" thickBot="1">
      <c r="A82" s="323"/>
      <c r="B82" s="323"/>
      <c r="C82" s="1069"/>
      <c r="D82" s="1113" t="s">
        <v>916</v>
      </c>
      <c r="E82" s="1114">
        <v>10</v>
      </c>
      <c r="F82" s="323"/>
      <c r="G82" s="1136" t="str">
        <f>IF(V87=FALSE,"","Warning!")</f>
        <v/>
      </c>
      <c r="H82" s="1137"/>
      <c r="I82" s="1137"/>
      <c r="J82" s="1138"/>
      <c r="K82" s="1083"/>
      <c r="L82" s="223"/>
      <c r="M82" s="223"/>
      <c r="N82" s="223"/>
      <c r="O82" s="641"/>
      <c r="T82" s="594"/>
      <c r="U82" s="1009" t="s">
        <v>964</v>
      </c>
      <c r="V82" s="1008"/>
      <c r="W82" s="1009" t="s">
        <v>965</v>
      </c>
      <c r="X82" s="1008"/>
      <c r="Y82" s="1009" t="s">
        <v>966</v>
      </c>
      <c r="Z82" s="1008"/>
    </row>
    <row r="83" spans="1:26" ht="13.5" thickBot="1">
      <c r="A83" s="323"/>
      <c r="B83" s="323"/>
      <c r="C83" s="1069"/>
      <c r="D83" s="1079"/>
      <c r="E83" s="1069"/>
      <c r="F83" s="323"/>
      <c r="G83" s="1082" t="str">
        <f>IF($V$87=FALSE,"","E/F Plots are only valid for Fault Model test conditions")</f>
        <v/>
      </c>
      <c r="H83" s="223"/>
      <c r="I83" s="223"/>
      <c r="J83" s="238"/>
      <c r="K83" s="1083"/>
      <c r="L83" s="223"/>
      <c r="M83" s="223"/>
      <c r="N83" s="223"/>
      <c r="O83" s="641"/>
      <c r="U83" s="1059" t="str">
        <f>IMDIV(T74,T77)</f>
        <v>192.155830831519-55.4629306604754j</v>
      </c>
      <c r="W83" s="1059" t="str">
        <f>IMDIV(T75,T78)</f>
        <v>4.20407661966512+126.730287381415j</v>
      </c>
      <c r="Y83" s="1059" t="e">
        <f>IMDIV(T76,T79)</f>
        <v>#NUM!</v>
      </c>
    </row>
    <row r="84" spans="1:26" ht="13.5" thickBot="1">
      <c r="A84" s="323"/>
      <c r="B84" s="323"/>
      <c r="C84" s="1069"/>
      <c r="D84" s="1079"/>
      <c r="E84" s="1069"/>
      <c r="F84" s="323"/>
      <c r="G84" s="1089" t="str">
        <f>IF($V$87=FALSE,"","i.e. Neutral current = Faulty-Phase current")</f>
        <v/>
      </c>
      <c r="H84" s="241"/>
      <c r="I84" s="241"/>
      <c r="J84" s="1090"/>
      <c r="K84" s="323"/>
      <c r="L84" s="323"/>
      <c r="M84" s="323"/>
      <c r="N84" s="223"/>
      <c r="O84" s="641"/>
      <c r="U84" s="1060">
        <f>IMABS(U83)</f>
        <v>200.00000000000014</v>
      </c>
      <c r="V84" s="1061">
        <f>DEGREES(IMARGUMENT(U83))</f>
        <v>-16.099999999999945</v>
      </c>
      <c r="W84" s="1060">
        <f>IMABS(W83)</f>
        <v>126.80000000000018</v>
      </c>
      <c r="X84" s="1061">
        <f>DEGREES(IMARGUMENT(W83))</f>
        <v>88.100000000000023</v>
      </c>
      <c r="Y84" s="1060" t="e">
        <f>IMABS(Y83)</f>
        <v>#NUM!</v>
      </c>
      <c r="Z84" s="1061" t="e">
        <f>DEGREES(IMARGUMENT(Y83))</f>
        <v>#NUM!</v>
      </c>
    </row>
    <row r="85" spans="1:26">
      <c r="A85" s="323"/>
      <c r="B85" s="323"/>
      <c r="C85" s="1069"/>
      <c r="D85" s="323"/>
      <c r="E85" s="1069"/>
      <c r="F85" s="323"/>
      <c r="G85" s="1069"/>
      <c r="H85" s="323"/>
      <c r="I85" s="323"/>
      <c r="J85" s="323"/>
      <c r="K85" s="323"/>
      <c r="L85" s="323"/>
      <c r="M85" s="323"/>
      <c r="N85" s="323"/>
      <c r="O85" s="641"/>
      <c r="U85" s="1046" t="s">
        <v>964</v>
      </c>
      <c r="V85" s="1062" t="b">
        <v>1</v>
      </c>
      <c r="W85" s="1048" t="s">
        <v>965</v>
      </c>
      <c r="X85" s="1063" t="b">
        <v>0</v>
      </c>
      <c r="Y85" s="1046" t="s">
        <v>966</v>
      </c>
      <c r="Z85" s="1062" t="b">
        <v>0</v>
      </c>
    </row>
    <row r="86" spans="1:26" ht="13.5" thickBot="1">
      <c r="A86" s="323"/>
      <c r="B86" s="1069"/>
      <c r="C86" s="323"/>
      <c r="D86" s="1069"/>
      <c r="E86" s="323"/>
      <c r="F86" s="1069"/>
      <c r="G86" s="323"/>
      <c r="H86" s="323"/>
      <c r="I86" s="323"/>
      <c r="J86" s="323"/>
      <c r="K86" s="323"/>
      <c r="L86" s="323"/>
      <c r="M86" s="323"/>
      <c r="N86" s="323"/>
      <c r="O86" s="641"/>
      <c r="U86" s="1064">
        <f>IMREAL(U83)</f>
        <v>192.15583083151901</v>
      </c>
      <c r="V86" s="1065">
        <f>IMAGINARY(U83)</f>
        <v>-55.462930660475401</v>
      </c>
      <c r="W86" s="1066">
        <f>IMREAL(W83)</f>
        <v>4.2040766196651198</v>
      </c>
      <c r="X86" s="1067">
        <f>IMAGINARY(W83)</f>
        <v>126.730287381415</v>
      </c>
      <c r="Y86" s="1021" t="e">
        <f>IMREAL(Y83)</f>
        <v>#NUM!</v>
      </c>
      <c r="Z86" s="1068" t="e">
        <f>IMAGINARY(Y83)</f>
        <v>#NUM!</v>
      </c>
    </row>
    <row r="87" spans="1:26" ht="13.5" thickBot="1">
      <c r="A87" s="323"/>
      <c r="B87" s="1069"/>
      <c r="C87" s="323"/>
      <c r="D87" s="1069"/>
      <c r="E87" s="323"/>
      <c r="F87" s="1069"/>
      <c r="G87" s="323"/>
      <c r="H87" s="323"/>
      <c r="I87" s="323"/>
      <c r="J87" s="323"/>
      <c r="K87" s="323"/>
      <c r="L87" s="323"/>
      <c r="M87" s="323"/>
      <c r="N87" s="323"/>
      <c r="O87" s="641"/>
      <c r="U87" s="1056" t="s">
        <v>994</v>
      </c>
      <c r="V87" s="1057" t="b">
        <v>0</v>
      </c>
      <c r="Y87" s="594"/>
      <c r="Z87" s="594"/>
    </row>
    <row r="88" spans="1:26">
      <c r="A88" s="323"/>
      <c r="B88" s="1069"/>
      <c r="C88" s="323"/>
      <c r="D88" s="1069"/>
      <c r="E88" s="323"/>
      <c r="F88" s="1069"/>
      <c r="G88" s="323"/>
      <c r="H88" s="323"/>
      <c r="I88" s="323"/>
      <c r="J88" s="323"/>
      <c r="K88" s="323"/>
      <c r="L88" s="323"/>
      <c r="M88" s="323"/>
      <c r="N88" s="323"/>
      <c r="O88" s="641"/>
    </row>
    <row r="89" spans="1:26">
      <c r="O89" s="641"/>
    </row>
    <row r="92" spans="1:26">
      <c r="B92" s="128" t="str">
        <f>Station&amp;" / "&amp;Feeder&amp;" Settings Summary"</f>
        <v>Turlough Hill / Dunstown Settings Summary</v>
      </c>
      <c r="C92" s="129"/>
      <c r="D92" s="130"/>
    </row>
    <row r="93" spans="1:26">
      <c r="B93" s="131" t="str">
        <f>Q6 &amp;",    In = "&amp; In</f>
        <v>7SA612,    In = 5</v>
      </c>
      <c r="C93" s="127"/>
      <c r="D93" s="132"/>
    </row>
    <row r="94" spans="1:26">
      <c r="B94" s="168">
        <f ca="1">TODAY()</f>
        <v>45792</v>
      </c>
      <c r="C94" s="127"/>
      <c r="D94" s="132"/>
    </row>
    <row r="95" spans="1:26">
      <c r="B95" s="2" t="str">
        <f>B5&amp;": "&amp;T17</f>
        <v>[0121] PTT mode: 3 POTT</v>
      </c>
      <c r="C95" s="127"/>
      <c r="D95" s="132"/>
    </row>
    <row r="96" spans="1:26">
      <c r="B96" s="2" t="str">
        <f>"CT: " &amp; G9 &amp; "/"&amp;In &amp;", VT: "&amp;G7&amp;"kV/"&amp;G8&amp;"V"</f>
        <v>CT: 1800/5, VT: 220kV/100V</v>
      </c>
      <c r="C96" s="127"/>
      <c r="D96" s="132"/>
    </row>
    <row r="97" spans="2:4">
      <c r="B97" s="131" t="str">
        <f>B8&amp;" : Towards the "&amp;C8</f>
        <v>[0201] CT Starpoint : Towards the Busbar</v>
      </c>
      <c r="C97" s="127"/>
      <c r="D97" s="132"/>
    </row>
    <row r="98" spans="2:4">
      <c r="B98" s="131" t="str">
        <f>H8&amp;" : "&amp;I9&amp;",   "&amp;J8&amp;" : "&amp;K9</f>
        <v>[1116] RE/RL, Z1 : 0.93,   [1117] XE/XL, Z1 : 0.85</v>
      </c>
      <c r="C98" s="127"/>
      <c r="D98" s="132"/>
    </row>
    <row r="99" spans="2:4">
      <c r="B99" s="131"/>
      <c r="C99" s="127"/>
      <c r="D99" s="132"/>
    </row>
    <row r="100" spans="2:4">
      <c r="B100" s="131"/>
      <c r="C100" s="127"/>
      <c r="D100" s="132"/>
    </row>
    <row r="101" spans="2:4">
      <c r="B101" s="131" t="str">
        <f>F12&amp;" : "&amp;ManClose</f>
        <v>[1232] Man. Close : 4 Zone Z1B undirectional</v>
      </c>
      <c r="C101" s="127"/>
      <c r="D101" s="132"/>
    </row>
    <row r="102" spans="2:4">
      <c r="B102" s="131"/>
      <c r="C102" s="127"/>
      <c r="D102" s="132"/>
    </row>
    <row r="103" spans="2:4">
      <c r="B103" s="131" t="str">
        <f>B17&amp;" : "&amp;C17&amp;",   "&amp;B18&amp;" : "&amp;C18&amp;",   "&amp;B19&amp;" : "&amp;C19</f>
        <v>[1302] R(Z1) : 13.64,   [1303] X(Z1) : 8.05,   [1304] RE(Z1) : 39.77</v>
      </c>
      <c r="C103" s="127"/>
      <c r="D103" s="132"/>
    </row>
    <row r="104" spans="2:4">
      <c r="B104" s="131" t="str">
        <f>B16&amp;" : "&amp;C16&amp;";     "&amp;B20&amp;" : "&amp;C20</f>
        <v>[1301] Op Mode : Forward;     [1305 / 06] T1 : 0</v>
      </c>
      <c r="C104" s="127"/>
      <c r="D104" s="132"/>
    </row>
    <row r="105" spans="2:4">
      <c r="B105" s="131"/>
      <c r="C105" s="127"/>
      <c r="D105" s="132"/>
    </row>
    <row r="106" spans="2:4">
      <c r="B106" s="131" t="str">
        <f>F17&amp;" : "&amp;U42&amp;",   "&amp;F18&amp;" : "&amp;U43&amp;",   "&amp;F19&amp;" : "&amp;U44</f>
        <v>[1312] R(Z2) : 17.05,   [1313] X(Z2) : 12.16,   [1314] RE(Z2) : 62.5</v>
      </c>
      <c r="C106" s="127"/>
      <c r="D106" s="132"/>
    </row>
    <row r="107" spans="2:4">
      <c r="B107" s="131"/>
      <c r="C107" s="127"/>
      <c r="D107" s="132"/>
    </row>
    <row r="108" spans="2:4">
      <c r="B108" s="131"/>
      <c r="C108" s="127"/>
      <c r="D108" s="132"/>
    </row>
    <row r="109" spans="2:4">
      <c r="B109" s="131" t="str">
        <f>H17&amp;" : "&amp;V42&amp;",   "&amp;H18&amp;" : "&amp;V43&amp;",   "&amp;H19&amp;" : "&amp;V44</f>
        <v>[1322] R(Z3) : 2.27,   [1323] X(Z3) : 0.93,   [1324] RE(Z3) : 4.55</v>
      </c>
      <c r="C109" s="127"/>
      <c r="D109" s="132"/>
    </row>
    <row r="110" spans="2:4">
      <c r="B110" s="131"/>
      <c r="C110" s="127"/>
      <c r="D110" s="132"/>
    </row>
    <row r="111" spans="2:4">
      <c r="B111" s="131"/>
      <c r="C111" s="127"/>
      <c r="D111" s="132"/>
    </row>
    <row r="112" spans="2:4">
      <c r="B112" s="131" t="str">
        <f>D17&amp;" : "&amp;E17&amp;",   "&amp;D18&amp;" : "&amp;E18&amp;",   "&amp;D19&amp;" : "&amp;E19</f>
        <v>[1352] R(Z1B) : 22.73,   [1353] X(Z1B) : 15.16,   [1354] RE(Z1B) : 79.55</v>
      </c>
      <c r="C112" s="127"/>
      <c r="D112" s="132"/>
    </row>
    <row r="113" spans="2:4">
      <c r="B113" s="131"/>
      <c r="C113" s="127"/>
      <c r="D113" s="132"/>
    </row>
    <row r="114" spans="2:4">
      <c r="B114" s="131"/>
      <c r="C114" s="127"/>
      <c r="D114" s="132"/>
    </row>
    <row r="115" spans="2:4">
      <c r="B115" s="131" t="str">
        <f>J12&amp;":"&amp;K12&amp;",   "&amp;B12&amp;":"&amp;C12</f>
        <v>[1203] EFDet. Ie&gt;:0.16,   [1202] Min.  Iph&gt;:0.16</v>
      </c>
      <c r="C115" s="127"/>
      <c r="D115" s="132"/>
    </row>
    <row r="116" spans="2:4">
      <c r="B116" s="131"/>
      <c r="C116" s="127"/>
      <c r="D116" s="132"/>
    </row>
    <row r="117" spans="2:4">
      <c r="B117" s="131"/>
      <c r="C117" s="127"/>
      <c r="D117" s="132"/>
    </row>
    <row r="118" spans="2:4">
      <c r="B118" s="131"/>
      <c r="C118" s="127"/>
      <c r="D118" s="132"/>
    </row>
    <row r="119" spans="2:4">
      <c r="B119" s="131"/>
      <c r="C119" s="127"/>
      <c r="D119" s="132"/>
    </row>
    <row r="120" spans="2:4">
      <c r="B120" s="131"/>
      <c r="C120" s="127"/>
      <c r="D120" s="132"/>
    </row>
    <row r="121" spans="2:4">
      <c r="B121" s="131"/>
      <c r="C121" s="127"/>
      <c r="D121" s="132"/>
    </row>
    <row r="122" spans="2:4">
      <c r="B122" s="131" t="str">
        <f>"[2404] SOTF Isc: "&amp;SOTF_Isc</f>
        <v>[2404] SOTF Isc: 2</v>
      </c>
    </row>
    <row r="124" spans="2:4">
      <c r="B124" s="131" t="str">
        <f>IF(R31=TRUE,P36&amp;",   "&amp;H31&amp;" : "&amp;I31&amp;",   "&amp;H32&amp;" : "&amp;I32,"")</f>
        <v/>
      </c>
      <c r="C124" s="127"/>
      <c r="D124" s="132"/>
    </row>
    <row r="125" spans="2:4">
      <c r="B125" s="131"/>
      <c r="C125" s="127"/>
      <c r="D125" s="132"/>
    </row>
    <row r="126" spans="2:4">
      <c r="B126" s="131" t="str">
        <f>"[2602] Em. O/C I&gt;&gt; : "&amp;J_HS&amp;",    [2603] tI&gt;&gt; : "&amp;t_J_HS</f>
        <v>[2602] Em. O/C I&gt;&gt; : 2.4,    [2603] tI&gt;&gt; : 0.1</v>
      </c>
      <c r="C126" s="127"/>
      <c r="D126" s="132"/>
    </row>
    <row r="127" spans="2:4">
      <c r="B127" s="131" t="str">
        <f>"[2612] Em. O/C I&gt; : "&amp;J_LS&amp;",   [2613] tI&gt; : "&amp;t_J_LS</f>
        <v>[2612] Em. O/C I&gt; : 1.5,   [2613] tI&gt; : 0.9</v>
      </c>
      <c r="C127" s="127"/>
      <c r="D127" s="132"/>
    </row>
    <row r="128" spans="2:4">
      <c r="B128" s="131" t="str">
        <f>"[2632] Em. O/C Ie&gt;&gt; : "&amp;Je_HS&amp;",   [2633] tIe&gt;&gt; : "&amp;t_Je_HS</f>
        <v>[2632] Em. O/C Ie&gt;&gt; : 3.6,   [2633] tIe&gt;&gt; : oo</v>
      </c>
      <c r="C128" s="127"/>
      <c r="D128" s="132"/>
    </row>
    <row r="129" spans="2:9">
      <c r="B129" s="131" t="str">
        <f>"[2642] Em. O/C Ie&gt; : "&amp;Je_LS&amp;",   [2643] tIe&gt; : "&amp;t_Je_LS</f>
        <v>[2642] Em. O/C Ie&gt; : 0.5,   [2643] tIe&gt; : 0.9</v>
      </c>
      <c r="C129" s="127"/>
      <c r="D129" s="132"/>
    </row>
    <row r="130" spans="2:9">
      <c r="B130" s="131"/>
      <c r="C130" s="127"/>
      <c r="D130" s="132"/>
    </row>
    <row r="131" spans="2:9">
      <c r="B131" s="131"/>
      <c r="C131" s="127"/>
      <c r="D131" s="132"/>
    </row>
    <row r="132" spans="2:9">
      <c r="B132" s="131"/>
      <c r="C132" s="127"/>
      <c r="D132" s="132"/>
    </row>
    <row r="133" spans="2:9">
      <c r="B133" s="131"/>
      <c r="C133" s="127"/>
      <c r="D133" s="132"/>
    </row>
    <row r="134" spans="2:9">
      <c r="B134" s="133"/>
      <c r="C134" s="134"/>
      <c r="D134" s="135"/>
    </row>
    <row r="139" spans="2:9">
      <c r="B139" s="1128" t="str">
        <f>W47</f>
        <v>1-Ph Fault Model</v>
      </c>
      <c r="C139" s="1128"/>
      <c r="D139" s="1128"/>
      <c r="E139" s="1128"/>
      <c r="F139" s="1128" t="s">
        <v>1001</v>
      </c>
      <c r="G139" s="1128"/>
      <c r="H139" s="1128"/>
      <c r="I139" s="1128"/>
    </row>
    <row r="140" spans="2:9">
      <c r="B140" s="1109">
        <f>W48</f>
        <v>60</v>
      </c>
      <c r="C140" s="1110">
        <f>X48</f>
        <v>0</v>
      </c>
      <c r="D140" s="1109">
        <f>Y48</f>
        <v>53.4</v>
      </c>
      <c r="E140" s="1110">
        <f>Z48</f>
        <v>0</v>
      </c>
      <c r="F140" s="1109">
        <f t="shared" ref="F140:F145" si="4">D148</f>
        <v>41.254338574748715</v>
      </c>
      <c r="G140" s="1110">
        <f t="shared" ref="G140:G145" si="5">MOD(E148-150,360)</f>
        <v>343.34814272895778</v>
      </c>
      <c r="H140" s="1109">
        <f t="shared" ref="H140:I145" si="6">H148</f>
        <v>32.699999999999996</v>
      </c>
      <c r="I140" s="1110">
        <f t="shared" si="6"/>
        <v>0</v>
      </c>
    </row>
    <row r="141" spans="2:9">
      <c r="B141" s="1109">
        <f t="shared" ref="B141:B153" si="7">W49</f>
        <v>60</v>
      </c>
      <c r="C141" s="1110">
        <f t="shared" ref="C141:C153" si="8">X49</f>
        <v>-120</v>
      </c>
      <c r="D141" s="1109">
        <f t="shared" ref="D141:D153" si="9">Y49</f>
        <v>60</v>
      </c>
      <c r="E141" s="1110">
        <f t="shared" ref="E141:E153" si="10">Z49</f>
        <v>-120</v>
      </c>
      <c r="F141" s="1109">
        <f t="shared" si="4"/>
        <v>41.254338574748715</v>
      </c>
      <c r="G141" s="1110">
        <f t="shared" si="5"/>
        <v>256.65185727104222</v>
      </c>
      <c r="H141" s="1109">
        <f t="shared" si="6"/>
        <v>32.699999999999996</v>
      </c>
      <c r="I141" s="1110">
        <f t="shared" si="6"/>
        <v>-120</v>
      </c>
    </row>
    <row r="142" spans="2:9">
      <c r="B142" s="1109">
        <f t="shared" si="7"/>
        <v>60</v>
      </c>
      <c r="C142" s="1110">
        <f t="shared" si="8"/>
        <v>120</v>
      </c>
      <c r="D142" s="1109">
        <f t="shared" si="9"/>
        <v>60</v>
      </c>
      <c r="E142" s="1110">
        <f t="shared" si="10"/>
        <v>120</v>
      </c>
      <c r="F142" s="1109">
        <f t="shared" si="4"/>
        <v>60</v>
      </c>
      <c r="G142" s="1110">
        <f t="shared" si="5"/>
        <v>120</v>
      </c>
      <c r="H142" s="1109">
        <f t="shared" si="6"/>
        <v>32.699999999999996</v>
      </c>
      <c r="I142" s="1110">
        <f t="shared" si="6"/>
        <v>120</v>
      </c>
    </row>
    <row r="143" spans="2:9">
      <c r="B143" s="1109">
        <f t="shared" si="7"/>
        <v>0</v>
      </c>
      <c r="C143" s="1110">
        <f t="shared" si="8"/>
        <v>0</v>
      </c>
      <c r="D143" s="1109">
        <f t="shared" si="9"/>
        <v>0.626</v>
      </c>
      <c r="E143" s="1110">
        <f t="shared" si="10"/>
        <v>154</v>
      </c>
      <c r="F143" s="1109">
        <f t="shared" si="4"/>
        <v>1.3089999999999999</v>
      </c>
      <c r="G143" s="1110">
        <f t="shared" si="5"/>
        <v>167</v>
      </c>
      <c r="H143" s="1109">
        <f t="shared" si="6"/>
        <v>1.5115473441108545</v>
      </c>
      <c r="I143" s="1110">
        <f t="shared" si="6"/>
        <v>137</v>
      </c>
    </row>
    <row r="144" spans="2:9">
      <c r="B144" s="1109">
        <f t="shared" si="7"/>
        <v>0</v>
      </c>
      <c r="C144" s="1110">
        <f t="shared" si="8"/>
        <v>0</v>
      </c>
      <c r="D144" s="1109">
        <f t="shared" si="9"/>
        <v>0</v>
      </c>
      <c r="E144" s="1110">
        <f t="shared" si="10"/>
        <v>0</v>
      </c>
      <c r="F144" s="1109">
        <f t="shared" si="4"/>
        <v>1.3089999999999999</v>
      </c>
      <c r="G144" s="1110">
        <f t="shared" si="5"/>
        <v>347</v>
      </c>
      <c r="H144" s="1109">
        <f t="shared" si="6"/>
        <v>1.5115473441108545</v>
      </c>
      <c r="I144" s="1110">
        <f t="shared" si="6"/>
        <v>17</v>
      </c>
    </row>
    <row r="145" spans="2:9">
      <c r="B145" s="1109">
        <f t="shared" si="7"/>
        <v>0</v>
      </c>
      <c r="C145" s="1110">
        <f t="shared" si="8"/>
        <v>0</v>
      </c>
      <c r="D145" s="1109">
        <f t="shared" si="9"/>
        <v>0</v>
      </c>
      <c r="E145" s="1110">
        <f t="shared" si="10"/>
        <v>0</v>
      </c>
      <c r="F145" s="1109">
        <f t="shared" si="4"/>
        <v>0</v>
      </c>
      <c r="G145" s="1110">
        <f t="shared" si="5"/>
        <v>210</v>
      </c>
      <c r="H145" s="1109">
        <f t="shared" si="6"/>
        <v>1.5115473441108545</v>
      </c>
      <c r="I145" s="1110">
        <f t="shared" si="6"/>
        <v>257</v>
      </c>
    </row>
    <row r="146" spans="2:9">
      <c r="B146" s="1107"/>
      <c r="C146" s="1108"/>
      <c r="D146" s="1107"/>
      <c r="E146" s="1108"/>
    </row>
    <row r="147" spans="2:9">
      <c r="B147" s="1128" t="str">
        <f t="shared" si="7"/>
        <v>2-Ph Fault Model</v>
      </c>
      <c r="C147" s="1128"/>
      <c r="D147" s="1128"/>
      <c r="E147" s="1128"/>
      <c r="F147" s="1129" t="str">
        <f t="shared" ref="F147:F153" si="11">W64</f>
        <v>3-Ph Fault Model</v>
      </c>
      <c r="G147" s="1130"/>
      <c r="H147" s="1130"/>
      <c r="I147" s="1131"/>
    </row>
    <row r="148" spans="2:9">
      <c r="B148" s="1109">
        <f>W56</f>
        <v>60</v>
      </c>
      <c r="C148" s="1110">
        <f>X56</f>
        <v>150</v>
      </c>
      <c r="D148" s="1109">
        <f>Y56</f>
        <v>41.254338574748715</v>
      </c>
      <c r="E148" s="1110">
        <f>Z56</f>
        <v>133.34814272895778</v>
      </c>
      <c r="F148" s="1109">
        <f t="shared" si="11"/>
        <v>60</v>
      </c>
      <c r="G148" s="1110">
        <f t="shared" ref="G148:I153" si="12">X65</f>
        <v>0</v>
      </c>
      <c r="H148" s="1109">
        <f t="shared" si="12"/>
        <v>32.699999999999996</v>
      </c>
      <c r="I148" s="1110">
        <f t="shared" si="12"/>
        <v>0</v>
      </c>
    </row>
    <row r="149" spans="2:9">
      <c r="B149" s="1109">
        <f t="shared" si="7"/>
        <v>60</v>
      </c>
      <c r="C149" s="1110">
        <f t="shared" si="8"/>
        <v>30</v>
      </c>
      <c r="D149" s="1109">
        <f t="shared" si="9"/>
        <v>41.254338574748715</v>
      </c>
      <c r="E149" s="1110">
        <f t="shared" si="10"/>
        <v>46.651857271042203</v>
      </c>
      <c r="F149" s="1109">
        <f t="shared" si="11"/>
        <v>60</v>
      </c>
      <c r="G149" s="1110">
        <f t="shared" si="12"/>
        <v>-120</v>
      </c>
      <c r="H149" s="1109">
        <f t="shared" si="12"/>
        <v>32.699999999999996</v>
      </c>
      <c r="I149" s="1110">
        <f t="shared" si="12"/>
        <v>-120</v>
      </c>
    </row>
    <row r="150" spans="2:9">
      <c r="B150" s="1109">
        <f t="shared" si="7"/>
        <v>60</v>
      </c>
      <c r="C150" s="1110">
        <f t="shared" si="8"/>
        <v>270</v>
      </c>
      <c r="D150" s="1109">
        <f t="shared" si="9"/>
        <v>60</v>
      </c>
      <c r="E150" s="1110">
        <f t="shared" si="10"/>
        <v>270</v>
      </c>
      <c r="F150" s="1109">
        <f t="shared" si="11"/>
        <v>60</v>
      </c>
      <c r="G150" s="1110">
        <f t="shared" si="12"/>
        <v>120</v>
      </c>
      <c r="H150" s="1109">
        <f t="shared" si="12"/>
        <v>32.699999999999996</v>
      </c>
      <c r="I150" s="1110">
        <f t="shared" si="12"/>
        <v>120</v>
      </c>
    </row>
    <row r="151" spans="2:9">
      <c r="B151" s="1109">
        <f t="shared" si="7"/>
        <v>0</v>
      </c>
      <c r="C151" s="1110">
        <f t="shared" si="8"/>
        <v>0</v>
      </c>
      <c r="D151" s="1109">
        <f t="shared" si="9"/>
        <v>1.3089999999999999</v>
      </c>
      <c r="E151" s="1110">
        <f t="shared" si="10"/>
        <v>317</v>
      </c>
      <c r="F151" s="1109">
        <f t="shared" si="11"/>
        <v>0</v>
      </c>
      <c r="G151" s="1110">
        <f t="shared" si="12"/>
        <v>0</v>
      </c>
      <c r="H151" s="1109">
        <f t="shared" si="12"/>
        <v>1.5115473441108545</v>
      </c>
      <c r="I151" s="1110">
        <f t="shared" si="12"/>
        <v>137</v>
      </c>
    </row>
    <row r="152" spans="2:9">
      <c r="B152" s="1109">
        <f t="shared" si="7"/>
        <v>0</v>
      </c>
      <c r="C152" s="1110">
        <f t="shared" si="8"/>
        <v>0</v>
      </c>
      <c r="D152" s="1109">
        <f t="shared" si="9"/>
        <v>1.3089999999999999</v>
      </c>
      <c r="E152" s="1110">
        <f t="shared" si="10"/>
        <v>137</v>
      </c>
      <c r="F152" s="1109">
        <f t="shared" si="11"/>
        <v>0</v>
      </c>
      <c r="G152" s="1110">
        <f t="shared" si="12"/>
        <v>0</v>
      </c>
      <c r="H152" s="1109">
        <f t="shared" si="12"/>
        <v>1.5115473441108545</v>
      </c>
      <c r="I152" s="1110">
        <f t="shared" si="12"/>
        <v>17</v>
      </c>
    </row>
    <row r="153" spans="2:9">
      <c r="B153" s="1109">
        <f t="shared" si="7"/>
        <v>0</v>
      </c>
      <c r="C153" s="1110">
        <f t="shared" si="8"/>
        <v>0</v>
      </c>
      <c r="D153" s="1109">
        <f t="shared" si="9"/>
        <v>0</v>
      </c>
      <c r="E153" s="1110">
        <f t="shared" si="10"/>
        <v>0</v>
      </c>
      <c r="F153" s="1109">
        <f t="shared" si="11"/>
        <v>0</v>
      </c>
      <c r="G153" s="1110">
        <f t="shared" si="12"/>
        <v>0</v>
      </c>
      <c r="H153" s="1109">
        <f t="shared" si="12"/>
        <v>1.5115473441108545</v>
      </c>
      <c r="I153" s="1110">
        <f t="shared" si="12"/>
        <v>257</v>
      </c>
    </row>
    <row r="154" spans="2:9">
      <c r="B154" s="1107"/>
      <c r="C154" s="1108"/>
      <c r="D154" s="1107"/>
      <c r="E154" s="1108"/>
    </row>
    <row r="155" spans="2:9">
      <c r="B155" s="1107"/>
      <c r="C155" s="1108"/>
      <c r="D155" s="1107"/>
      <c r="E155" s="1108"/>
    </row>
    <row r="326" spans="2:3">
      <c r="B326" s="187"/>
      <c r="C326" s="22"/>
    </row>
    <row r="327" spans="2:3">
      <c r="B327" s="187"/>
      <c r="C327" s="22"/>
    </row>
    <row r="328" spans="2:3">
      <c r="B328" s="187"/>
      <c r="C328" s="22"/>
    </row>
    <row r="329" spans="2:3">
      <c r="B329" s="187"/>
      <c r="C329" s="22"/>
    </row>
    <row r="330" spans="2:3">
      <c r="B330" s="187"/>
      <c r="C330" s="22"/>
    </row>
    <row r="331" spans="2:3">
      <c r="B331" s="187"/>
      <c r="C331" s="22"/>
    </row>
  </sheetData>
  <mergeCells count="29">
    <mergeCell ref="R24:X24"/>
    <mergeCell ref="V15:X15"/>
    <mergeCell ref="V16:X16"/>
    <mergeCell ref="V17:X17"/>
    <mergeCell ref="Y1:Z1"/>
    <mergeCell ref="B15:C15"/>
    <mergeCell ref="D15:E15"/>
    <mergeCell ref="F15:G15"/>
    <mergeCell ref="H15:I15"/>
    <mergeCell ref="S1:W1"/>
    <mergeCell ref="J15:K15"/>
    <mergeCell ref="L15:M15"/>
    <mergeCell ref="H1:I1"/>
    <mergeCell ref="W47:AB47"/>
    <mergeCell ref="W55:Y55"/>
    <mergeCell ref="U73:V73"/>
    <mergeCell ref="W73:X73"/>
    <mergeCell ref="Y73:Z73"/>
    <mergeCell ref="W64:Y64"/>
    <mergeCell ref="H72:I72"/>
    <mergeCell ref="G82:J82"/>
    <mergeCell ref="L74:M74"/>
    <mergeCell ref="L73:M73"/>
    <mergeCell ref="D80:E80"/>
    <mergeCell ref="B139:E139"/>
    <mergeCell ref="F139:I139"/>
    <mergeCell ref="B147:E147"/>
    <mergeCell ref="F147:I147"/>
    <mergeCell ref="B74:C74"/>
  </mergeCells>
  <phoneticPr fontId="29" type="noConversion"/>
  <conditionalFormatting sqref="B78">
    <cfRule type="expression" dxfId="146" priority="1" stopIfTrue="1">
      <formula>$C$78&gt;30</formula>
    </cfRule>
  </conditionalFormatting>
  <conditionalFormatting sqref="M79 I81">
    <cfRule type="cellIs" dxfId="145" priority="2" stopIfTrue="1" operator="equal">
      <formula>"blocked"</formula>
    </cfRule>
  </conditionalFormatting>
  <conditionalFormatting sqref="L79">
    <cfRule type="expression" dxfId="144" priority="3" stopIfTrue="1">
      <formula>$M$79="blocked"</formula>
    </cfRule>
  </conditionalFormatting>
  <conditionalFormatting sqref="L73:M73">
    <cfRule type="cellIs" dxfId="143" priority="4" stopIfTrue="1" operator="equal">
      <formula>"DCEF: Forward PU"</formula>
    </cfRule>
    <cfRule type="cellIs" dxfId="142" priority="5" stopIfTrue="1" operator="equal">
      <formula>"DCEF: Reverse PU"</formula>
    </cfRule>
  </conditionalFormatting>
  <conditionalFormatting sqref="I10:M10 A37:M37 S10:T10 F38:K38 A38:C38">
    <cfRule type="expression" dxfId="141" priority="6" stopIfTrue="1">
      <formula>$Q$6&lt;&gt;"7SD522"</formula>
    </cfRule>
  </conditionalFormatting>
  <conditionalFormatting sqref="A10:H10">
    <cfRule type="expression" dxfId="140" priority="7" stopIfTrue="1">
      <formula>$Q$6&lt;&gt;"7SD522"</formula>
    </cfRule>
  </conditionalFormatting>
  <conditionalFormatting sqref="I17:I20">
    <cfRule type="expression" dxfId="139" priority="8" stopIfTrue="1">
      <formula>$I$16="Inactive"</formula>
    </cfRule>
  </conditionalFormatting>
  <conditionalFormatting sqref="K21 J17:J21">
    <cfRule type="expression" dxfId="138" priority="9" stopIfTrue="1">
      <formula>$W$19=FALSE</formula>
    </cfRule>
  </conditionalFormatting>
  <conditionalFormatting sqref="I21 H17:H21">
    <cfRule type="expression" dxfId="137" priority="10" stopIfTrue="1">
      <formula>$V$19=FALSE</formula>
    </cfRule>
  </conditionalFormatting>
  <conditionalFormatting sqref="G21 F17:F21 T42:T45">
    <cfRule type="expression" dxfId="136" priority="11" stopIfTrue="1">
      <formula>$U$19=FALSE</formula>
    </cfRule>
  </conditionalFormatting>
  <conditionalFormatting sqref="G17:G20">
    <cfRule type="expression" dxfId="135" priority="12" stopIfTrue="1">
      <formula>$G$16="Inactive"</formula>
    </cfRule>
  </conditionalFormatting>
  <conditionalFormatting sqref="K17:K20">
    <cfRule type="expression" dxfId="134" priority="13" stopIfTrue="1">
      <formula>$K$16="Inactive"</formula>
    </cfRule>
  </conditionalFormatting>
  <conditionalFormatting sqref="I27">
    <cfRule type="expression" dxfId="133" priority="14" stopIfTrue="1">
      <formula>$H$27=""</formula>
    </cfRule>
  </conditionalFormatting>
  <conditionalFormatting sqref="G27">
    <cfRule type="expression" dxfId="132" priority="15" stopIfTrue="1">
      <formula>$F$27=""</formula>
    </cfRule>
  </conditionalFormatting>
  <conditionalFormatting sqref="F30:K32">
    <cfRule type="expression" dxfId="131" priority="16" stopIfTrue="1">
      <formula>$Q$6="7SA611"</formula>
    </cfRule>
  </conditionalFormatting>
  <conditionalFormatting sqref="M32 L30:L32 M30">
    <cfRule type="expression" dxfId="130" priority="17" stopIfTrue="1">
      <formula>$Q$6="7SA612"</formula>
    </cfRule>
  </conditionalFormatting>
  <conditionalFormatting sqref="A34:I35">
    <cfRule type="expression" dxfId="129" priority="18" stopIfTrue="1">
      <formula>$Q$6="7SA612"</formula>
    </cfRule>
  </conditionalFormatting>
  <conditionalFormatting sqref="J26:M28">
    <cfRule type="expression" dxfId="128" priority="19" stopIfTrue="1">
      <formula>$Q$6&lt;&gt;"7SA611"</formula>
    </cfRule>
  </conditionalFormatting>
  <conditionalFormatting sqref="A30:E32 B23:C24">
    <cfRule type="expression" dxfId="127" priority="20" stopIfTrue="1">
      <formula>$Q$6&lt;&gt;"7SA612"</formula>
    </cfRule>
  </conditionalFormatting>
  <conditionalFormatting sqref="R52">
    <cfRule type="expression" dxfId="126" priority="21" stopIfTrue="1">
      <formula>$Q$6="7SA611"</formula>
    </cfRule>
  </conditionalFormatting>
  <conditionalFormatting sqref="J7:K7">
    <cfRule type="expression" dxfId="125" priority="22" stopIfTrue="1">
      <formula>$Q$6&lt;&gt;"7SD522"</formula>
    </cfRule>
  </conditionalFormatting>
  <conditionalFormatting sqref="L38:M38">
    <cfRule type="expression" dxfId="124" priority="23" stopIfTrue="1">
      <formula>$Q$6&lt;&gt;"7SD522"</formula>
    </cfRule>
    <cfRule type="expression" dxfId="123" priority="24" stopIfTrue="1">
      <formula>$M$38&lt;&gt;$K$38</formula>
    </cfRule>
  </conditionalFormatting>
  <conditionalFormatting sqref="D38:E38">
    <cfRule type="expression" dxfId="122" priority="25" stopIfTrue="1">
      <formula>$Q$6&lt;&gt;"7SD522"</formula>
    </cfRule>
    <cfRule type="expression" dxfId="121" priority="26" stopIfTrue="1">
      <formula>$E$38&lt;&gt;$C$38</formula>
    </cfRule>
  </conditionalFormatting>
  <conditionalFormatting sqref="C78">
    <cfRule type="cellIs" dxfId="120" priority="27" stopIfTrue="1" operator="greaterThan">
      <formula>30</formula>
    </cfRule>
    <cfRule type="cellIs" dxfId="119" priority="28" stopIfTrue="1" operator="lessThan">
      <formula>$C$12</formula>
    </cfRule>
  </conditionalFormatting>
  <conditionalFormatting sqref="M78">
    <cfRule type="cellIs" dxfId="118" priority="29" stopIfTrue="1" operator="greaterThan">
      <formula>30</formula>
    </cfRule>
    <cfRule type="cellIs" dxfId="117" priority="30" stopIfTrue="1" operator="lessThan">
      <formula>$R$18</formula>
    </cfRule>
  </conditionalFormatting>
  <conditionalFormatting sqref="H81">
    <cfRule type="expression" dxfId="116" priority="31" stopIfTrue="1">
      <formula>$I$81="blocked"</formula>
    </cfRule>
  </conditionalFormatting>
  <conditionalFormatting sqref="L78">
    <cfRule type="expression" dxfId="115" priority="32" stopIfTrue="1">
      <formula>$M$78&gt;30</formula>
    </cfRule>
    <cfRule type="expression" dxfId="114" priority="33" stopIfTrue="1">
      <formula>$M$78&lt;$R$18</formula>
    </cfRule>
  </conditionalFormatting>
  <printOptions horizontalCentered="1" verticalCentered="1"/>
  <pageMargins left="0" right="0" top="0.19685039370078741" bottom="0.19685039370078741" header="0.31496062992125984" footer="0.51181102362204722"/>
  <pageSetup paperSize="9" orientation="landscape" horizontalDpi="360" verticalDpi="36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392" r:id="rId4" name="TextBox8">
          <controlPr defaultSize="0" autoLine="0" r:id="rId5">
            <anchor moveWithCells="1">
              <from>
                <xdr:col>7</xdr:col>
                <xdr:colOff>57150</xdr:colOff>
                <xdr:row>0</xdr:row>
                <xdr:rowOff>38100</xdr:rowOff>
              </from>
              <to>
                <xdr:col>9</xdr:col>
                <xdr:colOff>57150</xdr:colOff>
                <xdr:row>1</xdr:row>
                <xdr:rowOff>238125</xdr:rowOff>
              </to>
            </anchor>
          </controlPr>
        </control>
      </mc:Choice>
      <mc:Fallback>
        <control shapeId="1392" r:id="rId4" name="TextBox8"/>
      </mc:Fallback>
    </mc:AlternateContent>
    <mc:AlternateContent xmlns:mc="http://schemas.openxmlformats.org/markup-compatibility/2006">
      <mc:Choice Requires="x14">
        <control shapeId="1104" r:id="rId6" name="CheckBox1">
          <controlPr defaultSize="0" autoLine="0" linkedCell="R31" r:id="rId7">
            <anchor moveWithCells="1">
              <from>
                <xdr:col>5</xdr:col>
                <xdr:colOff>19050</xdr:colOff>
                <xdr:row>30</xdr:row>
                <xdr:rowOff>19050</xdr:rowOff>
              </from>
              <to>
                <xdr:col>6</xdr:col>
                <xdr:colOff>200025</xdr:colOff>
                <xdr:row>31</xdr:row>
                <xdr:rowOff>76200</xdr:rowOff>
              </to>
            </anchor>
          </controlPr>
        </control>
      </mc:Choice>
      <mc:Fallback>
        <control shapeId="1104" r:id="rId6" name="CheckBox1"/>
      </mc:Fallback>
    </mc:AlternateContent>
    <mc:AlternateContent xmlns:mc="http://schemas.openxmlformats.org/markup-compatibility/2006">
      <mc:Choice Requires="x14">
        <control shapeId="1070" r:id="rId8" name="TextBox4">
          <controlPr defaultSize="0" print="0" autoLine="0" r:id="rId9">
            <anchor moveWithCells="1">
              <from>
                <xdr:col>0</xdr:col>
                <xdr:colOff>200025</xdr:colOff>
                <xdr:row>0</xdr:row>
                <xdr:rowOff>66675</xdr:rowOff>
              </from>
              <to>
                <xdr:col>2</xdr:col>
                <xdr:colOff>447675</xdr:colOff>
                <xdr:row>1</xdr:row>
                <xdr:rowOff>190500</xdr:rowOff>
              </to>
            </anchor>
          </controlPr>
        </control>
      </mc:Choice>
      <mc:Fallback>
        <control shapeId="1070" r:id="rId8" name="TextBox4"/>
      </mc:Fallback>
    </mc:AlternateContent>
    <mc:AlternateContent xmlns:mc="http://schemas.openxmlformats.org/markup-compatibility/2006">
      <mc:Choice Requires="x14">
        <control shapeId="1069" r:id="rId10" name="TextBox3">
          <controlPr locked="0" defaultSize="0" autoLine="0" linkedCell="P1" r:id="rId11">
            <anchor moveWithCells="1">
              <from>
                <xdr:col>1</xdr:col>
                <xdr:colOff>161925</xdr:colOff>
                <xdr:row>0</xdr:row>
                <xdr:rowOff>114300</xdr:rowOff>
              </from>
              <to>
                <xdr:col>2</xdr:col>
                <xdr:colOff>276225</xdr:colOff>
                <xdr:row>1</xdr:row>
                <xdr:rowOff>9525</xdr:rowOff>
              </to>
            </anchor>
          </controlPr>
        </control>
      </mc:Choice>
      <mc:Fallback>
        <control shapeId="1069" r:id="rId10" name="TextBox3"/>
      </mc:Fallback>
    </mc:AlternateContent>
    <mc:AlternateContent xmlns:mc="http://schemas.openxmlformats.org/markup-compatibility/2006">
      <mc:Choice Requires="x14">
        <control shapeId="1068" r:id="rId12" name="TextBox2">
          <controlPr locked="0" defaultSize="0" autoLine="0" autoPict="0" linkedCell="P2" r:id="rId13">
            <anchor moveWithCells="1">
              <from>
                <xdr:col>1</xdr:col>
                <xdr:colOff>161925</xdr:colOff>
                <xdr:row>0</xdr:row>
                <xdr:rowOff>228600</xdr:rowOff>
              </from>
              <to>
                <xdr:col>2</xdr:col>
                <xdr:colOff>419100</xdr:colOff>
                <xdr:row>1</xdr:row>
                <xdr:rowOff>152400</xdr:rowOff>
              </to>
            </anchor>
          </controlPr>
        </control>
      </mc:Choice>
      <mc:Fallback>
        <control shapeId="1068" r:id="rId12" name="TextBox2"/>
      </mc:Fallback>
    </mc:AlternateContent>
    <mc:AlternateContent xmlns:mc="http://schemas.openxmlformats.org/markup-compatibility/2006">
      <mc:Choice Requires="x14">
        <control shapeId="1071" r:id="rId14" name="Label1">
          <controlPr defaultSize="0" autoLine="0" r:id="rId15">
            <anchor moveWithCells="1">
              <from>
                <xdr:col>0</xdr:col>
                <xdr:colOff>257175</xdr:colOff>
                <xdr:row>0</xdr:row>
                <xdr:rowOff>114300</xdr:rowOff>
              </from>
              <to>
                <xdr:col>1</xdr:col>
                <xdr:colOff>209550</xdr:colOff>
                <xdr:row>1</xdr:row>
                <xdr:rowOff>142875</xdr:rowOff>
              </to>
            </anchor>
          </controlPr>
        </control>
      </mc:Choice>
      <mc:Fallback>
        <control shapeId="1071" r:id="rId14" name="Label1"/>
      </mc:Fallback>
    </mc:AlternateContent>
    <mc:AlternateContent xmlns:mc="http://schemas.openxmlformats.org/markup-compatibility/2006">
      <mc:Choice Requires="x14">
        <control shapeId="1099" r:id="rId16" name="ComboBox2">
          <controlPr locked="0" defaultSize="0" autoLine="0" linkedCell="P36" listFillRange="P32:P35" r:id="rId17">
            <anchor moveWithCells="1">
              <from>
                <xdr:col>9</xdr:col>
                <xdr:colOff>9525</xdr:colOff>
                <xdr:row>30</xdr:row>
                <xdr:rowOff>9525</xdr:rowOff>
              </from>
              <to>
                <xdr:col>10</xdr:col>
                <xdr:colOff>95250</xdr:colOff>
                <xdr:row>31</xdr:row>
                <xdr:rowOff>38100</xdr:rowOff>
              </to>
            </anchor>
          </controlPr>
        </control>
      </mc:Choice>
      <mc:Fallback>
        <control shapeId="1099" r:id="rId16" name="ComboBox2"/>
      </mc:Fallback>
    </mc:AlternateContent>
    <mc:AlternateContent xmlns:mc="http://schemas.openxmlformats.org/markup-compatibility/2006">
      <mc:Choice Requires="x14">
        <control shapeId="1101" r:id="rId18" name="ComboBox3">
          <controlPr defaultSize="0" autoLine="0" linkedCell="V17" listFillRange="V13:V16" r:id="rId19">
            <anchor moveWithCells="1">
              <from>
                <xdr:col>5</xdr:col>
                <xdr:colOff>1009650</xdr:colOff>
                <xdr:row>10</xdr:row>
                <xdr:rowOff>152400</xdr:rowOff>
              </from>
              <to>
                <xdr:col>8</xdr:col>
                <xdr:colOff>352425</xdr:colOff>
                <xdr:row>12</xdr:row>
                <xdr:rowOff>19050</xdr:rowOff>
              </to>
            </anchor>
          </controlPr>
        </control>
      </mc:Choice>
      <mc:Fallback>
        <control shapeId="1101" r:id="rId18" name="ComboBox3"/>
      </mc:Fallback>
    </mc:AlternateContent>
    <mc:AlternateContent xmlns:mc="http://schemas.openxmlformats.org/markup-compatibility/2006">
      <mc:Choice Requires="x14">
        <control shapeId="1133" r:id="rId20" name="ComboBox4">
          <controlPr defaultSize="0" autoLine="0" linkedCell="T17" listFillRange="S14:S17" r:id="rId21">
            <anchor moveWithCells="1">
              <from>
                <xdr:col>2</xdr:col>
                <xdr:colOff>9525</xdr:colOff>
                <xdr:row>3</xdr:row>
                <xdr:rowOff>104775</xdr:rowOff>
              </from>
              <to>
                <xdr:col>5</xdr:col>
                <xdr:colOff>0</xdr:colOff>
                <xdr:row>5</xdr:row>
                <xdr:rowOff>9525</xdr:rowOff>
              </to>
            </anchor>
          </controlPr>
        </control>
      </mc:Choice>
      <mc:Fallback>
        <control shapeId="1133" r:id="rId20" name="ComboBox4"/>
      </mc:Fallback>
    </mc:AlternateContent>
    <mc:AlternateContent xmlns:mc="http://schemas.openxmlformats.org/markup-compatibility/2006">
      <mc:Choice Requires="x14">
        <control shapeId="1143" r:id="rId22" name="SpinButton3">
          <controlPr locked="0" autoLine="0" linkedCell="T21" r:id="rId23">
            <anchor moveWithCells="1">
              <from>
                <xdr:col>3</xdr:col>
                <xdr:colOff>857250</xdr:colOff>
                <xdr:row>15</xdr:row>
                <xdr:rowOff>9525</xdr:rowOff>
              </from>
              <to>
                <xdr:col>3</xdr:col>
                <xdr:colOff>1000125</xdr:colOff>
                <xdr:row>16</xdr:row>
                <xdr:rowOff>0</xdr:rowOff>
              </to>
            </anchor>
          </controlPr>
        </control>
      </mc:Choice>
      <mc:Fallback>
        <control shapeId="1143" r:id="rId22" name="SpinButton3"/>
      </mc:Fallback>
    </mc:AlternateContent>
    <mc:AlternateContent xmlns:mc="http://schemas.openxmlformats.org/markup-compatibility/2006">
      <mc:Choice Requires="x14">
        <control shapeId="1144" r:id="rId24" name="SpinButton5">
          <controlPr locked="0" autoLine="0" linkedCell="U23" r:id="rId23">
            <anchor moveWithCells="1">
              <from>
                <xdr:col>5</xdr:col>
                <xdr:colOff>847725</xdr:colOff>
                <xdr:row>15</xdr:row>
                <xdr:rowOff>19050</xdr:rowOff>
              </from>
              <to>
                <xdr:col>5</xdr:col>
                <xdr:colOff>990600</xdr:colOff>
                <xdr:row>16</xdr:row>
                <xdr:rowOff>9525</xdr:rowOff>
              </to>
            </anchor>
          </controlPr>
        </control>
      </mc:Choice>
      <mc:Fallback>
        <control shapeId="1144" r:id="rId24" name="SpinButton5"/>
      </mc:Fallback>
    </mc:AlternateContent>
    <mc:AlternateContent xmlns:mc="http://schemas.openxmlformats.org/markup-compatibility/2006">
      <mc:Choice Requires="x14">
        <control shapeId="1145" r:id="rId25" name="SpinButton6">
          <controlPr locked="0" autoLine="0" linkedCell="V23" r:id="rId23">
            <anchor moveWithCells="1">
              <from>
                <xdr:col>7</xdr:col>
                <xdr:colOff>847725</xdr:colOff>
                <xdr:row>15</xdr:row>
                <xdr:rowOff>19050</xdr:rowOff>
              </from>
              <to>
                <xdr:col>7</xdr:col>
                <xdr:colOff>990600</xdr:colOff>
                <xdr:row>16</xdr:row>
                <xdr:rowOff>9525</xdr:rowOff>
              </to>
            </anchor>
          </controlPr>
        </control>
      </mc:Choice>
      <mc:Fallback>
        <control shapeId="1145" r:id="rId25" name="SpinButton6"/>
      </mc:Fallback>
    </mc:AlternateContent>
    <mc:AlternateContent xmlns:mc="http://schemas.openxmlformats.org/markup-compatibility/2006">
      <mc:Choice Requires="x14">
        <control shapeId="1146" r:id="rId26" name="SpinButton7">
          <controlPr locked="0" autoLine="0" linkedCell="W23" r:id="rId23">
            <anchor moveWithCells="1">
              <from>
                <xdr:col>9</xdr:col>
                <xdr:colOff>847725</xdr:colOff>
                <xdr:row>15</xdr:row>
                <xdr:rowOff>19050</xdr:rowOff>
              </from>
              <to>
                <xdr:col>9</xdr:col>
                <xdr:colOff>990600</xdr:colOff>
                <xdr:row>16</xdr:row>
                <xdr:rowOff>9525</xdr:rowOff>
              </to>
            </anchor>
          </controlPr>
        </control>
      </mc:Choice>
      <mc:Fallback>
        <control shapeId="1146" r:id="rId26" name="SpinButton7"/>
      </mc:Fallback>
    </mc:AlternateContent>
    <mc:AlternateContent xmlns:mc="http://schemas.openxmlformats.org/markup-compatibility/2006">
      <mc:Choice Requires="x14">
        <control shapeId="1147" r:id="rId27" name="SpinButton8">
          <controlPr locked="0" autoLine="0" linkedCell="X21" r:id="rId23">
            <anchor moveWithCells="1">
              <from>
                <xdr:col>11</xdr:col>
                <xdr:colOff>876300</xdr:colOff>
                <xdr:row>15</xdr:row>
                <xdr:rowOff>19050</xdr:rowOff>
              </from>
              <to>
                <xdr:col>11</xdr:col>
                <xdr:colOff>1019175</xdr:colOff>
                <xdr:row>16</xdr:row>
                <xdr:rowOff>9525</xdr:rowOff>
              </to>
            </anchor>
          </controlPr>
        </control>
      </mc:Choice>
      <mc:Fallback>
        <control shapeId="1147" r:id="rId27" name="SpinButton8"/>
      </mc:Fallback>
    </mc:AlternateContent>
    <mc:AlternateContent xmlns:mc="http://schemas.openxmlformats.org/markup-compatibility/2006">
      <mc:Choice Requires="x14">
        <control shapeId="1161" r:id="rId28" name="SpinButton2">
          <controlPr locked="0" defaultSize="0" print="0" autoLine="0" linkedCell="Characteristic!X10" r:id="rId29">
            <anchor moveWithCells="1">
              <from>
                <xdr:col>0</xdr:col>
                <xdr:colOff>171450</xdr:colOff>
                <xdr:row>60</xdr:row>
                <xdr:rowOff>0</xdr:rowOff>
              </from>
              <to>
                <xdr:col>0</xdr:col>
                <xdr:colOff>466725</xdr:colOff>
                <xdr:row>61</xdr:row>
                <xdr:rowOff>104775</xdr:rowOff>
              </to>
            </anchor>
          </controlPr>
        </control>
      </mc:Choice>
      <mc:Fallback>
        <control shapeId="1161" r:id="rId28" name="SpinButton2"/>
      </mc:Fallback>
    </mc:AlternateContent>
    <mc:AlternateContent xmlns:mc="http://schemas.openxmlformats.org/markup-compatibility/2006">
      <mc:Choice Requires="x14">
        <control shapeId="1166" r:id="rId30" name="SpinButton4">
          <controlPr locked="0" defaultSize="0" print="0" autoLine="0" linkedCell="Characteristic!X32" r:id="rId31">
            <anchor moveWithCells="1">
              <from>
                <xdr:col>7</xdr:col>
                <xdr:colOff>123825</xdr:colOff>
                <xdr:row>59</xdr:row>
                <xdr:rowOff>142875</xdr:rowOff>
              </from>
              <to>
                <xdr:col>7</xdr:col>
                <xdr:colOff>400050</xdr:colOff>
                <xdr:row>61</xdr:row>
                <xdr:rowOff>95250</xdr:rowOff>
              </to>
            </anchor>
          </controlPr>
        </control>
      </mc:Choice>
      <mc:Fallback>
        <control shapeId="1166" r:id="rId30" name="SpinButton4"/>
      </mc:Fallback>
    </mc:AlternateContent>
    <mc:AlternateContent xmlns:mc="http://schemas.openxmlformats.org/markup-compatibility/2006">
      <mc:Choice Requires="x14">
        <control shapeId="1174" r:id="rId32" name="CommandButton5">
          <controlPr locked="0" defaultSize="0" disabled="1" autoLine="0" r:id="rId33">
            <anchor moveWithCells="1">
              <from>
                <xdr:col>11</xdr:col>
                <xdr:colOff>1000125</xdr:colOff>
                <xdr:row>1</xdr:row>
                <xdr:rowOff>190500</xdr:rowOff>
              </from>
              <to>
                <xdr:col>12</xdr:col>
                <xdr:colOff>438150</xdr:colOff>
                <xdr:row>2</xdr:row>
                <xdr:rowOff>180975</xdr:rowOff>
              </to>
            </anchor>
          </controlPr>
        </control>
      </mc:Choice>
      <mc:Fallback>
        <control shapeId="1174" r:id="rId32" name="CommandButton5"/>
      </mc:Fallback>
    </mc:AlternateContent>
    <mc:AlternateContent xmlns:mc="http://schemas.openxmlformats.org/markup-compatibility/2006">
      <mc:Choice Requires="x14">
        <control shapeId="1180" r:id="rId34" name="CheckBox4">
          <controlPr defaultSize="0" autoLine="0" linkedCell="Q52" r:id="rId35">
            <anchor moveWithCells="1">
              <from>
                <xdr:col>2</xdr:col>
                <xdr:colOff>257175</xdr:colOff>
                <xdr:row>22</xdr:row>
                <xdr:rowOff>19050</xdr:rowOff>
              </from>
              <to>
                <xdr:col>2</xdr:col>
                <xdr:colOff>438150</xdr:colOff>
                <xdr:row>23</xdr:row>
                <xdr:rowOff>19050</xdr:rowOff>
              </to>
            </anchor>
          </controlPr>
        </control>
      </mc:Choice>
      <mc:Fallback>
        <control shapeId="1180" r:id="rId34" name="CheckBox4"/>
      </mc:Fallback>
    </mc:AlternateContent>
    <mc:AlternateContent xmlns:mc="http://schemas.openxmlformats.org/markup-compatibility/2006">
      <mc:Choice Requires="x14">
        <control shapeId="1199" r:id="rId36" name="TextBox6">
          <controlPr defaultSize="0" autoLine="0" r:id="rId37">
            <anchor moveWithCells="1">
              <from>
                <xdr:col>5</xdr:col>
                <xdr:colOff>190500</xdr:colOff>
                <xdr:row>0</xdr:row>
                <xdr:rowOff>38100</xdr:rowOff>
              </from>
              <to>
                <xdr:col>6</xdr:col>
                <xdr:colOff>466725</xdr:colOff>
                <xdr:row>2</xdr:row>
                <xdr:rowOff>228600</xdr:rowOff>
              </to>
            </anchor>
          </controlPr>
        </control>
      </mc:Choice>
      <mc:Fallback>
        <control shapeId="1199" r:id="rId36" name="TextBox6"/>
      </mc:Fallback>
    </mc:AlternateContent>
    <mc:AlternateContent xmlns:mc="http://schemas.openxmlformats.org/markup-compatibility/2006">
      <mc:Choice Requires="x14">
        <control shapeId="1200" r:id="rId38" name="OptionButton1">
          <controlPr locked="0" defaultSize="0" autoLine="0" linkedCell="T7" r:id="rId39">
            <anchor moveWithCells="1" sizeWithCells="1">
              <from>
                <xdr:col>5</xdr:col>
                <xdr:colOff>371475</xdr:colOff>
                <xdr:row>0</xdr:row>
                <xdr:rowOff>238125</xdr:rowOff>
              </from>
              <to>
                <xdr:col>6</xdr:col>
                <xdr:colOff>304800</xdr:colOff>
                <xdr:row>1</xdr:row>
                <xdr:rowOff>200025</xdr:rowOff>
              </to>
            </anchor>
          </controlPr>
        </control>
      </mc:Choice>
      <mc:Fallback>
        <control shapeId="1200" r:id="rId38" name="OptionButton1"/>
      </mc:Fallback>
    </mc:AlternateContent>
    <mc:AlternateContent xmlns:mc="http://schemas.openxmlformats.org/markup-compatibility/2006">
      <mc:Choice Requires="x14">
        <control shapeId="1201" r:id="rId40" name="OptionButton2">
          <controlPr locked="0" defaultSize="0" autoLine="0" r:id="rId41">
            <anchor moveWithCells="1" sizeWithCells="1">
              <from>
                <xdr:col>5</xdr:col>
                <xdr:colOff>371475</xdr:colOff>
                <xdr:row>1</xdr:row>
                <xdr:rowOff>209550</xdr:rowOff>
              </from>
              <to>
                <xdr:col>6</xdr:col>
                <xdr:colOff>438150</xdr:colOff>
                <xdr:row>2</xdr:row>
                <xdr:rowOff>171450</xdr:rowOff>
              </to>
            </anchor>
          </controlPr>
        </control>
      </mc:Choice>
      <mc:Fallback>
        <control shapeId="1201" r:id="rId40" name="OptionButton2"/>
      </mc:Fallback>
    </mc:AlternateContent>
    <mc:AlternateContent xmlns:mc="http://schemas.openxmlformats.org/markup-compatibility/2006">
      <mc:Choice Requires="x14">
        <control shapeId="1221" r:id="rId42" name="Label3">
          <controlPr autoLine="0" r:id="rId43">
            <anchor moveWithCells="1" sizeWithCells="1">
              <from>
                <xdr:col>0</xdr:col>
                <xdr:colOff>85725</xdr:colOff>
                <xdr:row>40</xdr:row>
                <xdr:rowOff>9525</xdr:rowOff>
              </from>
              <to>
                <xdr:col>1</xdr:col>
                <xdr:colOff>0</xdr:colOff>
                <xdr:row>41</xdr:row>
                <xdr:rowOff>19050</xdr:rowOff>
              </to>
            </anchor>
          </controlPr>
        </control>
      </mc:Choice>
      <mc:Fallback>
        <control shapeId="1221" r:id="rId42" name="Label3"/>
      </mc:Fallback>
    </mc:AlternateContent>
    <mc:AlternateContent xmlns:mc="http://schemas.openxmlformats.org/markup-compatibility/2006">
      <mc:Choice Requires="x14">
        <control shapeId="1217" r:id="rId44" name="CheckBox10">
          <controlPr defaultSize="0" autoLine="0" linkedCell="T59" r:id="rId45">
            <anchor moveWithCells="1" sizeWithCells="1">
              <from>
                <xdr:col>0</xdr:col>
                <xdr:colOff>85725</xdr:colOff>
                <xdr:row>40</xdr:row>
                <xdr:rowOff>133350</xdr:rowOff>
              </from>
              <to>
                <xdr:col>1</xdr:col>
                <xdr:colOff>400050</xdr:colOff>
                <xdr:row>42</xdr:row>
                <xdr:rowOff>47625</xdr:rowOff>
              </to>
            </anchor>
          </controlPr>
        </control>
      </mc:Choice>
      <mc:Fallback>
        <control shapeId="1217" r:id="rId44" name="CheckBox10"/>
      </mc:Fallback>
    </mc:AlternateContent>
    <mc:AlternateContent xmlns:mc="http://schemas.openxmlformats.org/markup-compatibility/2006">
      <mc:Choice Requires="x14">
        <control shapeId="1218" r:id="rId46" name="CheckBox11">
          <controlPr defaultSize="0" autoLine="0" linkedCell="T61" r:id="rId47">
            <anchor moveWithCells="1" sizeWithCells="1">
              <from>
                <xdr:col>0</xdr:col>
                <xdr:colOff>85725</xdr:colOff>
                <xdr:row>43</xdr:row>
                <xdr:rowOff>38100</xdr:rowOff>
              </from>
              <to>
                <xdr:col>1</xdr:col>
                <xdr:colOff>0</xdr:colOff>
                <xdr:row>44</xdr:row>
                <xdr:rowOff>104775</xdr:rowOff>
              </to>
            </anchor>
          </controlPr>
        </control>
      </mc:Choice>
      <mc:Fallback>
        <control shapeId="1218" r:id="rId46" name="CheckBox11"/>
      </mc:Fallback>
    </mc:AlternateContent>
    <mc:AlternateContent xmlns:mc="http://schemas.openxmlformats.org/markup-compatibility/2006">
      <mc:Choice Requires="x14">
        <control shapeId="1219" r:id="rId48" name="CheckBox12">
          <controlPr defaultSize="0" autoLine="0" linkedCell="T62" r:id="rId49">
            <anchor moveWithCells="1" sizeWithCells="1">
              <from>
                <xdr:col>0</xdr:col>
                <xdr:colOff>85725</xdr:colOff>
                <xdr:row>44</xdr:row>
                <xdr:rowOff>57150</xdr:rowOff>
              </from>
              <to>
                <xdr:col>1</xdr:col>
                <xdr:colOff>0</xdr:colOff>
                <xdr:row>45</xdr:row>
                <xdr:rowOff>133350</xdr:rowOff>
              </to>
            </anchor>
          </controlPr>
        </control>
      </mc:Choice>
      <mc:Fallback>
        <control shapeId="1219" r:id="rId48" name="CheckBox12"/>
      </mc:Fallback>
    </mc:AlternateContent>
    <mc:AlternateContent xmlns:mc="http://schemas.openxmlformats.org/markup-compatibility/2006">
      <mc:Choice Requires="x14">
        <control shapeId="1220" r:id="rId50" name="CheckBox13">
          <controlPr defaultSize="0" autoLine="0" linkedCell="T63" r:id="rId51">
            <anchor moveWithCells="1" sizeWithCells="1">
              <from>
                <xdr:col>0</xdr:col>
                <xdr:colOff>85725</xdr:colOff>
                <xdr:row>45</xdr:row>
                <xdr:rowOff>85725</xdr:rowOff>
              </from>
              <to>
                <xdr:col>1</xdr:col>
                <xdr:colOff>0</xdr:colOff>
                <xdr:row>46</xdr:row>
                <xdr:rowOff>142875</xdr:rowOff>
              </to>
            </anchor>
          </controlPr>
        </control>
      </mc:Choice>
      <mc:Fallback>
        <control shapeId="1220" r:id="rId50" name="CheckBox13"/>
      </mc:Fallback>
    </mc:AlternateContent>
    <mc:AlternateContent xmlns:mc="http://schemas.openxmlformats.org/markup-compatibility/2006">
      <mc:Choice Requires="x14">
        <control shapeId="1222" r:id="rId52" name="CheckBox14">
          <controlPr defaultSize="0" autoLine="0" linkedCell="T60" r:id="rId53">
            <anchor moveWithCells="1" sizeWithCells="1">
              <from>
                <xdr:col>0</xdr:col>
                <xdr:colOff>85725</xdr:colOff>
                <xdr:row>42</xdr:row>
                <xdr:rowOff>0</xdr:rowOff>
              </from>
              <to>
                <xdr:col>1</xdr:col>
                <xdr:colOff>600075</xdr:colOff>
                <xdr:row>43</xdr:row>
                <xdr:rowOff>85725</xdr:rowOff>
              </to>
            </anchor>
          </controlPr>
        </control>
      </mc:Choice>
      <mc:Fallback>
        <control shapeId="1222" r:id="rId52" name="CheckBox14"/>
      </mc:Fallback>
    </mc:AlternateContent>
    <mc:AlternateContent xmlns:mc="http://schemas.openxmlformats.org/markup-compatibility/2006">
      <mc:Choice Requires="x14">
        <control shapeId="1213" r:id="rId54" name="Label2">
          <controlPr autoLine="0" r:id="rId55">
            <anchor moveWithCells="1" sizeWithCells="1">
              <from>
                <xdr:col>7</xdr:col>
                <xdr:colOff>66675</xdr:colOff>
                <xdr:row>40</xdr:row>
                <xdr:rowOff>47625</xdr:rowOff>
              </from>
              <to>
                <xdr:col>7</xdr:col>
                <xdr:colOff>561975</xdr:colOff>
                <xdr:row>41</xdr:row>
                <xdr:rowOff>57150</xdr:rowOff>
              </to>
            </anchor>
          </controlPr>
        </control>
      </mc:Choice>
      <mc:Fallback>
        <control shapeId="1213" r:id="rId54" name="Label2"/>
      </mc:Fallback>
    </mc:AlternateContent>
    <mc:AlternateContent xmlns:mc="http://schemas.openxmlformats.org/markup-compatibility/2006">
      <mc:Choice Requires="x14">
        <control shapeId="1208" r:id="rId56" name="CheckBox6">
          <controlPr defaultSize="0" autoLine="0" linkedCell="U59" r:id="rId57">
            <anchor moveWithCells="1" sizeWithCells="1">
              <from>
                <xdr:col>7</xdr:col>
                <xdr:colOff>57150</xdr:colOff>
                <xdr:row>41</xdr:row>
                <xdr:rowOff>0</xdr:rowOff>
              </from>
              <to>
                <xdr:col>7</xdr:col>
                <xdr:colOff>952500</xdr:colOff>
                <xdr:row>42</xdr:row>
                <xdr:rowOff>66675</xdr:rowOff>
              </to>
            </anchor>
          </controlPr>
        </control>
      </mc:Choice>
      <mc:Fallback>
        <control shapeId="1208" r:id="rId56" name="CheckBox6"/>
      </mc:Fallback>
    </mc:AlternateContent>
    <mc:AlternateContent xmlns:mc="http://schemas.openxmlformats.org/markup-compatibility/2006">
      <mc:Choice Requires="x14">
        <control shapeId="1209" r:id="rId58" name="CheckBox7">
          <controlPr defaultSize="0" autoLine="0" linkedCell="U61" r:id="rId59">
            <anchor moveWithCells="1" sizeWithCells="1">
              <from>
                <xdr:col>7</xdr:col>
                <xdr:colOff>57150</xdr:colOff>
                <xdr:row>43</xdr:row>
                <xdr:rowOff>47625</xdr:rowOff>
              </from>
              <to>
                <xdr:col>7</xdr:col>
                <xdr:colOff>552450</xdr:colOff>
                <xdr:row>44</xdr:row>
                <xdr:rowOff>123825</xdr:rowOff>
              </to>
            </anchor>
          </controlPr>
        </control>
      </mc:Choice>
      <mc:Fallback>
        <control shapeId="1209" r:id="rId58" name="CheckBox7"/>
      </mc:Fallback>
    </mc:AlternateContent>
    <mc:AlternateContent xmlns:mc="http://schemas.openxmlformats.org/markup-compatibility/2006">
      <mc:Choice Requires="x14">
        <control shapeId="1210" r:id="rId60" name="CheckBox8">
          <controlPr defaultSize="0" autoLine="0" linkedCell="U62" r:id="rId61">
            <anchor moveWithCells="1" sizeWithCells="1">
              <from>
                <xdr:col>7</xdr:col>
                <xdr:colOff>57150</xdr:colOff>
                <xdr:row>44</xdr:row>
                <xdr:rowOff>85725</xdr:rowOff>
              </from>
              <to>
                <xdr:col>7</xdr:col>
                <xdr:colOff>552450</xdr:colOff>
                <xdr:row>45</xdr:row>
                <xdr:rowOff>161925</xdr:rowOff>
              </to>
            </anchor>
          </controlPr>
        </control>
      </mc:Choice>
      <mc:Fallback>
        <control shapeId="1210" r:id="rId60" name="CheckBox8"/>
      </mc:Fallback>
    </mc:AlternateContent>
    <mc:AlternateContent xmlns:mc="http://schemas.openxmlformats.org/markup-compatibility/2006">
      <mc:Choice Requires="x14">
        <control shapeId="1211" r:id="rId62" name="CheckBox9">
          <controlPr defaultSize="0" autoLine="0" linkedCell="U63" r:id="rId63">
            <anchor moveWithCells="1" sizeWithCells="1">
              <from>
                <xdr:col>7</xdr:col>
                <xdr:colOff>57150</xdr:colOff>
                <xdr:row>45</xdr:row>
                <xdr:rowOff>104775</xdr:rowOff>
              </from>
              <to>
                <xdr:col>7</xdr:col>
                <xdr:colOff>552450</xdr:colOff>
                <xdr:row>47</xdr:row>
                <xdr:rowOff>0</xdr:rowOff>
              </to>
            </anchor>
          </controlPr>
        </control>
      </mc:Choice>
      <mc:Fallback>
        <control shapeId="1211" r:id="rId62" name="CheckBox9"/>
      </mc:Fallback>
    </mc:AlternateContent>
    <mc:AlternateContent xmlns:mc="http://schemas.openxmlformats.org/markup-compatibility/2006">
      <mc:Choice Requires="x14">
        <control shapeId="1223" r:id="rId64" name="CheckBox15">
          <controlPr defaultSize="0" autoLine="0" linkedCell="U60" r:id="rId65">
            <anchor moveWithCells="1" sizeWithCells="1">
              <from>
                <xdr:col>7</xdr:col>
                <xdr:colOff>57150</xdr:colOff>
                <xdr:row>42</xdr:row>
                <xdr:rowOff>28575</xdr:rowOff>
              </from>
              <to>
                <xdr:col>8</xdr:col>
                <xdr:colOff>133350</xdr:colOff>
                <xdr:row>43</xdr:row>
                <xdr:rowOff>104775</xdr:rowOff>
              </to>
            </anchor>
          </controlPr>
        </control>
      </mc:Choice>
      <mc:Fallback>
        <control shapeId="1223" r:id="rId64" name="CheckBox15"/>
      </mc:Fallback>
    </mc:AlternateContent>
    <mc:AlternateContent xmlns:mc="http://schemas.openxmlformats.org/markup-compatibility/2006">
      <mc:Choice Requires="x14">
        <control shapeId="1269" r:id="rId66" name="CheckBox2">
          <controlPr locked="0" autoLine="0" linkedCell="Q11" r:id="rId67">
            <anchor moveWithCells="1">
              <from>
                <xdr:col>7</xdr:col>
                <xdr:colOff>85725</xdr:colOff>
                <xdr:row>1</xdr:row>
                <xdr:rowOff>238125</xdr:rowOff>
              </from>
              <to>
                <xdr:col>9</xdr:col>
                <xdr:colOff>104775</xdr:colOff>
                <xdr:row>3</xdr:row>
                <xdr:rowOff>19050</xdr:rowOff>
              </to>
            </anchor>
          </controlPr>
        </control>
      </mc:Choice>
      <mc:Fallback>
        <control shapeId="1269" r:id="rId66" name="CheckBox2"/>
      </mc:Fallback>
    </mc:AlternateContent>
    <mc:AlternateContent xmlns:mc="http://schemas.openxmlformats.org/markup-compatibility/2006">
      <mc:Choice Requires="x14">
        <control shapeId="1074" r:id="rId68" name="TextBox5">
          <controlPr defaultSize="0" print="0" autoLine="0" r:id="rId69">
            <anchor moveWithCells="1" sizeWithCells="1">
              <from>
                <xdr:col>3</xdr:col>
                <xdr:colOff>66675</xdr:colOff>
                <xdr:row>0</xdr:row>
                <xdr:rowOff>38100</xdr:rowOff>
              </from>
              <to>
                <xdr:col>5</xdr:col>
                <xdr:colOff>95250</xdr:colOff>
                <xdr:row>2</xdr:row>
                <xdr:rowOff>228600</xdr:rowOff>
              </to>
            </anchor>
          </controlPr>
        </control>
      </mc:Choice>
      <mc:Fallback>
        <control shapeId="1074" r:id="rId68" name="TextBox5"/>
      </mc:Fallback>
    </mc:AlternateContent>
    <mc:AlternateContent xmlns:mc="http://schemas.openxmlformats.org/markup-compatibility/2006">
      <mc:Choice Requires="x14">
        <control shapeId="1359" r:id="rId70" name="OptionButton3">
          <controlPr locked="0" defaultSize="0" autoLine="0" linkedCell="Q3" r:id="rId71">
            <anchor moveWithCells="1" sizeWithCells="1">
              <from>
                <xdr:col>3</xdr:col>
                <xdr:colOff>161925</xdr:colOff>
                <xdr:row>0</xdr:row>
                <xdr:rowOff>123825</xdr:rowOff>
              </from>
              <to>
                <xdr:col>3</xdr:col>
                <xdr:colOff>838200</xdr:colOff>
                <xdr:row>1</xdr:row>
                <xdr:rowOff>85725</xdr:rowOff>
              </to>
            </anchor>
          </controlPr>
        </control>
      </mc:Choice>
      <mc:Fallback>
        <control shapeId="1359" r:id="rId70" name="OptionButton3"/>
      </mc:Fallback>
    </mc:AlternateContent>
    <mc:AlternateContent xmlns:mc="http://schemas.openxmlformats.org/markup-compatibility/2006">
      <mc:Choice Requires="x14">
        <control shapeId="1360" r:id="rId72" name="OptionButton4">
          <controlPr locked="0" defaultSize="0" autoLine="0" linkedCell="Q4" r:id="rId73">
            <anchor moveWithCells="1" sizeWithCells="1">
              <from>
                <xdr:col>3</xdr:col>
                <xdr:colOff>838200</xdr:colOff>
                <xdr:row>0</xdr:row>
                <xdr:rowOff>123825</xdr:rowOff>
              </from>
              <to>
                <xdr:col>5</xdr:col>
                <xdr:colOff>0</xdr:colOff>
                <xdr:row>1</xdr:row>
                <xdr:rowOff>85725</xdr:rowOff>
              </to>
            </anchor>
          </controlPr>
        </control>
      </mc:Choice>
      <mc:Fallback>
        <control shapeId="1360" r:id="rId72" name="OptionButton4"/>
      </mc:Fallback>
    </mc:AlternateContent>
    <mc:AlternateContent xmlns:mc="http://schemas.openxmlformats.org/markup-compatibility/2006">
      <mc:Choice Requires="x14">
        <control shapeId="1361" r:id="rId74" name="OptionButton5">
          <controlPr locked="0" defaultSize="0" autoLine="0" linkedCell="Q5" r:id="rId75">
            <anchor moveWithCells="1" sizeWithCells="1">
              <from>
                <xdr:col>3</xdr:col>
                <xdr:colOff>161925</xdr:colOff>
                <xdr:row>1</xdr:row>
                <xdr:rowOff>200025</xdr:rowOff>
              </from>
              <to>
                <xdr:col>3</xdr:col>
                <xdr:colOff>838200</xdr:colOff>
                <xdr:row>2</xdr:row>
                <xdr:rowOff>161925</xdr:rowOff>
              </to>
            </anchor>
          </controlPr>
        </control>
      </mc:Choice>
      <mc:Fallback>
        <control shapeId="1361" r:id="rId74" name="OptionButton5"/>
      </mc:Fallback>
    </mc:AlternateContent>
    <mc:AlternateContent xmlns:mc="http://schemas.openxmlformats.org/markup-compatibility/2006">
      <mc:Choice Requires="x14">
        <control shapeId="1062" r:id="rId76" name="TextBox1">
          <controlPr defaultSize="0" autoLine="0" linkedCell="Q1" r:id="rId77">
            <anchor moveWithCells="1" sizeWithCells="1">
              <from>
                <xdr:col>3</xdr:col>
                <xdr:colOff>914400</xdr:colOff>
                <xdr:row>1</xdr:row>
                <xdr:rowOff>228600</xdr:rowOff>
              </from>
              <to>
                <xdr:col>4</xdr:col>
                <xdr:colOff>238125</xdr:colOff>
                <xdr:row>2</xdr:row>
                <xdr:rowOff>228600</xdr:rowOff>
              </to>
            </anchor>
          </controlPr>
        </control>
      </mc:Choice>
      <mc:Fallback>
        <control shapeId="1062" r:id="rId76" name="TextBox1"/>
      </mc:Fallback>
    </mc:AlternateContent>
    <mc:AlternateContent xmlns:mc="http://schemas.openxmlformats.org/markup-compatibility/2006">
      <mc:Choice Requires="x14">
        <control shapeId="1064" r:id="rId78" name="SpinButton1">
          <controlPr defaultSize="0" print="0" autoLine="0" linkedCell="Q7" r:id="rId79">
            <anchor moveWithCells="1" sizeWithCells="1">
              <from>
                <xdr:col>4</xdr:col>
                <xdr:colOff>257175</xdr:colOff>
                <xdr:row>1</xdr:row>
                <xdr:rowOff>190500</xdr:rowOff>
              </from>
              <to>
                <xdr:col>4</xdr:col>
                <xdr:colOff>409575</xdr:colOff>
                <xdr:row>2</xdr:row>
                <xdr:rowOff>152400</xdr:rowOff>
              </to>
            </anchor>
          </controlPr>
        </control>
      </mc:Choice>
      <mc:Fallback>
        <control shapeId="1064" r:id="rId78" name="SpinButton1"/>
      </mc:Fallback>
    </mc:AlternateContent>
    <mc:AlternateContent xmlns:mc="http://schemas.openxmlformats.org/markup-compatibility/2006">
      <mc:Choice Requires="x14">
        <control shapeId="1391" r:id="rId80" name="TextBox7">
          <controlPr locked="0" defaultSize="0" autoLine="0" linkedCell="Y2" r:id="rId81">
            <anchor moveWithCells="1">
              <from>
                <xdr:col>7</xdr:col>
                <xdr:colOff>657225</xdr:colOff>
                <xdr:row>0</xdr:row>
                <xdr:rowOff>190500</xdr:rowOff>
              </from>
              <to>
                <xdr:col>8</xdr:col>
                <xdr:colOff>200025</xdr:colOff>
                <xdr:row>1</xdr:row>
                <xdr:rowOff>114300</xdr:rowOff>
              </to>
            </anchor>
          </controlPr>
        </control>
      </mc:Choice>
      <mc:Fallback>
        <control shapeId="1391" r:id="rId80" name="TextBox7"/>
      </mc:Fallback>
    </mc:AlternateContent>
    <mc:AlternateContent xmlns:mc="http://schemas.openxmlformats.org/markup-compatibility/2006">
      <mc:Choice Requires="x14">
        <control shapeId="1393" r:id="rId82" name="Label4">
          <controlPr defaultSize="0" autoLine="0" r:id="rId83">
            <anchor moveWithCells="1">
              <from>
                <xdr:col>7</xdr:col>
                <xdr:colOff>285750</xdr:colOff>
                <xdr:row>0</xdr:row>
                <xdr:rowOff>190500</xdr:rowOff>
              </from>
              <to>
                <xdr:col>7</xdr:col>
                <xdr:colOff>733425</xdr:colOff>
                <xdr:row>1</xdr:row>
                <xdr:rowOff>219075</xdr:rowOff>
              </to>
            </anchor>
          </controlPr>
        </control>
      </mc:Choice>
      <mc:Fallback>
        <control shapeId="1393" r:id="rId82" name="Label4"/>
      </mc:Fallback>
    </mc:AlternateContent>
    <mc:AlternateContent xmlns:mc="http://schemas.openxmlformats.org/markup-compatibility/2006">
      <mc:Choice Requires="x14">
        <control shapeId="1394" r:id="rId84" name="TextBox9">
          <controlPr locked="0" defaultSize="0" autoLine="0" linkedCell="Z2" r:id="rId85">
            <anchor moveWithCells="1">
              <from>
                <xdr:col>7</xdr:col>
                <xdr:colOff>657225</xdr:colOff>
                <xdr:row>1</xdr:row>
                <xdr:rowOff>57150</xdr:rowOff>
              </from>
              <to>
                <xdr:col>8</xdr:col>
                <xdr:colOff>200025</xdr:colOff>
                <xdr:row>1</xdr:row>
                <xdr:rowOff>209550</xdr:rowOff>
              </to>
            </anchor>
          </controlPr>
        </control>
      </mc:Choice>
      <mc:Fallback>
        <control shapeId="1394" r:id="rId84" name="TextBox9"/>
      </mc:Fallback>
    </mc:AlternateContent>
    <mc:AlternateContent xmlns:mc="http://schemas.openxmlformats.org/markup-compatibility/2006">
      <mc:Choice Requires="x14">
        <control shapeId="1396" r:id="rId86" name="OptionButton6">
          <controlPr locked="0" autoLine="0" linkedCell="V85" r:id="rId87">
            <anchor moveWithCells="1" sizeWithCells="1">
              <from>
                <xdr:col>8</xdr:col>
                <xdr:colOff>457200</xdr:colOff>
                <xdr:row>68</xdr:row>
                <xdr:rowOff>123825</xdr:rowOff>
              </from>
              <to>
                <xdr:col>9</xdr:col>
                <xdr:colOff>561975</xdr:colOff>
                <xdr:row>69</xdr:row>
                <xdr:rowOff>123825</xdr:rowOff>
              </to>
            </anchor>
          </controlPr>
        </control>
      </mc:Choice>
      <mc:Fallback>
        <control shapeId="1396" r:id="rId86" name="OptionButton6"/>
      </mc:Fallback>
    </mc:AlternateContent>
    <mc:AlternateContent xmlns:mc="http://schemas.openxmlformats.org/markup-compatibility/2006">
      <mc:Choice Requires="x14">
        <control shapeId="1397" r:id="rId88" name="OptionButton7">
          <controlPr locked="0" autoLine="0" linkedCell="X85" r:id="rId89">
            <anchor moveWithCells="1" sizeWithCells="1">
              <from>
                <xdr:col>9</xdr:col>
                <xdr:colOff>590550</xdr:colOff>
                <xdr:row>68</xdr:row>
                <xdr:rowOff>123825</xdr:rowOff>
              </from>
              <to>
                <xdr:col>10</xdr:col>
                <xdr:colOff>152400</xdr:colOff>
                <xdr:row>69</xdr:row>
                <xdr:rowOff>123825</xdr:rowOff>
              </to>
            </anchor>
          </controlPr>
        </control>
      </mc:Choice>
      <mc:Fallback>
        <control shapeId="1397" r:id="rId88" name="OptionButton7"/>
      </mc:Fallback>
    </mc:AlternateContent>
    <mc:AlternateContent xmlns:mc="http://schemas.openxmlformats.org/markup-compatibility/2006">
      <mc:Choice Requires="x14">
        <control shapeId="1398" r:id="rId90" name="OptionButton8">
          <controlPr locked="0" autoLine="0" linkedCell="Z85" r:id="rId91">
            <anchor moveWithCells="1" sizeWithCells="1">
              <from>
                <xdr:col>10</xdr:col>
                <xdr:colOff>190500</xdr:colOff>
                <xdr:row>68</xdr:row>
                <xdr:rowOff>123825</xdr:rowOff>
              </from>
              <to>
                <xdr:col>11</xdr:col>
                <xdr:colOff>295275</xdr:colOff>
                <xdr:row>69</xdr:row>
                <xdr:rowOff>123825</xdr:rowOff>
              </to>
            </anchor>
          </controlPr>
        </control>
      </mc:Choice>
      <mc:Fallback>
        <control shapeId="1398" r:id="rId90" name="OptionButton8"/>
      </mc:Fallback>
    </mc:AlternateContent>
    <mc:AlternateContent xmlns:mc="http://schemas.openxmlformats.org/markup-compatibility/2006">
      <mc:Choice Requires="x14">
        <control shapeId="1399" r:id="rId92" name="CheckBox3">
          <controlPr locked="0" defaultSize="0" autoLine="0" linkedCell="V87" r:id="rId93">
            <anchor moveWithCells="1" sizeWithCells="1">
              <from>
                <xdr:col>8</xdr:col>
                <xdr:colOff>466725</xdr:colOff>
                <xdr:row>67</xdr:row>
                <xdr:rowOff>85725</xdr:rowOff>
              </from>
              <to>
                <xdr:col>10</xdr:col>
                <xdr:colOff>209550</xdr:colOff>
                <xdr:row>68</xdr:row>
                <xdr:rowOff>133350</xdr:rowOff>
              </to>
            </anchor>
          </controlPr>
        </control>
      </mc:Choice>
      <mc:Fallback>
        <control shapeId="1399" r:id="rId92" name="CheckBox3"/>
      </mc:Fallback>
    </mc:AlternateContent>
    <mc:AlternateContent xmlns:mc="http://schemas.openxmlformats.org/markup-compatibility/2006">
      <mc:Choice Requires="x14">
        <control shapeId="1402" r:id="rId94" name="OptionButton9">
          <controlPr locked="0" autoLine="0" linkedCell="V78" r:id="rId95">
            <anchor moveWithCells="1" sizeWithCells="1">
              <from>
                <xdr:col>3</xdr:col>
                <xdr:colOff>38100</xdr:colOff>
                <xdr:row>68</xdr:row>
                <xdr:rowOff>161925</xdr:rowOff>
              </from>
              <to>
                <xdr:col>3</xdr:col>
                <xdr:colOff>533400</xdr:colOff>
                <xdr:row>69</xdr:row>
                <xdr:rowOff>161925</xdr:rowOff>
              </to>
            </anchor>
          </controlPr>
        </control>
      </mc:Choice>
      <mc:Fallback>
        <control shapeId="1402" r:id="rId94" name="OptionButton9"/>
      </mc:Fallback>
    </mc:AlternateContent>
    <mc:AlternateContent xmlns:mc="http://schemas.openxmlformats.org/markup-compatibility/2006">
      <mc:Choice Requires="x14">
        <control shapeId="1403" r:id="rId96" name="OptionButton10">
          <controlPr locked="0" autoLine="0" linkedCell="X78" r:id="rId97">
            <anchor moveWithCells="1" sizeWithCells="1">
              <from>
                <xdr:col>3</xdr:col>
                <xdr:colOff>561975</xdr:colOff>
                <xdr:row>68</xdr:row>
                <xdr:rowOff>161925</xdr:rowOff>
              </from>
              <to>
                <xdr:col>4</xdr:col>
                <xdr:colOff>28575</xdr:colOff>
                <xdr:row>69</xdr:row>
                <xdr:rowOff>161925</xdr:rowOff>
              </to>
            </anchor>
          </controlPr>
        </control>
      </mc:Choice>
      <mc:Fallback>
        <control shapeId="1403" r:id="rId96" name="OptionButton10"/>
      </mc:Fallback>
    </mc:AlternateContent>
    <mc:AlternateContent xmlns:mc="http://schemas.openxmlformats.org/markup-compatibility/2006">
      <mc:Choice Requires="x14">
        <control shapeId="1404" r:id="rId98" name="OptionButton11">
          <controlPr locked="0" autoLine="0" linkedCell="Z78" r:id="rId99">
            <anchor moveWithCells="1" sizeWithCells="1">
              <from>
                <xdr:col>4</xdr:col>
                <xdr:colOff>57150</xdr:colOff>
                <xdr:row>68</xdr:row>
                <xdr:rowOff>161925</xdr:rowOff>
              </from>
              <to>
                <xdr:col>5</xdr:col>
                <xdr:colOff>66675</xdr:colOff>
                <xdr:row>69</xdr:row>
                <xdr:rowOff>161925</xdr:rowOff>
              </to>
            </anchor>
          </controlPr>
        </control>
      </mc:Choice>
      <mc:Fallback>
        <control shapeId="1404" r:id="rId98" name="OptionButton11"/>
      </mc:Fallback>
    </mc:AlternateContent>
    <mc:AlternateContent xmlns:mc="http://schemas.openxmlformats.org/markup-compatibility/2006">
      <mc:Choice Requires="x14">
        <control shapeId="1405" r:id="rId100" name="CheckBox5">
          <controlPr locked="0" defaultSize="0" autoLine="0" linkedCell="V80" r:id="rId101">
            <anchor moveWithCells="1" sizeWithCells="1">
              <from>
                <xdr:col>3</xdr:col>
                <xdr:colOff>66675</xdr:colOff>
                <xdr:row>67</xdr:row>
                <xdr:rowOff>114300</xdr:rowOff>
              </from>
              <to>
                <xdr:col>4</xdr:col>
                <xdr:colOff>381000</xdr:colOff>
                <xdr:row>68</xdr:row>
                <xdr:rowOff>161925</xdr:rowOff>
              </to>
            </anchor>
          </controlPr>
        </control>
      </mc:Choice>
      <mc:Fallback>
        <control shapeId="1405" r:id="rId100" name="CheckBox5"/>
      </mc:Fallback>
    </mc:AlternateContent>
    <mc:AlternateContent xmlns:mc="http://schemas.openxmlformats.org/markup-compatibility/2006">
      <mc:Choice Requires="x14">
        <control shapeId="1406" r:id="rId102" name="SpinButton10">
          <controlPr locked="0" defaultSize="0" autoLine="0" linkedCell="R71" r:id="rId103">
            <anchor moveWithCells="1">
              <from>
                <xdr:col>11</xdr:col>
                <xdr:colOff>828675</xdr:colOff>
                <xdr:row>73</xdr:row>
                <xdr:rowOff>133350</xdr:rowOff>
              </from>
              <to>
                <xdr:col>12</xdr:col>
                <xdr:colOff>9525</xdr:colOff>
                <xdr:row>75</xdr:row>
                <xdr:rowOff>38100</xdr:rowOff>
              </to>
            </anchor>
          </controlPr>
        </control>
      </mc:Choice>
      <mc:Fallback>
        <control shapeId="1406" r:id="rId102" name="SpinButton10"/>
      </mc:Fallback>
    </mc:AlternateContent>
    <mc:AlternateContent xmlns:mc="http://schemas.openxmlformats.org/markup-compatibility/2006">
      <mc:Choice Requires="x14">
        <control shapeId="1407" r:id="rId104" name="SpinButton11">
          <controlPr locked="0" defaultSize="0" autoLine="0" linkedCell="M76" r:id="rId105">
            <anchor moveWithCells="1">
              <from>
                <xdr:col>11</xdr:col>
                <xdr:colOff>581025</xdr:colOff>
                <xdr:row>74</xdr:row>
                <xdr:rowOff>133350</xdr:rowOff>
              </from>
              <to>
                <xdr:col>11</xdr:col>
                <xdr:colOff>800100</xdr:colOff>
                <xdr:row>76</xdr:row>
                <xdr:rowOff>38100</xdr:rowOff>
              </to>
            </anchor>
          </controlPr>
        </control>
      </mc:Choice>
      <mc:Fallback>
        <control shapeId="1407" r:id="rId104" name="SpinButton11"/>
      </mc:Fallback>
    </mc:AlternateContent>
    <mc:AlternateContent xmlns:mc="http://schemas.openxmlformats.org/markup-compatibility/2006">
      <mc:Choice Requires="x14">
        <control shapeId="1408" r:id="rId106" name="SpinButton12">
          <controlPr locked="0" defaultSize="0" autoLine="0" linkedCell="AB49" r:id="rId107">
            <anchor moveWithCells="1">
              <from>
                <xdr:col>11</xdr:col>
                <xdr:colOff>790575</xdr:colOff>
                <xdr:row>76</xdr:row>
                <xdr:rowOff>0</xdr:rowOff>
              </from>
              <to>
                <xdr:col>12</xdr:col>
                <xdr:colOff>0</xdr:colOff>
                <xdr:row>78</xdr:row>
                <xdr:rowOff>0</xdr:rowOff>
              </to>
            </anchor>
          </controlPr>
        </control>
      </mc:Choice>
      <mc:Fallback>
        <control shapeId="1408" r:id="rId106" name="SpinButton12"/>
      </mc:Fallback>
    </mc:AlternateContent>
    <mc:AlternateContent xmlns:mc="http://schemas.openxmlformats.org/markup-compatibility/2006">
      <mc:Choice Requires="x14">
        <control shapeId="1409" r:id="rId108" name="SpinButton13">
          <controlPr locked="0" defaultSize="0" autoLine="0" linkedCell="X71" r:id="rId107">
            <anchor moveWithCells="1">
              <from>
                <xdr:col>1</xdr:col>
                <xdr:colOff>790575</xdr:colOff>
                <xdr:row>76</xdr:row>
                <xdr:rowOff>0</xdr:rowOff>
              </from>
              <to>
                <xdr:col>2</xdr:col>
                <xdr:colOff>0</xdr:colOff>
                <xdr:row>78</xdr:row>
                <xdr:rowOff>0</xdr:rowOff>
              </to>
            </anchor>
          </controlPr>
        </control>
      </mc:Choice>
      <mc:Fallback>
        <control shapeId="1409" r:id="rId108" name="SpinButton13"/>
      </mc:Fallback>
    </mc:AlternateContent>
    <mc:AlternateContent xmlns:mc="http://schemas.openxmlformats.org/markup-compatibility/2006">
      <mc:Choice Requires="x14">
        <control shapeId="1410" r:id="rId109" name="SpinButton14">
          <controlPr locked="0" defaultSize="0" autoLine="0" linkedCell="R70" r:id="rId103">
            <anchor moveWithCells="1">
              <from>
                <xdr:col>1</xdr:col>
                <xdr:colOff>819150</xdr:colOff>
                <xdr:row>73</xdr:row>
                <xdr:rowOff>133350</xdr:rowOff>
              </from>
              <to>
                <xdr:col>2</xdr:col>
                <xdr:colOff>0</xdr:colOff>
                <xdr:row>75</xdr:row>
                <xdr:rowOff>38100</xdr:rowOff>
              </to>
            </anchor>
          </controlPr>
        </control>
      </mc:Choice>
      <mc:Fallback>
        <control shapeId="1410" r:id="rId109" name="SpinButton14"/>
      </mc:Fallback>
    </mc:AlternateContent>
    <mc:AlternateContent xmlns:mc="http://schemas.openxmlformats.org/markup-compatibility/2006">
      <mc:Choice Requires="x14">
        <control shapeId="1411" r:id="rId110" name="SpinButton15">
          <controlPr locked="0" defaultSize="0" autoLine="0" linkedCell="C76" r:id="rId105">
            <anchor moveWithCells="1">
              <from>
                <xdr:col>1</xdr:col>
                <xdr:colOff>600075</xdr:colOff>
                <xdr:row>74</xdr:row>
                <xdr:rowOff>133350</xdr:rowOff>
              </from>
              <to>
                <xdr:col>1</xdr:col>
                <xdr:colOff>819150</xdr:colOff>
                <xdr:row>76</xdr:row>
                <xdr:rowOff>38100</xdr:rowOff>
              </to>
            </anchor>
          </controlPr>
        </control>
      </mc:Choice>
      <mc:Fallback>
        <control shapeId="1411" r:id="rId110" name="SpinButton15"/>
      </mc:Fallback>
    </mc:AlternateContent>
    <mc:AlternateContent xmlns:mc="http://schemas.openxmlformats.org/markup-compatibility/2006">
      <mc:Choice Requires="x14">
        <control shapeId="1414" r:id="rId111" name="CommandButton1">
          <controlPr locked="0" defaultSize="0" autoLine="0" r:id="rId112">
            <anchor moveWithCells="1">
              <from>
                <xdr:col>11</xdr:col>
                <xdr:colOff>9525</xdr:colOff>
                <xdr:row>79</xdr:row>
                <xdr:rowOff>9525</xdr:rowOff>
              </from>
              <to>
                <xdr:col>13</xdr:col>
                <xdr:colOff>19050</xdr:colOff>
                <xdr:row>81</xdr:row>
                <xdr:rowOff>0</xdr:rowOff>
              </to>
            </anchor>
          </controlPr>
        </control>
      </mc:Choice>
      <mc:Fallback>
        <control shapeId="1414" r:id="rId111" name="CommandButton1"/>
      </mc:Fallback>
    </mc:AlternateContent>
    <mc:AlternateContent xmlns:mc="http://schemas.openxmlformats.org/markup-compatibility/2006">
      <mc:Choice Requires="x14">
        <control shapeId="1415" r:id="rId113" name="CommandButton2">
          <controlPr locked="0" defaultSize="0" autoLine="0" r:id="rId114">
            <anchor moveWithCells="1">
              <from>
                <xdr:col>1</xdr:col>
                <xdr:colOff>0</xdr:colOff>
                <xdr:row>78</xdr:row>
                <xdr:rowOff>9525</xdr:rowOff>
              </from>
              <to>
                <xdr:col>1</xdr:col>
                <xdr:colOff>762000</xdr:colOff>
                <xdr:row>79</xdr:row>
                <xdr:rowOff>161925</xdr:rowOff>
              </to>
            </anchor>
          </controlPr>
        </control>
      </mc:Choice>
      <mc:Fallback>
        <control shapeId="1415" r:id="rId113" name="CommandButton2"/>
      </mc:Fallback>
    </mc:AlternateContent>
    <mc:AlternateContent xmlns:mc="http://schemas.openxmlformats.org/markup-compatibility/2006">
      <mc:Choice Requires="x14">
        <control shapeId="1416" r:id="rId115" name="CommandButton4">
          <controlPr locked="0" defaultSize="0" autoLine="0" r:id="rId116">
            <anchor moveWithCells="1">
              <from>
                <xdr:col>1</xdr:col>
                <xdr:colOff>752475</xdr:colOff>
                <xdr:row>78</xdr:row>
                <xdr:rowOff>9525</xdr:rowOff>
              </from>
              <to>
                <xdr:col>3</xdr:col>
                <xdr:colOff>9525</xdr:colOff>
                <xdr:row>79</xdr:row>
                <xdr:rowOff>161925</xdr:rowOff>
              </to>
            </anchor>
          </controlPr>
        </control>
      </mc:Choice>
      <mc:Fallback>
        <control shapeId="1416" r:id="rId115" name="CommandButton4"/>
      </mc:Fallback>
    </mc:AlternateContent>
    <mc:AlternateContent xmlns:mc="http://schemas.openxmlformats.org/markup-compatibility/2006">
      <mc:Choice Requires="x14">
        <control shapeId="1417" r:id="rId117" name="CommandButton6">
          <controlPr locked="0" defaultSize="0" autoLine="0" r:id="rId118">
            <anchor moveWithCells="1">
              <from>
                <xdr:col>1</xdr:col>
                <xdr:colOff>0</xdr:colOff>
                <xdr:row>79</xdr:row>
                <xdr:rowOff>152400</xdr:rowOff>
              </from>
              <to>
                <xdr:col>3</xdr:col>
                <xdr:colOff>0</xdr:colOff>
                <xdr:row>81</xdr:row>
                <xdr:rowOff>142875</xdr:rowOff>
              </to>
            </anchor>
          </controlPr>
        </control>
      </mc:Choice>
      <mc:Fallback>
        <control shapeId="1417" r:id="rId117" name="CommandButton6"/>
      </mc:Fallback>
    </mc:AlternateContent>
    <mc:AlternateContent xmlns:mc="http://schemas.openxmlformats.org/markup-compatibility/2006">
      <mc:Choice Requires="x14">
        <control shapeId="1423" r:id="rId119" name="CheckBox16">
          <controlPr locked="0" defaultSize="0" autoLine="0" linkedCell="T64" r:id="rId120">
            <anchor moveWithCells="1" sizeWithCells="1">
              <from>
                <xdr:col>0</xdr:col>
                <xdr:colOff>333375</xdr:colOff>
                <xdr:row>67</xdr:row>
                <xdr:rowOff>104775</xdr:rowOff>
              </from>
              <to>
                <xdr:col>1</xdr:col>
                <xdr:colOff>714375</xdr:colOff>
                <xdr:row>68</xdr:row>
                <xdr:rowOff>152400</xdr:rowOff>
              </to>
            </anchor>
          </controlPr>
        </control>
      </mc:Choice>
      <mc:Fallback>
        <control shapeId="1423" r:id="rId119" name="CheckBox16"/>
      </mc:Fallback>
    </mc:AlternateContent>
    <mc:AlternateContent xmlns:mc="http://schemas.openxmlformats.org/markup-compatibility/2006">
      <mc:Choice Requires="x14">
        <control shapeId="1424" r:id="rId121" name="CheckBox17">
          <controlPr locked="0" defaultSize="0" autoLine="0" linkedCell="U64" r:id="rId122">
            <anchor moveWithCells="1" sizeWithCells="1">
              <from>
                <xdr:col>7</xdr:col>
                <xdr:colOff>104775</xdr:colOff>
                <xdr:row>67</xdr:row>
                <xdr:rowOff>114300</xdr:rowOff>
              </from>
              <to>
                <xdr:col>8</xdr:col>
                <xdr:colOff>38100</xdr:colOff>
                <xdr:row>68</xdr:row>
                <xdr:rowOff>161925</xdr:rowOff>
              </to>
            </anchor>
          </controlPr>
        </control>
      </mc:Choice>
      <mc:Fallback>
        <control shapeId="1424" r:id="rId121" name="CheckBox17"/>
      </mc:Fallback>
    </mc:AlternateContent>
    <mc:AlternateContent xmlns:mc="http://schemas.openxmlformats.org/markup-compatibility/2006">
      <mc:Choice Requires="x14">
        <control shapeId="1028" r:id="rId123" name="Spinner 4">
          <controlPr locked="0" defaultSize="0" print="0" autoFill="0" autoLine="0" autoPict="0">
            <anchor moveWithCells="1">
              <from>
                <xdr:col>1</xdr:col>
                <xdr:colOff>647700</xdr:colOff>
                <xdr:row>15</xdr:row>
                <xdr:rowOff>0</xdr:rowOff>
              </from>
              <to>
                <xdr:col>1</xdr:col>
                <xdr:colOff>790575</xdr:colOff>
                <xdr:row>15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1035" r:id="rId124" name="Scroll Bar 11">
          <controlPr locked="0" defaultSize="0" print="0" autoFill="0" autoLine="0" autoPict="0">
            <anchor moveWithCells="1">
              <from>
                <xdr:col>2</xdr:col>
                <xdr:colOff>0</xdr:colOff>
                <xdr:row>8</xdr:row>
                <xdr:rowOff>9525</xdr:rowOff>
              </from>
              <to>
                <xdr:col>2</xdr:col>
                <xdr:colOff>295275</xdr:colOff>
                <xdr:row>8</xdr:row>
                <xdr:rowOff>161925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BV725"/>
  <sheetViews>
    <sheetView workbookViewId="0">
      <selection activeCell="AB11" sqref="AB11"/>
    </sheetView>
  </sheetViews>
  <sheetFormatPr defaultRowHeight="12.75"/>
  <cols>
    <col min="2" max="2" width="11.42578125" customWidth="1"/>
    <col min="3" max="4" width="6.7109375" customWidth="1"/>
    <col min="5" max="5" width="6.28515625" customWidth="1"/>
    <col min="6" max="7" width="6.7109375" customWidth="1"/>
    <col min="8" max="8" width="2.28515625" customWidth="1"/>
    <col min="9" max="10" width="6.7109375" customWidth="1"/>
    <col min="11" max="11" width="2.28515625" customWidth="1"/>
    <col min="12" max="13" width="6.7109375" customWidth="1"/>
    <col min="14" max="14" width="2.28515625" customWidth="1"/>
    <col min="15" max="16" width="6.7109375" customWidth="1"/>
    <col min="17" max="17" width="2.28515625" customWidth="1"/>
    <col min="18" max="19" width="6.7109375" customWidth="1"/>
    <col min="20" max="20" width="2.28515625" customWidth="1"/>
    <col min="21" max="21" width="6.7109375" customWidth="1"/>
    <col min="22" max="22" width="8" customWidth="1"/>
    <col min="23" max="23" width="2.28515625" customWidth="1"/>
    <col min="24" max="24" width="7.28515625" customWidth="1"/>
    <col min="25" max="25" width="6.7109375" customWidth="1"/>
    <col min="32" max="32" width="10.42578125" bestFit="1" customWidth="1"/>
    <col min="35" max="35" width="9.140625" hidden="1" customWidth="1"/>
    <col min="36" max="36" width="11.42578125" hidden="1" customWidth="1"/>
    <col min="37" max="44" width="9.28515625" hidden="1" customWidth="1"/>
    <col min="45" max="45" width="12.140625" hidden="1" customWidth="1"/>
    <col min="46" max="52" width="9.28515625" hidden="1" customWidth="1"/>
    <col min="53" max="53" width="9.5703125" hidden="1" customWidth="1"/>
    <col min="54" max="59" width="9.28515625" hidden="1" customWidth="1"/>
    <col min="60" max="60" width="9.140625" hidden="1" customWidth="1"/>
    <col min="61" max="62" width="9.28515625" hidden="1" customWidth="1"/>
    <col min="63" max="63" width="9.140625" hidden="1" customWidth="1"/>
    <col min="64" max="65" width="9.28515625" hidden="1" customWidth="1"/>
    <col min="66" max="68" width="9.140625" hidden="1" customWidth="1"/>
  </cols>
  <sheetData>
    <row r="1" spans="1:74" ht="24.95" customHeight="1">
      <c r="A1" s="63"/>
      <c r="B1" s="336" t="s">
        <v>0</v>
      </c>
      <c r="C1" s="337" t="str">
        <f>Station</f>
        <v>Turlough Hill</v>
      </c>
      <c r="D1" s="338"/>
      <c r="E1" s="338"/>
      <c r="F1" s="338"/>
      <c r="G1" s="336" t="s">
        <v>1</v>
      </c>
      <c r="H1" s="337" t="str">
        <f>Feeder</f>
        <v>Dunstown</v>
      </c>
      <c r="I1" s="17"/>
      <c r="J1" s="10"/>
      <c r="K1" s="21"/>
      <c r="L1" s="68"/>
      <c r="M1" s="68"/>
      <c r="N1" s="68"/>
      <c r="O1" s="107" t="str">
        <f>Settings!Q6</f>
        <v>7SA612</v>
      </c>
      <c r="AA1" s="152"/>
      <c r="AB1" s="66"/>
      <c r="AC1" s="278"/>
      <c r="AD1" s="68"/>
      <c r="AE1" s="65"/>
      <c r="AF1" s="66"/>
      <c r="AG1" s="66"/>
      <c r="AH1" s="67"/>
      <c r="AI1" s="64"/>
      <c r="AJ1" s="716" t="str">
        <f>IF(OR(MAX(D35:D45)&gt;D33,MAX(G35:G45)&gt;G33,MAX(J35:J45)&gt;J33,MAX(M35:M45)&gt;M33,MAX(P35:P45)&gt;P33,MAX(S35:S45)&gt;S33),"EF Cut off","OK")</f>
        <v>OK</v>
      </c>
      <c r="AK1" s="695"/>
      <c r="AL1" s="696" t="s">
        <v>813</v>
      </c>
      <c r="AM1" s="697">
        <v>0.03</v>
      </c>
      <c r="AN1" s="68"/>
      <c r="AO1" s="356"/>
      <c r="AP1" s="356" t="s">
        <v>78</v>
      </c>
      <c r="AQ1" s="356" t="s">
        <v>79</v>
      </c>
      <c r="AR1" s="356" t="s">
        <v>80</v>
      </c>
      <c r="AS1" s="356" t="s">
        <v>81</v>
      </c>
      <c r="AT1" s="361">
        <f>IF(DEGREES(ATAN(X_4/Settings!$G$13))&gt;(DEGREES(ATAN(X_4/(R_4+X_4/TAN(RADIANS(Slope)))))+_Dir4),DEGREES(ATAN(X_4/Settings!$G$13)),(DEGREES(ATAN(X_4/(R_4+X_4/TAN(RADIANS(Slope)))))+_Dir4))</f>
        <v>29.652125045045725</v>
      </c>
      <c r="AU1" s="356" t="s">
        <v>401</v>
      </c>
      <c r="AV1" s="356" t="s">
        <v>515</v>
      </c>
      <c r="AW1" s="356" t="s">
        <v>516</v>
      </c>
      <c r="AX1" s="356" t="s">
        <v>517</v>
      </c>
      <c r="AY1" s="356" t="s">
        <v>518</v>
      </c>
      <c r="AZ1" s="356" t="s">
        <v>519</v>
      </c>
      <c r="BA1" s="356" t="s">
        <v>520</v>
      </c>
      <c r="BB1" s="68"/>
      <c r="BC1" s="68">
        <v>1</v>
      </c>
      <c r="BD1" s="3" t="s">
        <v>101</v>
      </c>
      <c r="BE1" s="3" t="s">
        <v>100</v>
      </c>
      <c r="BF1" s="3" t="s">
        <v>278</v>
      </c>
      <c r="BG1" s="3" t="s">
        <v>107</v>
      </c>
      <c r="BH1" s="68"/>
      <c r="BI1" s="68"/>
      <c r="BJ1" s="68"/>
      <c r="BK1" s="68"/>
      <c r="BL1" s="68"/>
      <c r="BM1" s="68"/>
      <c r="BN1" s="68"/>
      <c r="BO1" s="68"/>
      <c r="BP1" s="68"/>
      <c r="BQ1" s="68"/>
    </row>
    <row r="2" spans="1:74" ht="15.75">
      <c r="A2" s="108" t="s">
        <v>23</v>
      </c>
      <c r="B2" s="24"/>
      <c r="C2" s="24"/>
      <c r="D2" s="25"/>
      <c r="E2" s="26"/>
      <c r="F2" s="24"/>
      <c r="G2" s="82" t="s">
        <v>63</v>
      </c>
      <c r="H2" s="83">
        <f>I_Nom</f>
        <v>1</v>
      </c>
      <c r="I2" s="24"/>
      <c r="J2" s="25"/>
      <c r="K2" s="25"/>
      <c r="L2" s="24"/>
      <c r="M2" s="25"/>
      <c r="N2" s="25"/>
      <c r="O2" s="24"/>
      <c r="P2" s="25"/>
      <c r="Q2" s="25"/>
      <c r="R2" s="24"/>
      <c r="S2" s="25"/>
      <c r="T2" s="25"/>
      <c r="U2" s="24"/>
      <c r="V2" s="25"/>
      <c r="W2" s="25"/>
      <c r="X2" s="25"/>
      <c r="Y2" s="25"/>
      <c r="Z2" s="25"/>
      <c r="AA2" s="42"/>
      <c r="AB2" s="10"/>
      <c r="AC2" s="10"/>
      <c r="AD2" s="23"/>
      <c r="AE2" s="38"/>
      <c r="AF2" s="40"/>
      <c r="AG2" s="40"/>
      <c r="AH2" s="22"/>
      <c r="AI2" s="10"/>
      <c r="AJ2" s="653" t="s">
        <v>835</v>
      </c>
      <c r="AK2" s="717" t="str">
        <f>IF(OR(B55="Not Testable",B57="Not Testable",B59="Not Testable",B61="Not Testable"),"Warning","OK")</f>
        <v>OK</v>
      </c>
      <c r="AL2" s="717" t="str">
        <f>IF(C47&lt;&gt;"","Warning","OK")</f>
        <v>OK</v>
      </c>
      <c r="AM2" s="999" t="s">
        <v>969</v>
      </c>
      <c r="AN2" s="1000" t="str">
        <f>Settings!Z38</f>
        <v>OK</v>
      </c>
      <c r="AO2" s="360" t="s">
        <v>467</v>
      </c>
      <c r="AP2" s="361">
        <f>DEGREES(ATAN(X_1/(R_1+X_1/TAN(RADIANS(Slope)))))+_Dir1</f>
        <v>27.002968812221464</v>
      </c>
      <c r="AQ2" s="361">
        <f>DEGREES(ATAN(X_1B/(R_1B+X_1B/TAN(RADIANS(Slope)))))+Dir1B</f>
        <v>29.502840761917749</v>
      </c>
      <c r="AR2" s="361">
        <f>DEGREES(ATAN(X_2/(R_2+X_2/TAN(RADIANS(Slope)))))+_Dir2</f>
        <v>30.911954820577883</v>
      </c>
      <c r="AS2" s="361">
        <f>DEGREES(ATAN(X_3/(R_3+X_3/TAN(RADIANS(Slope)))))+_Dir3</f>
        <v>200.26242541414129</v>
      </c>
      <c r="AT2" s="361">
        <f>DEGREES(ATAN(X_4/(R_4+X_4/TAN(RADIANS(Slope)))))+_Dir4</f>
        <v>29.652125045045725</v>
      </c>
      <c r="AU2" s="361">
        <f>DEGREES(ATAN(X_5/(R_5+X_5/TAN(RADIANS(Slope)))))+_Dir5</f>
        <v>235.31723012767432</v>
      </c>
      <c r="AV2" s="361">
        <f>DEGREES(ATAN((EX_1)/(ER_1+(EX_1)/TAN(RADIANS(Slope)))))+_Dir1</f>
        <v>10.449923144119369</v>
      </c>
      <c r="AW2" s="361">
        <f>DEGREES(ATAN((EX_1B)/(ER_1B+(EX_1B)/TAN(RADIANS(Slope)))))+Dir1B</f>
        <v>9.8789046492933696</v>
      </c>
      <c r="AX2" s="361">
        <f>DEGREES(ATAN((EX_2)/(ER_2+(EX_2)/TAN(RADIANS(Slope)))))+_Dir2</f>
        <v>10.071805024152244</v>
      </c>
      <c r="AY2" s="361">
        <f>DEGREES(ATAN((EX_3)/(ER_3+(EX_3)/TAN(RADIANS(Slope)))))+_Dir3</f>
        <v>190.54495902943046</v>
      </c>
      <c r="AZ2" s="361">
        <f>DEGREES(ATAN((EX_4)/(ER_4+(EX_4)/TAN(RADIANS(Slope)))))+_Dir4</f>
        <v>12.777619637797585</v>
      </c>
      <c r="BA2" s="361">
        <f>DEGREES(ATAN((EX_5)/(ER_5+(EX_5)/TAN(RADIANS(Slope)))))+_Dir5</f>
        <v>216.04169532027706</v>
      </c>
      <c r="BB2" s="10"/>
      <c r="BC2" s="68">
        <v>2</v>
      </c>
      <c r="BD2" s="114">
        <f>O13</f>
        <v>-14</v>
      </c>
      <c r="BE2" s="110">
        <f>C15</f>
        <v>0</v>
      </c>
      <c r="BF2" s="112">
        <f>F15</f>
        <v>0</v>
      </c>
      <c r="BG2" s="112">
        <f>BF2</f>
        <v>0</v>
      </c>
      <c r="BH2" s="10"/>
      <c r="BI2" s="10"/>
      <c r="BJ2" s="10"/>
      <c r="BK2" s="10"/>
      <c r="BL2" s="10"/>
      <c r="BM2" s="10"/>
      <c r="BN2" s="10"/>
      <c r="BO2" s="10"/>
      <c r="BP2" s="10"/>
      <c r="BQ2" s="10"/>
    </row>
    <row r="3" spans="1:74" ht="15.75">
      <c r="A3" s="3"/>
      <c r="B3" s="72"/>
      <c r="C3" s="72"/>
      <c r="D3" s="72"/>
      <c r="E3" s="72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42"/>
      <c r="AB3" s="40" t="s">
        <v>24</v>
      </c>
      <c r="AC3" s="41"/>
      <c r="AD3" s="23"/>
      <c r="AE3" s="38"/>
      <c r="AF3" s="40" t="s">
        <v>25</v>
      </c>
      <c r="AG3" s="40"/>
      <c r="AH3" s="22"/>
      <c r="AJ3" s="446" t="s">
        <v>75</v>
      </c>
      <c r="AK3" s="98" t="s">
        <v>83</v>
      </c>
      <c r="AL3" s="98" t="s">
        <v>82</v>
      </c>
      <c r="AM3" s="98" t="s">
        <v>84</v>
      </c>
      <c r="AN3" s="725" t="b">
        <v>1</v>
      </c>
      <c r="AO3" s="360" t="s">
        <v>494</v>
      </c>
      <c r="AP3" s="400">
        <f>SQRT((R_1+X_1/TAN(RADIANS(Slope)))^2+X_1^2)*2</f>
        <v>35.459691178842242</v>
      </c>
      <c r="AQ3" s="400">
        <f>SQRT((R_1B+X_1B/TAN(RADIANS(Slope)))^2+X_1B^2)*2</f>
        <v>61.567613084960264</v>
      </c>
      <c r="AR3" s="400">
        <f>SQRT((R_2+X_2/TAN(RADIANS(Slope)))^2+X_2^2)*2</f>
        <v>47.34093842627513</v>
      </c>
      <c r="AS3" s="400">
        <f>SQRT((R_3+X_3/TAN(RADIANS(Slope)))^2+X_3^2)*2</f>
        <v>5.3707474736455074</v>
      </c>
      <c r="AT3" s="400">
        <f>SQRT((R_4+X_4/TAN(RADIANS(Slope)))^2+X_4^2)*2</f>
        <v>92.575245352873154</v>
      </c>
      <c r="AU3" s="400">
        <f>SQRT((R_5+X_5/TAN(RADIANS(Slope)))^2+X_5^2)*2</f>
        <v>65.157496864629266</v>
      </c>
      <c r="AV3" s="400">
        <f>SQRT(((ER_1)+(EX_1)/TAN(RADIANS(Slope)))^2+(EX_1)^2)</f>
        <v>82.10839910761247</v>
      </c>
      <c r="AW3" s="400">
        <f>SQRT(((ER_1B)+(EX_1B)/TAN(RADIANS(Slope)))^2+(EX_1B)^2)</f>
        <v>163.47024821550991</v>
      </c>
      <c r="AX3" s="400">
        <f>SQRT(((ER_2)+(EX_2)/TAN(RADIANS(Slope)))^2+(EX_2)^2)</f>
        <v>128.63513506269473</v>
      </c>
      <c r="AY3" s="400">
        <f>SQRT(((ER_3)+(EX_3)/TAN(RADIANS(Slope)))^2+(EX_3)^2)</f>
        <v>9.4012790743838721</v>
      </c>
      <c r="AZ3" s="400">
        <f>SQRT(((ER_4)+(EX_4)/TAN(RADIANS(Slope)))^2+(EX_4)^2)</f>
        <v>191.55158563800398</v>
      </c>
      <c r="BA3" s="400">
        <f>SQRT(((ER_5)+(EX_5)/TAN(RADIANS(Slope)))^2+(EX_5)^2)</f>
        <v>84.234711089891007</v>
      </c>
      <c r="BC3" s="68">
        <v>3</v>
      </c>
      <c r="BD3" s="114">
        <f>O15</f>
        <v>0</v>
      </c>
      <c r="BE3" s="110">
        <f>C17</f>
        <v>17</v>
      </c>
      <c r="BF3" s="112">
        <f>F17</f>
        <v>20</v>
      </c>
      <c r="BG3" s="112">
        <f t="shared" ref="BG3:BG49" si="0">BF3</f>
        <v>20</v>
      </c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</row>
    <row r="4" spans="1:74" ht="15.75">
      <c r="A4" s="10"/>
      <c r="B4" s="10"/>
      <c r="C4" s="71" t="str">
        <f>"Z1, " &amp; Settings!C16</f>
        <v>Z1, Forward</v>
      </c>
      <c r="D4" s="69"/>
      <c r="E4" s="70"/>
      <c r="F4" s="71" t="str">
        <f>"Z1B, " &amp; Settings!E16</f>
        <v>Z1B, Forward</v>
      </c>
      <c r="G4" s="69"/>
      <c r="H4" s="69"/>
      <c r="I4" s="71" t="str">
        <f>"Z2, " &amp; Settings!G16</f>
        <v>Z2, Forward</v>
      </c>
      <c r="J4" s="22"/>
      <c r="K4" s="22"/>
      <c r="L4" s="71" t="str">
        <f>"Z3, " &amp; Settings!I16</f>
        <v>Z3, Reverse</v>
      </c>
      <c r="M4" s="705"/>
      <c r="N4" s="641"/>
      <c r="O4" s="288" t="str">
        <f>"Z4, " &amp; Settings!K16</f>
        <v>Z4, Forward</v>
      </c>
      <c r="P4" s="641"/>
      <c r="Q4" s="641"/>
      <c r="R4" s="288" t="str">
        <f>"Z5, " &amp; Settings!M16</f>
        <v>Z5, Reverse</v>
      </c>
      <c r="S4" s="641"/>
      <c r="T4" s="22"/>
      <c r="U4" s="71" t="s">
        <v>399</v>
      </c>
      <c r="V4" s="71" t="str">
        <f>CHOOSE(LEFT(PTTMode,1),"PUTT, Z1B","PUTT, FD","POTT, Z1B","Disable")</f>
        <v>POTT, Z1B</v>
      </c>
      <c r="W4" s="71"/>
      <c r="X4" s="71" t="s">
        <v>99</v>
      </c>
      <c r="Y4" s="71" t="str">
        <f>ManClose</f>
        <v>4 Zone Z1B undirectional</v>
      </c>
      <c r="Z4" s="71"/>
      <c r="AA4" s="42"/>
      <c r="AB4" s="39" t="s">
        <v>26</v>
      </c>
      <c r="AC4" s="39" t="s">
        <v>27</v>
      </c>
      <c r="AD4" s="23"/>
      <c r="AE4" s="37"/>
      <c r="AF4" s="39" t="s">
        <v>26</v>
      </c>
      <c r="AG4" s="39" t="s">
        <v>27</v>
      </c>
      <c r="AH4" s="22"/>
      <c r="AI4" s="10"/>
      <c r="AJ4" s="446" t="s">
        <v>76</v>
      </c>
      <c r="AK4" s="98" t="s">
        <v>84</v>
      </c>
      <c r="AL4" s="98" t="s">
        <v>83</v>
      </c>
      <c r="AM4" s="98" t="s">
        <v>82</v>
      </c>
      <c r="AN4" s="725" t="b">
        <v>0</v>
      </c>
      <c r="AO4" s="222" t="s">
        <v>470</v>
      </c>
      <c r="AP4" s="334">
        <f>ABS(R_1*2*SIN(RADIANS(Z1_Ang-DeltaAng)))</f>
        <v>7.9772518578241982</v>
      </c>
      <c r="AQ4" s="334">
        <f>ABS(R_1B*2*SIN(RADIANS(Z1B_Ang-DeltaAng)))</f>
        <v>15.176984455981053</v>
      </c>
      <c r="AR4" s="334">
        <f>ABS(R_2*2*SIN(RADIANS(Z2_Ang-DeltaAng)))</f>
        <v>12.17141237532806</v>
      </c>
      <c r="AS4" s="334">
        <f>ABS(R_3*2*SIN(RADIANS(Z3_Ang-DeltaAng)))</f>
        <v>0.80883252880710499</v>
      </c>
      <c r="AT4" s="334">
        <f>ABS(R_4*2*SIN(RADIANS(Z4_Ang-DeltaAng)))</f>
        <v>22.929511554687675</v>
      </c>
      <c r="AU4" s="334">
        <f>ABS(R_5*2*SIN(RADIANS(Z5_Ang-DeltaAng)))</f>
        <v>16.154169200091349</v>
      </c>
      <c r="AV4" s="334">
        <f>ABS(ER_1*SIN(RADIANS(Z1E_Ang-DeltaAng)))</f>
        <v>0.60273184545474512</v>
      </c>
      <c r="AW4" s="334">
        <f>ABS(ER_1B*SIN(RADIANS(Z1BE_Ang-DeltaAng)))</f>
        <v>0.32449051489500608</v>
      </c>
      <c r="AX4" s="334">
        <f>ABS(ER_2*SIN(RADIANS(Z2E_Ang-DeltaAng)))</f>
        <v>0.15117132264700506</v>
      </c>
      <c r="AY4" s="334">
        <f>ABS(ER_3*SIN(RADIANS(Z3E_Ang-DeltaAng)))</f>
        <v>8.3522479376040668E-2</v>
      </c>
      <c r="AZ4" s="334">
        <f>ABS(ER_4*SIN(RADIANS(Z4E_Ang-DeltaAng)))</f>
        <v>8.5025458713915185</v>
      </c>
      <c r="BA4" s="334">
        <f>ABS(ER_5*SIN(RADIANS(Z5E_Ang-DeltaAng)))</f>
        <v>24.072317054326664</v>
      </c>
      <c r="BC4" s="68">
        <v>4</v>
      </c>
      <c r="BD4" s="114">
        <f>O17</f>
        <v>20</v>
      </c>
      <c r="BE4" s="110">
        <f>C19</f>
        <v>37</v>
      </c>
      <c r="BF4" s="112">
        <f>F19</f>
        <v>40</v>
      </c>
      <c r="BG4" s="112">
        <f t="shared" si="0"/>
        <v>40</v>
      </c>
      <c r="BH4" s="10"/>
      <c r="BI4" s="10"/>
      <c r="BJ4" s="10"/>
      <c r="BK4" s="10"/>
      <c r="BL4" s="10"/>
      <c r="BM4">
        <f>IF(_Dir1=0,1,-1)</f>
        <v>1</v>
      </c>
      <c r="BN4" s="10"/>
      <c r="BO4" s="10"/>
      <c r="BQ4" s="10"/>
      <c r="BR4" s="10" t="s">
        <v>27</v>
      </c>
      <c r="BS4" s="10"/>
      <c r="BT4" s="10"/>
      <c r="BU4" s="10"/>
      <c r="BV4" s="10"/>
    </row>
    <row r="5" spans="1:74" ht="15.75">
      <c r="A5" s="24" t="s">
        <v>85</v>
      </c>
      <c r="B5" s="24"/>
      <c r="C5" s="99">
        <f>VLOOKUP(VLOOKUP(AO25,$AJ$3:$AM$5,2),$AJ$22:$AV$24,6)</f>
        <v>61.033861847372364</v>
      </c>
      <c r="D5" s="100">
        <f>VLOOKUP(VLOOKUP(AO25,$AJ$3:$AM$5,2),$AJ$22:$AV$24,7)</f>
        <v>330.55877836469131</v>
      </c>
      <c r="E5" s="25"/>
      <c r="F5" s="99">
        <f>VLOOKUP(VLOOKUP(AQ25,$AJ$3:$AM$5,2),$AJ$22:$AV$24,8)</f>
        <v>62.649820430708338</v>
      </c>
      <c r="G5" s="100">
        <f>VLOOKUP(VLOOKUP(AQ25,$AJ$3:$AM$5,2),$AJ$22:$AV$24,9)</f>
        <v>208.61045966596521</v>
      </c>
      <c r="H5" s="25"/>
      <c r="I5" s="99">
        <f>VLOOKUP(VLOOKUP(AS25,$AJ$3:$AM$5,2),$AJ$22:$AV$24,10)</f>
        <v>60</v>
      </c>
      <c r="J5" s="100">
        <f>VLOOKUP(VLOOKUP(AS25,$AJ$3:$AM$5,2),$AJ$22:$AV$24,11)</f>
        <v>90</v>
      </c>
      <c r="K5" s="25"/>
      <c r="L5" s="99">
        <f>VLOOKUP(VLOOKUP(AU25,$AJ$3:$AM$5,2),$AJ$22:$AV$24,12)</f>
        <v>31.06285706366619</v>
      </c>
      <c r="M5" s="100">
        <f>VLOOKUP(VLOOKUP(AU25,$AJ$3:$AM$5,2),$AJ$22:$AV$24,13)</f>
        <v>254.9685618149756</v>
      </c>
      <c r="O5" s="99">
        <f>VLOOKUP(VLOOKUP(AK25,$AJ$3:$AM$5,2),$AJ$22:$AV$24,2)</f>
        <v>62.649820430708338</v>
      </c>
      <c r="P5" s="100">
        <f>VLOOKUP(VLOOKUP(AK25,$AJ$3:$AM$5,2),$AJ$22:$AV$24,3)</f>
        <v>331.38954033403479</v>
      </c>
      <c r="Q5" s="26"/>
      <c r="R5" s="99">
        <f>VLOOKUP(VLOOKUP(AM25,$AJ$3:$AM$5,2),$AJ$22:$AV$24,4)</f>
        <v>62.649820430708338</v>
      </c>
      <c r="S5" s="100">
        <f>VLOOKUP(VLOOKUP(AM25,$AJ$3:$AM$5,2),$AJ$22:$AV$24,5)</f>
        <v>208.61045966596521</v>
      </c>
      <c r="T5" s="25"/>
      <c r="U5" s="279">
        <f>VLOOKUP(VLOOKUP(AY25,$AJ$3:$AM$5,2),$AJ$22:$AZ$24,16)</f>
        <v>60</v>
      </c>
      <c r="V5" s="280">
        <f>VLOOKUP(VLOOKUP(AY25,$AJ$3:$AM$5,2),$AJ$22:$AZ$24,17)</f>
        <v>90</v>
      </c>
      <c r="W5" s="115"/>
      <c r="X5" s="115">
        <f>VLOOKUP(VLOOKUP(BA25,$AJ$3:$AM$5,2),$AJ$22:$BB$24,18)</f>
        <v>97.101929472094341</v>
      </c>
      <c r="Y5" s="293">
        <f>VLOOKUP(VLOOKUP(BA25,$AJ$3:$AM$5,2),$AJ$22:$BB$24,19)</f>
        <v>342.00381332754773</v>
      </c>
      <c r="Z5" s="115"/>
      <c r="AA5" s="384" t="s">
        <v>12</v>
      </c>
      <c r="AB5" s="276">
        <f>COS(RADIANS($C13))*$D13</f>
        <v>25.571630050430191</v>
      </c>
      <c r="AC5" s="276">
        <f>SIN(RADIANS($C13))*$D13</f>
        <v>-6.3757234499184232</v>
      </c>
      <c r="AD5" s="23"/>
      <c r="AE5" s="384" t="s">
        <v>12</v>
      </c>
      <c r="AF5" s="276">
        <f>COS(RADIANS($C35))*$D35</f>
        <v>59.730555052682575</v>
      </c>
      <c r="AG5" s="276">
        <f>SIN(RADIANS($C35))*$D35</f>
        <v>-14.892500000000002</v>
      </c>
      <c r="AH5" s="22"/>
      <c r="AI5" s="10"/>
      <c r="AJ5" s="446" t="s">
        <v>77</v>
      </c>
      <c r="AK5" s="98" t="s">
        <v>82</v>
      </c>
      <c r="AL5" s="98" t="s">
        <v>84</v>
      </c>
      <c r="AM5" s="98" t="s">
        <v>83</v>
      </c>
      <c r="AN5" s="725" t="b">
        <v>0</v>
      </c>
      <c r="AO5" s="222" t="s">
        <v>469</v>
      </c>
      <c r="AP5" s="334">
        <f>ABS(R_1*2*COS(RADIANS(Z1_Ang-DeltaAng)))</f>
        <v>26.087580432014779</v>
      </c>
      <c r="AQ5" s="334">
        <f>ABS(R_1B*2*COS(RADIANS(Z1B_Ang-DeltaAng)))</f>
        <v>42.851729752985584</v>
      </c>
      <c r="AR5" s="334">
        <f>ABS(R_2*2*COS(RADIANS(Z2_Ang-DeltaAng)))</f>
        <v>31.853833690620522</v>
      </c>
      <c r="AS5" s="334">
        <f>ABS(R_3*2*COS(RADIANS(Z3_Ang-DeltaAng)))</f>
        <v>4.467369465394988</v>
      </c>
      <c r="AT5" s="334">
        <f>ABS(R_4*2*COS(RADIANS(Z4_Ang-DeltaAng)))</f>
        <v>64.208643498079326</v>
      </c>
      <c r="AU5" s="334">
        <f>ABS(R_5*2*COS(RADIANS(Z5_Ang-DeltaAng)))</f>
        <v>15.976270448850697</v>
      </c>
      <c r="AV5" s="334">
        <f>ABS(ER_1*COS(RADIANS(Z1E_Ang-DeltaAng)))</f>
        <v>76.753733469665676</v>
      </c>
      <c r="AW5" s="334">
        <f>ABS(ER_1B*COS(RADIANS(Z1BE_Ang-DeltaAng)))</f>
        <v>153.5311570924799</v>
      </c>
      <c r="AX5" s="334">
        <f>ABS(ER_2*COS(RADIANS(Z2E_Ang-DeltaAng)))</f>
        <v>120.62490527346007</v>
      </c>
      <c r="AY5" s="334">
        <f>ABS(ER_3*COS(RADIANS(Z3E_Ang-DeltaAng)))</f>
        <v>8.781102792100711</v>
      </c>
      <c r="AZ5" s="334">
        <f>ABS(ER_4*COS(RADIANS(Z4E_Ang-DeltaAng)))</f>
        <v>175.2501638327191</v>
      </c>
      <c r="BA5" s="334">
        <f>ABS(ER_5*COS(RADIANS(Z5E_Ang-DeltaAng)))</f>
        <v>49.264541115552618</v>
      </c>
      <c r="BC5" s="68">
        <v>5</v>
      </c>
      <c r="BD5" s="114">
        <f>O19</f>
        <v>40</v>
      </c>
      <c r="BE5" s="110">
        <f>C21</f>
        <v>90</v>
      </c>
      <c r="BF5" s="112">
        <f>F21</f>
        <v>90</v>
      </c>
      <c r="BG5" s="112">
        <f t="shared" si="0"/>
        <v>90</v>
      </c>
      <c r="BH5" s="10"/>
      <c r="BI5" s="40">
        <f t="shared" ref="BI5:BJ36" si="1">AB5*$BM$4</f>
        <v>25.571630050430191</v>
      </c>
      <c r="BJ5" s="40">
        <f t="shared" si="1"/>
        <v>-6.3757234499184232</v>
      </c>
      <c r="BK5" s="10"/>
      <c r="BL5" s="40">
        <f t="shared" ref="BL5:BL15" si="2">AF5*$BM$4</f>
        <v>59.730555052682575</v>
      </c>
      <c r="BM5" s="40">
        <f t="shared" ref="BM5:BM15" si="3">AG5*$BM$4</f>
        <v>-14.892500000000002</v>
      </c>
      <c r="BN5" s="10"/>
      <c r="BO5" s="10"/>
      <c r="BQ5" s="10"/>
      <c r="BR5" s="10"/>
      <c r="BS5" s="10"/>
      <c r="BT5" s="10"/>
      <c r="BU5" s="10"/>
      <c r="BV5" s="10"/>
    </row>
    <row r="6" spans="1:74" ht="15.75">
      <c r="A6" s="24" t="s">
        <v>86</v>
      </c>
      <c r="B6" s="24"/>
      <c r="C6" s="99">
        <f>VLOOKUP(VLOOKUP(AO25,$AJ$3:$AM$5,3),$AJ$22:$AV$24,6)</f>
        <v>61.033861847372364</v>
      </c>
      <c r="D6" s="100">
        <f>VLOOKUP(VLOOKUP(AO25,$AJ$3:$AM$5,3),$AJ$22:$AV$24,7)</f>
        <v>209.44122163530872</v>
      </c>
      <c r="E6" s="29"/>
      <c r="F6" s="99">
        <f>VLOOKUP(VLOOKUP(AQ25,$AJ$3:$AM$5,3),$AJ$22:$AV$24,8)</f>
        <v>60</v>
      </c>
      <c r="G6" s="100">
        <f>VLOOKUP(VLOOKUP(AQ25,$AJ$3:$AM$5,3),$AJ$22:$AV$24,9)</f>
        <v>90</v>
      </c>
      <c r="H6" s="28"/>
      <c r="I6" s="99">
        <f>VLOOKUP(VLOOKUP(AS25,$AJ$3:$AM$5,3),$AJ$22:$AV$24,10)</f>
        <v>62.649820430708338</v>
      </c>
      <c r="J6" s="100">
        <f>VLOOKUP(VLOOKUP(AS25,$AJ$3:$AM$5,3),$AJ$22:$AV$24,11)</f>
        <v>331.38954033403479</v>
      </c>
      <c r="K6" s="29"/>
      <c r="L6" s="99">
        <f>VLOOKUP(VLOOKUP(AU25,$AJ$3:$AM$5,3),$AJ$22:$AV$24,12)</f>
        <v>60</v>
      </c>
      <c r="M6" s="100">
        <f>VLOOKUP(VLOOKUP(AU25,$AJ$3:$AM$5,3),$AJ$22:$AV$24,13)</f>
        <v>90</v>
      </c>
      <c r="O6" s="99">
        <f>VLOOKUP(VLOOKUP(AK25,$AJ$3:$AM$5,3),$AJ$22:$AV$24,2)</f>
        <v>62.649820430708338</v>
      </c>
      <c r="P6" s="100">
        <f>VLOOKUP(VLOOKUP(AK25,$AJ$3:$AM$5,3),$AJ$22:$AV$24,3)</f>
        <v>208.61045966596521</v>
      </c>
      <c r="Q6" s="26"/>
      <c r="R6" s="99">
        <f>VLOOKUP(VLOOKUP(AM25,$AJ$3:$AM$5,3),$AJ$22:$AV$24,4)</f>
        <v>60</v>
      </c>
      <c r="S6" s="100">
        <f>VLOOKUP(VLOOKUP(AM25,$AJ$3:$AM$5,3),$AJ$22:$AV$24,5)</f>
        <v>90</v>
      </c>
      <c r="T6" s="29"/>
      <c r="U6" s="279">
        <f>VLOOKUP(VLOOKUP(AY25,$AJ$3:$AM$5,3),$AJ$22:$AZ$24,16)</f>
        <v>62.649820430708338</v>
      </c>
      <c r="V6" s="280">
        <f>VLOOKUP(VLOOKUP(AY25,$AJ$3:$AM$5,3),$AJ$22:$AZ$24,17)</f>
        <v>331.38954033403479</v>
      </c>
      <c r="W6" s="115"/>
      <c r="X6" s="115">
        <f>VLOOKUP(VLOOKUP(BA25,$AJ$3:$AM$5,3),$AJ$22:$BB$24,18)</f>
        <v>97.101929472094341</v>
      </c>
      <c r="Y6" s="293">
        <f>VLOOKUP(VLOOKUP(BA25,$AJ$3:$AM$5,3),$AJ$22:$BB$24,19)</f>
        <v>197.9961866724523</v>
      </c>
      <c r="Z6" s="115"/>
      <c r="AA6" s="384">
        <f>C14</f>
        <v>-35.031829656879452</v>
      </c>
      <c r="AB6" s="276">
        <f>IF($D14="",AB5,COS(RADIANS($C14))*$D14)</f>
        <v>25.571630050430191</v>
      </c>
      <c r="AC6" s="276">
        <f>IF($D14="",AC5,SIN(RADIANS($C14))*$D14)</f>
        <v>-6.3757234499184232</v>
      </c>
      <c r="AD6" s="23"/>
      <c r="AE6" s="384">
        <f>C36</f>
        <v>-11.566640661988208</v>
      </c>
      <c r="AF6" s="276">
        <f>IF($D36="",AF5,COS(RADIANS($C36))*$D36)</f>
        <v>72.765666651719528</v>
      </c>
      <c r="AG6" s="276">
        <f>IF($D36="",AG5,SIN(RADIANS($C36))*$D36)</f>
        <v>-14.892500000000002</v>
      </c>
      <c r="AH6" s="22"/>
      <c r="AI6" s="3"/>
      <c r="AJ6" s="52" t="s">
        <v>28</v>
      </c>
      <c r="AK6" s="52"/>
      <c r="AL6" s="52"/>
      <c r="AM6" s="52"/>
      <c r="AN6" s="726" t="str">
        <f>IF(AN3=TRUE,"R-S",IF(AN4=TRUE,"S-T","T-R"))</f>
        <v>R-S</v>
      </c>
      <c r="AO6" s="222" t="s">
        <v>471</v>
      </c>
      <c r="AP6" s="357">
        <f>AP4/TAN(RADIANS(Slope-Z1_Ang+DeltaAng))</f>
        <v>4.9853149583626539</v>
      </c>
      <c r="AQ6" s="357">
        <f>AQ4/TAN(RADIANS(Slope-Z1B_Ang+DeltaAng))</f>
        <v>10.431960388093566</v>
      </c>
      <c r="AR6" s="357">
        <f>AR4/TAN(RADIANS(Slope-Z2_Ang+DeltaAng))</f>
        <v>8.8145040892811526</v>
      </c>
      <c r="AS6" s="357">
        <f>AS4/TAN(RADIANS(Slope-Z3_Ang+DeltaAng))</f>
        <v>0.38168463167842132</v>
      </c>
      <c r="AT6" s="357">
        <f>AT4/TAN(RADIANS(Slope-Z4_Ang+DeltaAng))</f>
        <v>15.848817377494965</v>
      </c>
      <c r="AU6" s="357">
        <f>AU4/TAN(RADIANS(Slope-Z5_Ang+DeltaAng))</f>
        <v>28.341073476650056</v>
      </c>
      <c r="AV6" s="357">
        <f>AV4/TAN(RADIANS(Slope-Z1E_Ang+DeltaAng))</f>
        <v>0.16658516536346832</v>
      </c>
      <c r="AW6" s="357">
        <f>AW4/TAN(RADIANS(Slope-Z1BE_Ang+DeltaAng))</f>
        <v>8.6212332289148735E-2</v>
      </c>
      <c r="AX6" s="357">
        <f>AX4/TAN(RADIANS(Slope-Z2E_Ang+DeltaAng))</f>
        <v>4.070935731032458E-2</v>
      </c>
      <c r="AY6" s="357">
        <f>AY4/TAN(RADIANS(Slope-Z3E_Ang+DeltaAng))</f>
        <v>2.3233428073549341E-2</v>
      </c>
      <c r="AZ6" s="357">
        <f>AZ4/TAN(RADIANS(Slope-Z4E_Ang+DeltaAng))</f>
        <v>2.7262057461473095</v>
      </c>
      <c r="BA6" s="357">
        <f>BA4/TAN(RADIANS(Slope-Z5E_Ang+DeltaAng))</f>
        <v>20.956520941621015</v>
      </c>
      <c r="BC6" s="68">
        <v>6</v>
      </c>
      <c r="BD6" s="114">
        <f>O21</f>
        <v>90</v>
      </c>
      <c r="BE6" s="110">
        <f>180-BE4</f>
        <v>143</v>
      </c>
      <c r="BF6" s="112">
        <f>180-BF4</f>
        <v>140</v>
      </c>
      <c r="BG6" s="112">
        <f t="shared" si="0"/>
        <v>140</v>
      </c>
      <c r="BH6" s="3"/>
      <c r="BI6" s="40">
        <f t="shared" si="1"/>
        <v>25.571630050430191</v>
      </c>
      <c r="BJ6" s="40">
        <f t="shared" si="1"/>
        <v>-6.3757234499184232</v>
      </c>
      <c r="BK6" s="3"/>
      <c r="BL6" s="40">
        <f t="shared" si="2"/>
        <v>72.765666651719528</v>
      </c>
      <c r="BM6" s="40">
        <f t="shared" si="3"/>
        <v>-14.892500000000002</v>
      </c>
      <c r="BN6" s="3"/>
      <c r="BO6" s="3"/>
      <c r="BQ6" s="3"/>
      <c r="BR6" s="3"/>
      <c r="BS6" s="3"/>
      <c r="BT6" s="3"/>
      <c r="BU6" s="3"/>
      <c r="BV6" s="3" t="s">
        <v>471</v>
      </c>
    </row>
    <row r="7" spans="1:74" ht="15.75">
      <c r="A7" s="24" t="s">
        <v>87</v>
      </c>
      <c r="B7" s="24"/>
      <c r="C7" s="99">
        <f>VLOOKUP(VLOOKUP(AO25,$AJ$3:$AM$5,4),$AJ$22:$AV$24,6)</f>
        <v>60</v>
      </c>
      <c r="D7" s="100">
        <f>VLOOKUP(VLOOKUP(AO25,$AJ$3:$AM$5,4),$AJ$22:$AV$24,7)</f>
        <v>90</v>
      </c>
      <c r="E7" s="29"/>
      <c r="F7" s="99">
        <f>VLOOKUP(VLOOKUP(AQ25,$AJ$3:$AM$5,4),$AJ$22:$AV$24,8)</f>
        <v>62.649820430708338</v>
      </c>
      <c r="G7" s="100">
        <f>VLOOKUP(VLOOKUP(AQ25,$AJ$3:$AM$5,4),$AJ$22:$AV$24,9)</f>
        <v>331.38954033403479</v>
      </c>
      <c r="H7" s="28"/>
      <c r="I7" s="99">
        <f>VLOOKUP(VLOOKUP(AS25,$AJ$3:$AM$5,4),$AJ$22:$AV$24,10)</f>
        <v>62.649820430708338</v>
      </c>
      <c r="J7" s="100">
        <f>VLOOKUP(VLOOKUP(AS25,$AJ$3:$AM$5,4),$AJ$22:$AV$24,11)</f>
        <v>208.61045966596521</v>
      </c>
      <c r="K7" s="29"/>
      <c r="L7" s="99">
        <f>VLOOKUP(VLOOKUP(AU25,$AJ$3:$AM$5,4),$AJ$22:$AV$24,12)</f>
        <v>31.06285706366619</v>
      </c>
      <c r="M7" s="100">
        <f>VLOOKUP(VLOOKUP(AU25,$AJ$3:$AM$5,4),$AJ$22:$AV$24,13)</f>
        <v>285.0314381850244</v>
      </c>
      <c r="O7" s="99">
        <f>VLOOKUP(VLOOKUP(AK25,$AJ$3:$AM$5,4),$AJ$22:$AV$24,2)</f>
        <v>60</v>
      </c>
      <c r="P7" s="100">
        <f>VLOOKUP(VLOOKUP(AK25,$AJ$3:$AM$5,4),$AJ$22:$AV$24,3)</f>
        <v>90</v>
      </c>
      <c r="Q7" s="26"/>
      <c r="R7" s="99">
        <f>VLOOKUP(VLOOKUP(AM25,$AJ$3:$AM$5,4),$AJ$22:$AV$24,4)</f>
        <v>62.649820430708338</v>
      </c>
      <c r="S7" s="100">
        <f>VLOOKUP(VLOOKUP(AM25,$AJ$3:$AM$5,4),$AJ$22:$AV$24,5)</f>
        <v>331.38954033403479</v>
      </c>
      <c r="T7" s="29"/>
      <c r="U7" s="279">
        <f>VLOOKUP(VLOOKUP(AY25,$AJ$3:$AM$5,4),$AJ$22:$AZ$24,16)</f>
        <v>62.649820430708338</v>
      </c>
      <c r="V7" s="280">
        <f>VLOOKUP(VLOOKUP(AY25,$AJ$3:$AM$5,4),$AJ$22:$AZ$24,17)</f>
        <v>208.61045966596521</v>
      </c>
      <c r="W7" s="115"/>
      <c r="X7" s="115">
        <f>VLOOKUP(VLOOKUP(BA25,$AJ$3:$AM$5,4),$AJ$22:$BB$24,18)</f>
        <v>60</v>
      </c>
      <c r="Y7" s="293">
        <f>VLOOKUP(VLOOKUP(BA25,$AJ$3:$AM$5,4),$AJ$22:$BB$24,19)</f>
        <v>90</v>
      </c>
      <c r="Z7" s="115"/>
      <c r="AA7" s="384">
        <f t="shared" ref="AA7:AA15" si="4">C15</f>
        <v>0</v>
      </c>
      <c r="AB7" s="276">
        <f t="shared" ref="AB7:AB15" si="5">IF($D15="",AB6,COS(RADIANS($C15))*$D15)</f>
        <v>27.28</v>
      </c>
      <c r="AC7" s="276">
        <f t="shared" ref="AC7:AC15" si="6">IF($D15="",AC6,SIN(RADIANS($C15))*$D15)</f>
        <v>0</v>
      </c>
      <c r="AD7" s="23"/>
      <c r="AE7" s="384">
        <f t="shared" ref="AE7:AE15" si="7">C37</f>
        <v>0</v>
      </c>
      <c r="AF7" s="276">
        <f t="shared" ref="AF7:AF15" si="8">IF($D37="",AF6,COS(RADIANS($C37))*$D37)</f>
        <v>76.756100000000018</v>
      </c>
      <c r="AG7" s="276">
        <f t="shared" ref="AG7:AG15" si="9">IF($D37="",AG6,SIN(RADIANS($C37))*$D37)</f>
        <v>0</v>
      </c>
      <c r="AH7" s="22"/>
      <c r="AI7" s="3"/>
      <c r="AJ7" s="52" t="s">
        <v>4</v>
      </c>
      <c r="AK7" s="52"/>
      <c r="AL7" s="52" t="s">
        <v>5</v>
      </c>
      <c r="AM7" s="52"/>
      <c r="AN7" s="3"/>
      <c r="AO7" s="399" t="s">
        <v>468</v>
      </c>
      <c r="AP7" s="218">
        <f t="shared" ref="AP7:AU7" si="10">SUM(AP5:AP6)</f>
        <v>31.072895390377433</v>
      </c>
      <c r="AQ7" s="218">
        <f t="shared" si="10"/>
        <v>53.283690141079148</v>
      </c>
      <c r="AR7" s="218">
        <f t="shared" si="10"/>
        <v>40.668337779901677</v>
      </c>
      <c r="AS7" s="218">
        <f t="shared" si="10"/>
        <v>4.8490540970734095</v>
      </c>
      <c r="AT7" s="218">
        <f t="shared" si="10"/>
        <v>80.057460875574293</v>
      </c>
      <c r="AU7" s="218">
        <f t="shared" si="10"/>
        <v>44.317343925500751</v>
      </c>
      <c r="AV7" s="218">
        <f t="shared" ref="AV7:BA7" si="11">AV5+AV6</f>
        <v>76.920318635029147</v>
      </c>
      <c r="AW7" s="218">
        <f t="shared" si="11"/>
        <v>153.61736942476904</v>
      </c>
      <c r="AX7" s="218">
        <f t="shared" si="11"/>
        <v>120.66561463077039</v>
      </c>
      <c r="AY7" s="218">
        <f t="shared" si="11"/>
        <v>8.8043362201742603</v>
      </c>
      <c r="AZ7" s="218">
        <f t="shared" si="11"/>
        <v>177.97636957886641</v>
      </c>
      <c r="BA7" s="218">
        <f t="shared" si="11"/>
        <v>70.22106205717364</v>
      </c>
      <c r="BC7" s="68">
        <v>7</v>
      </c>
      <c r="BD7" s="114">
        <f>O22</f>
        <v>140.67552708979557</v>
      </c>
      <c r="BE7" s="110">
        <f>180-BE3</f>
        <v>163</v>
      </c>
      <c r="BF7" s="112">
        <f>180-BF3</f>
        <v>160</v>
      </c>
      <c r="BG7" s="112">
        <f t="shared" si="0"/>
        <v>160</v>
      </c>
      <c r="BH7" s="3"/>
      <c r="BI7" s="40">
        <f t="shared" si="1"/>
        <v>27.28</v>
      </c>
      <c r="BJ7" s="40">
        <f t="shared" si="1"/>
        <v>0</v>
      </c>
      <c r="BK7" s="3"/>
      <c r="BL7" s="40">
        <f t="shared" si="2"/>
        <v>76.756100000000018</v>
      </c>
      <c r="BM7" s="40">
        <f t="shared" si="3"/>
        <v>0</v>
      </c>
      <c r="BN7" s="3"/>
      <c r="BO7" s="3"/>
      <c r="BQ7" s="3"/>
      <c r="BR7" s="3"/>
      <c r="BS7" s="3"/>
      <c r="BT7" s="3"/>
      <c r="BU7" s="3"/>
      <c r="BV7" s="3"/>
    </row>
    <row r="8" spans="1:74" ht="15.75">
      <c r="A8" s="24" t="s">
        <v>62</v>
      </c>
      <c r="B8" s="3"/>
      <c r="C8" s="80"/>
      <c r="D8" s="30" t="str">
        <f>ROUND(TestVZ1/MIN(D13:D23)*I_Nom*1.1,1) &amp; "A"</f>
        <v>7.3A</v>
      </c>
      <c r="E8" s="81"/>
      <c r="F8" s="81"/>
      <c r="G8" s="30" t="str">
        <f>ROUND(TestVZ1B/MIN(G13:G23)*I_Nom*1.1,1) &amp; "A"</f>
        <v>4A</v>
      </c>
      <c r="H8" s="30"/>
      <c r="I8" s="81"/>
      <c r="J8" s="30" t="str">
        <f>ROUND(TestVZ2/MIN(J13:J23)*I_Nom*1.1,1) &amp; "A"</f>
        <v>5A</v>
      </c>
      <c r="K8" s="81"/>
      <c r="L8" s="81"/>
      <c r="M8" s="30" t="str">
        <f>ROUND(TestVZ3/MIN(M13:M23)*I_Nom*1.1,1) &amp; "A"</f>
        <v>9.5A</v>
      </c>
      <c r="O8" s="3"/>
      <c r="P8" s="30" t="str">
        <f>ROUND(TestVZ4/MIN(P13:P23)*I_Nom*1.1,1) &amp; "A"</f>
        <v>2.6A</v>
      </c>
      <c r="Q8" s="80"/>
      <c r="R8" s="29"/>
      <c r="S8" s="30" t="str">
        <f>ROUND(TestVZ5/MIN(S13:S23)*I_Nom*1.1,1) &amp; "A"</f>
        <v>5.5A</v>
      </c>
      <c r="T8" s="81"/>
      <c r="U8" s="281"/>
      <c r="V8" s="30" t="str">
        <f>ROUND(TestVPTT/MIN(V13:V24)*I_Nom*1.1,1) &amp; "A"</f>
        <v>4A</v>
      </c>
      <c r="W8" s="30"/>
      <c r="X8" s="30"/>
      <c r="Y8" s="30" t="str">
        <f>ROUND(TestVSOTF/MIN(Y13:Y24)*I_Nom*1.1,1) &amp; "A"</f>
        <v>2.2A</v>
      </c>
      <c r="Z8" s="30"/>
      <c r="AA8" s="384">
        <f t="shared" si="4"/>
        <v>8.5</v>
      </c>
      <c r="AB8" s="276">
        <f t="shared" si="5"/>
        <v>28.418006904853311</v>
      </c>
      <c r="AC8" s="276">
        <f t="shared" si="6"/>
        <v>4.2470995882767557</v>
      </c>
      <c r="AD8" s="23"/>
      <c r="AE8" s="384">
        <f t="shared" si="7"/>
        <v>4</v>
      </c>
      <c r="AF8" s="276">
        <f t="shared" si="8"/>
        <v>78.221727427315116</v>
      </c>
      <c r="AG8" s="276">
        <f t="shared" si="9"/>
        <v>5.4697960237063947</v>
      </c>
      <c r="AH8" s="22"/>
      <c r="AI8" s="3"/>
      <c r="AJ8" s="53">
        <f>Vh</f>
        <v>60</v>
      </c>
      <c r="AK8" s="53">
        <f>Vh</f>
        <v>60</v>
      </c>
      <c r="AL8" s="53">
        <f>IF(TestVZ4E&gt;60,TestVZ4E,60)</f>
        <v>60</v>
      </c>
      <c r="AM8" s="53">
        <f>IF(TestVZ5E&gt;60,TestVZ5E,60)</f>
        <v>63</v>
      </c>
      <c r="AN8" s="3"/>
      <c r="AO8" s="362" t="s">
        <v>507</v>
      </c>
      <c r="AP8" s="363">
        <f>_Dir1-DEGREES(ATAN(X_1/(R_1-X_1/TAN(RADIANS(Slope)))))</f>
        <v>-35.031829656879452</v>
      </c>
      <c r="AQ8" s="363">
        <f>Dir1B-DEGREES(ATAN(X_1B/(R_1B-X_1B/TAN(RADIANS(Slope)))))</f>
        <v>-39.079693088446213</v>
      </c>
      <c r="AR8" s="363">
        <f>_Dir2-DEGREES(ATAN(X_2/(R_2-X_2/TAN(RADIANS(Slope)))))</f>
        <v>-41.402214761334271</v>
      </c>
      <c r="AS8" s="363">
        <f>_Dir3-DEGREES(ATAN(X_3/(R_3-X_3/TAN(RADIANS(Slope)))))</f>
        <v>155.28753930789912</v>
      </c>
      <c r="AT8" s="363">
        <f>_Dir4-DEGREES(ATAN(X_4/(R_4-X_4/TAN(RADIANS(Slope)))))</f>
        <v>-39.324472910204427</v>
      </c>
      <c r="AU8" s="363">
        <f>_Dir5-DEGREES(ATAN(X_5/(R_5-X_5/TAN(RADIANS(Slope)))))</f>
        <v>98.871689279458479</v>
      </c>
      <c r="AV8" s="363">
        <f>_Dir1-DEGREES(ATAN(EX_1/(ER_1-EX_1/TAN(RADIANS(Slope)))))</f>
        <v>-11.566640661988208</v>
      </c>
      <c r="AW8" s="363">
        <f>Dir1B-DEGREES(ATAN(EX_1B/(ER_1B-EX_1B/TAN(RADIANS(Slope)))))</f>
        <v>-10.872617516646374</v>
      </c>
      <c r="AX8" s="363">
        <f>_Dir2-DEGREES(ATAN(EX_2/(ER_2-EX_2/TAN(RADIANS(Slope)))))</f>
        <v>-11.106220261843083</v>
      </c>
      <c r="AY8" s="363">
        <f>_Dir3-DEGREES(ATAN(EX_3/(ER_3-EX_3/TAN(RADIANS(Slope)))))</f>
        <v>168.31711156215658</v>
      </c>
      <c r="AZ8" s="363">
        <f>_Dir4-DEGREES(ATAN(EX_4/(ER_4-EX_4/TAN(RADIANS(Slope)))))</f>
        <v>-14.475340752524936</v>
      </c>
      <c r="BA8" s="363">
        <f>_Dir5-DEGREES(ATAN(EX_5/(ER_5-EX_5/TAN(RADIANS(Slope)))))</f>
        <v>129.97577232825859</v>
      </c>
      <c r="BC8" s="68">
        <v>8</v>
      </c>
      <c r="BD8" s="114">
        <f>R13</f>
        <v>166</v>
      </c>
      <c r="BE8" s="110">
        <f t="shared" ref="BE8:BF13" si="12">BE2+180</f>
        <v>180</v>
      </c>
      <c r="BF8" s="112">
        <f t="shared" si="12"/>
        <v>180</v>
      </c>
      <c r="BG8" s="112">
        <f t="shared" si="0"/>
        <v>180</v>
      </c>
      <c r="BH8" s="3"/>
      <c r="BI8" s="40">
        <f t="shared" si="1"/>
        <v>28.418006904853311</v>
      </c>
      <c r="BJ8" s="40">
        <f t="shared" si="1"/>
        <v>4.2470995882767557</v>
      </c>
      <c r="BK8" s="3"/>
      <c r="BL8" s="40">
        <f t="shared" si="2"/>
        <v>78.221727427315116</v>
      </c>
      <c r="BM8" s="40">
        <f t="shared" si="3"/>
        <v>5.4697960237063947</v>
      </c>
      <c r="BN8" s="3"/>
      <c r="BO8" s="3"/>
      <c r="BQ8" s="3"/>
      <c r="BR8" s="3"/>
      <c r="BS8" s="359"/>
      <c r="BT8" s="49" t="s">
        <v>469</v>
      </c>
      <c r="BU8" s="359" t="s">
        <v>470</v>
      </c>
      <c r="BV8" s="3"/>
    </row>
    <row r="9" spans="1:74" ht="15.75">
      <c r="A9" s="24" t="s">
        <v>29</v>
      </c>
      <c r="B9" s="22"/>
      <c r="C9" s="22"/>
      <c r="D9" s="50">
        <f>T_1*50+5</f>
        <v>5</v>
      </c>
      <c r="E9" s="22"/>
      <c r="F9" s="22"/>
      <c r="G9" s="50">
        <f>T_1B*50+5</f>
        <v>5</v>
      </c>
      <c r="H9" s="50"/>
      <c r="I9" s="22"/>
      <c r="J9" s="50">
        <f>T_2*50+5</f>
        <v>25</v>
      </c>
      <c r="K9" s="22"/>
      <c r="L9" s="22"/>
      <c r="M9" s="50">
        <f>T_3*50+5</f>
        <v>25</v>
      </c>
      <c r="O9" s="22"/>
      <c r="P9" s="50">
        <f>T_4*50+5</f>
        <v>50</v>
      </c>
      <c r="Q9" s="22"/>
      <c r="R9" s="29"/>
      <c r="S9" s="50">
        <f>T_5*50+5</f>
        <v>60.000000000000007</v>
      </c>
      <c r="T9" s="22"/>
      <c r="U9" s="282"/>
      <c r="V9" s="50">
        <v>5</v>
      </c>
      <c r="W9" s="50"/>
      <c r="X9" s="50"/>
      <c r="Y9" s="50">
        <v>5</v>
      </c>
      <c r="AA9" s="384">
        <f t="shared" si="4"/>
        <v>17</v>
      </c>
      <c r="AB9" s="276">
        <f t="shared" si="5"/>
        <v>29.714195487641359</v>
      </c>
      <c r="AC9" s="276">
        <f t="shared" si="6"/>
        <v>9.0845412354324449</v>
      </c>
      <c r="AD9" s="23"/>
      <c r="AE9" s="384">
        <f t="shared" si="7"/>
        <v>8</v>
      </c>
      <c r="AF9" s="276">
        <f t="shared" si="8"/>
        <v>79.759674107825902</v>
      </c>
      <c r="AG9" s="276">
        <f t="shared" si="9"/>
        <v>11.209491174704569</v>
      </c>
      <c r="AH9" s="22"/>
      <c r="AI9" s="3"/>
      <c r="AJ9" s="51" t="s">
        <v>30</v>
      </c>
      <c r="AK9" s="51" t="s">
        <v>31</v>
      </c>
      <c r="AL9" s="53">
        <f>IF(Characteristic!D32&gt;60,63,60)</f>
        <v>60</v>
      </c>
      <c r="AM9" s="53">
        <f>IF(Characteristic!G32&gt;60,63,60)</f>
        <v>60</v>
      </c>
      <c r="AN9" s="3"/>
      <c r="AO9" s="364" t="s">
        <v>521</v>
      </c>
      <c r="AP9" s="403">
        <f>SQRT((R_1-X_1/TAN(RADIANS(Slope)))^2+X_1^2)*2</f>
        <v>28.047245548568728</v>
      </c>
      <c r="AQ9" s="403">
        <f>SQRT((R_1B-X_1B/TAN(RADIANS(Slope)))^2+X_1B^2)*2</f>
        <v>48.096391802926064</v>
      </c>
      <c r="AR9" s="403">
        <f>SQRT((R_2-X_2/TAN(RADIANS(Slope)))^2+X_2^2)*2</f>
        <v>36.773775008647348</v>
      </c>
      <c r="AS9" s="403">
        <f>SQRT((R_3-X_3/TAN(RADIANS(Slope)))^2+X_3^2)*2</f>
        <v>4.4490726880337776</v>
      </c>
      <c r="AT9" s="403">
        <f>SQRT((R_4-X_4/TAN(RADIANS(Slope)))^2+X_4^2)*2</f>
        <v>72.272652503869679</v>
      </c>
      <c r="AU9" s="403">
        <f>SQRT((R_5-X_5/TAN(RADIANS(Slope)))^2+X_5^2)*2</f>
        <v>54.228782858552243</v>
      </c>
      <c r="AV9" s="403">
        <f>SQRT((ER_1-EX_1/TAN(RADIANS(Slope)))^2+EX_1^2)</f>
        <v>74.274011602438492</v>
      </c>
      <c r="AW9" s="403">
        <f>SQRT((ER_1B-EX_1B/TAN(RADIANS(Slope)))^2+EX_1B^2)</f>
        <v>148.68565734659521</v>
      </c>
      <c r="AX9" s="403">
        <f>SQRT((ER_2-EX_2/TAN(RADIANS(Slope)))^2+EX_2^2)</f>
        <v>116.78438120831369</v>
      </c>
      <c r="AY9" s="403">
        <f>SQRT((ER_3-EX_3/TAN(RADIANS(Slope)))^2+EX_3^2)</f>
        <v>8.4965128676089279</v>
      </c>
      <c r="AZ9" s="403">
        <f>SQRT((ER_4-EX_4/TAN(RADIANS(Slope)))^2+EX_4^2)</f>
        <v>169.48487726255473</v>
      </c>
      <c r="BA9" s="403">
        <f>SQRT((ER_5-EX_5/TAN(RADIANS(Slope)))^2+EX_5^2)</f>
        <v>64.67500146029424</v>
      </c>
      <c r="BC9" s="68">
        <v>9</v>
      </c>
      <c r="BD9" s="114">
        <f>R15</f>
        <v>180</v>
      </c>
      <c r="BE9" s="110">
        <f t="shared" si="12"/>
        <v>197</v>
      </c>
      <c r="BF9" s="112">
        <f t="shared" si="12"/>
        <v>200</v>
      </c>
      <c r="BG9" s="112">
        <f t="shared" si="0"/>
        <v>200</v>
      </c>
      <c r="BH9" s="3"/>
      <c r="BI9" s="40">
        <f t="shared" si="1"/>
        <v>29.714195487641359</v>
      </c>
      <c r="BJ9" s="40">
        <f t="shared" si="1"/>
        <v>9.0845412354324449</v>
      </c>
      <c r="BK9" s="3"/>
      <c r="BL9" s="40">
        <f t="shared" si="2"/>
        <v>79.759674107825902</v>
      </c>
      <c r="BM9" s="40">
        <f t="shared" si="3"/>
        <v>11.209491174704569</v>
      </c>
      <c r="BN9" s="3"/>
      <c r="BO9" s="3"/>
      <c r="BQ9" s="3"/>
      <c r="BR9" s="3"/>
      <c r="BS9" s="3"/>
      <c r="BT9" s="3"/>
      <c r="BU9" s="3"/>
      <c r="BV9" s="359" t="s">
        <v>493</v>
      </c>
    </row>
    <row r="10" spans="1:74" ht="15.75">
      <c r="A10" s="24" t="s">
        <v>102</v>
      </c>
      <c r="B10" s="24"/>
      <c r="C10" s="24"/>
      <c r="D10" s="31">
        <f>MIN(110,MAX(D13:D23)*IF(MAX(D13:D23)/MIN(D13:D23)&lt;4,3,J_*1.2))</f>
        <v>106.30394709518805</v>
      </c>
      <c r="E10" s="30"/>
      <c r="F10" s="24"/>
      <c r="G10" s="31">
        <f>MIN(110,MAX(G13:G23)*IF(MAX(G13:G23)/MIN(G13:G23)&lt;4,3,J_*1.2))</f>
        <v>110</v>
      </c>
      <c r="H10" s="30"/>
      <c r="I10" s="24"/>
      <c r="J10" s="31">
        <f>MIN(110,MAX(J13:J23)*IF(MAX(J13:J23)/MIN(J13:J23)&lt;4,3,J_*1.2))</f>
        <v>110</v>
      </c>
      <c r="K10" s="30"/>
      <c r="L10" s="24"/>
      <c r="M10" s="31">
        <f>MIN(110,MAX(M13:M23)*IF(MAX(M13:M23)/MIN(M13:M23)&lt;4,3,J_*1.2))</f>
        <v>16.112242420936521</v>
      </c>
      <c r="N10" s="3"/>
      <c r="O10" s="24"/>
      <c r="P10" s="283">
        <f>MIN(110,MAX(P13:P23)*IF(MAX(P13:P23)/MIN(P13:P23)&lt;4,3,J_*1.2))</f>
        <v>110</v>
      </c>
      <c r="Q10" s="321"/>
      <c r="R10" s="24"/>
      <c r="S10" s="283">
        <f>MIN(110,MAX(S13:S23)*IF(MAX(S13:S23)/MIN(S13:S23)&lt;4,3,J_*1.2))</f>
        <v>110</v>
      </c>
      <c r="T10" s="30"/>
      <c r="U10" s="282"/>
      <c r="V10" s="283">
        <f>MIN(110,MAX(V13:V24)*IF(MAX(V13:V24)/MIN(V13:V24)&lt;4,3,J_*1.2))</f>
        <v>110</v>
      </c>
      <c r="W10" s="3"/>
      <c r="X10" s="292">
        <v>50</v>
      </c>
      <c r="Y10" s="283">
        <f>MAX(MIN(110,SOTF_Isc*MIN(AK42:AK53)*1.5),MAX(AK42:AK53)*IF(MAX(AK42:AK53)/MIN(AK42:AK53)&lt;4,3,J_*1.2))*X10/50</f>
        <v>184.70283925488079</v>
      </c>
      <c r="AA10" s="384">
        <f t="shared" si="4"/>
        <v>26.957983288055928</v>
      </c>
      <c r="AB10" s="276">
        <f t="shared" si="5"/>
        <v>31.584292053873163</v>
      </c>
      <c r="AC10" s="276">
        <f t="shared" si="6"/>
        <v>16.063836635669645</v>
      </c>
      <c r="AD10" s="23"/>
      <c r="AE10" s="384">
        <f t="shared" si="7"/>
        <v>10.428098376784057</v>
      </c>
      <c r="AF10" s="276">
        <f t="shared" si="8"/>
        <v>80.737570149832692</v>
      </c>
      <c r="AG10" s="276">
        <f t="shared" si="9"/>
        <v>14.859048887994422</v>
      </c>
      <c r="AH10" s="22"/>
      <c r="AI10" s="3"/>
      <c r="AJ10" s="53">
        <f>DEGREES(ATAN(Characteristic!$P10/NomVPhSF))</f>
        <v>61.389540334034791</v>
      </c>
      <c r="AK10" s="53">
        <f>DEGREES(ATAN(Characteristic!$S10/NomVPhSR))</f>
        <v>61.389540334034791</v>
      </c>
      <c r="AL10" s="53">
        <f>IF(Characteristic!J32&gt;60,63,60)</f>
        <v>60</v>
      </c>
      <c r="AM10" s="53">
        <f>IF(Characteristic!J32&gt;60,63,60)</f>
        <v>60</v>
      </c>
      <c r="AN10" s="3"/>
      <c r="AO10" s="222" t="s">
        <v>495</v>
      </c>
      <c r="AP10" s="334">
        <f>ABS(Z1_C2*SIN(RADIANS(Z1_Ang2-Z1_Blinder1)))</f>
        <v>10.065778583657741</v>
      </c>
      <c r="AQ10" s="334">
        <f>ABS(Z1B_C2*SIN(RADIANS(Z1B_Ang2-Z1B_Blinder1)))</f>
        <v>20.387023631945791</v>
      </c>
      <c r="AR10" s="334">
        <f>ABS(Z2_C2*SIN(RADIANS(Z2_Ang2-Z2_Blinder1)))</f>
        <v>16.924545348958009</v>
      </c>
      <c r="AS10" s="334">
        <f>ABS(Z3_C2*SIN(RADIANS(Z3_Ang2-Z3_Blinder1)))</f>
        <v>0.8269950092475099</v>
      </c>
      <c r="AT10" s="334">
        <f>ABS(Z4_C2*SIN(RADIANS(Z4_Ang2-Z4_Blinder1)))</f>
        <v>30.91419258778134</v>
      </c>
      <c r="AU10" s="334">
        <f>ABS(Z5_C2*SIN(RADIANS(Z5_Ang2-Z5_Blinder1)))</f>
        <v>49.965183913785573</v>
      </c>
      <c r="AV10" s="334">
        <f>ABS(Z1E_C2*SIN(RADIANS(Z1E_Ang2-Z1_Blinder1)))</f>
        <v>3.1534789073922354</v>
      </c>
      <c r="AW10" s="334">
        <f>ABS(Z1BE_C2*SIN(RADIANS(Z1BE_Ang2-Z1B_Blinder1)))</f>
        <v>8.111697983796704</v>
      </c>
      <c r="AX10" s="334">
        <f>ABS(Z2E_C2*SIN(RADIANS(Z2E_Ang2-Z2_Blinder1)))</f>
        <v>5.8958028169712398</v>
      </c>
      <c r="AY10" s="334">
        <f>ABS(Z3E_C2*SIN(RADIANS(Z3E_Ang2-Z3_Blinder1)))</f>
        <v>0.34351574208372948</v>
      </c>
      <c r="AZ10" s="334">
        <f>ABS(Z4E_C2*SIN(RADIANS(Z4E_Ang2-Z4_Blinder1)))</f>
        <v>1.4060746816302145</v>
      </c>
      <c r="BA10" s="334">
        <f>ABS(Z5E_C2*SIN(RADIANS(Z5E_Ang2-Z5_Blinder1)))</f>
        <v>38.037133643980198</v>
      </c>
      <c r="BC10" s="68">
        <v>10</v>
      </c>
      <c r="BD10" s="114">
        <f>R17</f>
        <v>233</v>
      </c>
      <c r="BE10" s="110">
        <f t="shared" si="12"/>
        <v>217</v>
      </c>
      <c r="BF10" s="112">
        <f t="shared" si="12"/>
        <v>220</v>
      </c>
      <c r="BG10" s="112">
        <f t="shared" si="0"/>
        <v>220</v>
      </c>
      <c r="BH10" s="3"/>
      <c r="BI10" s="40">
        <f t="shared" si="1"/>
        <v>31.584292053873163</v>
      </c>
      <c r="BJ10" s="40">
        <f t="shared" si="1"/>
        <v>16.063836635669645</v>
      </c>
      <c r="BK10" s="3"/>
      <c r="BL10" s="40">
        <f t="shared" si="2"/>
        <v>80.737570149832692</v>
      </c>
      <c r="BM10" s="40">
        <f t="shared" si="3"/>
        <v>14.859048887994422</v>
      </c>
      <c r="BN10" s="3"/>
      <c r="BO10" s="3"/>
      <c r="BQ10" s="3"/>
      <c r="BR10" s="3"/>
      <c r="BS10" s="3"/>
      <c r="BT10" s="3" t="s">
        <v>492</v>
      </c>
      <c r="BU10" s="359" t="s">
        <v>26</v>
      </c>
      <c r="BV10" s="359"/>
    </row>
    <row r="11" spans="1:74" ht="15.75">
      <c r="A11" s="84" t="s">
        <v>103</v>
      </c>
      <c r="B11" s="3"/>
      <c r="C11" s="54"/>
      <c r="D11" s="85">
        <f>TestVZ1/J_</f>
        <v>664.39966934492531</v>
      </c>
      <c r="E11" s="86"/>
      <c r="F11" s="3"/>
      <c r="G11" s="85">
        <f>TestVZ1B/J_</f>
        <v>687.5</v>
      </c>
      <c r="H11" s="86"/>
      <c r="I11" s="86"/>
      <c r="J11" s="85">
        <f>TestVZ2/J_</f>
        <v>687.5</v>
      </c>
      <c r="K11" s="86"/>
      <c r="L11" s="86"/>
      <c r="M11" s="85">
        <f>TestVZ3/J_</f>
        <v>100.70151513085325</v>
      </c>
      <c r="O11" s="3"/>
      <c r="P11" s="85">
        <f>TestVZ4/J_</f>
        <v>687.5</v>
      </c>
      <c r="Q11" s="80"/>
      <c r="R11" s="80"/>
      <c r="S11" s="85">
        <f>TestVZ5/J_</f>
        <v>687.5</v>
      </c>
      <c r="T11" s="86"/>
      <c r="U11" s="284"/>
      <c r="V11" s="285">
        <f>V10/J_</f>
        <v>687.5</v>
      </c>
      <c r="W11" s="85"/>
      <c r="X11" s="85"/>
      <c r="Y11" s="285">
        <f>Y10/J_</f>
        <v>1154.3927453430049</v>
      </c>
      <c r="AA11" s="384">
        <f t="shared" si="4"/>
        <v>37</v>
      </c>
      <c r="AB11" s="276">
        <f t="shared" si="5"/>
        <v>21.365421628088605</v>
      </c>
      <c r="AC11" s="276">
        <f t="shared" si="6"/>
        <v>16.100000000000001</v>
      </c>
      <c r="AD11" s="23"/>
      <c r="AE11" s="384">
        <f t="shared" si="7"/>
        <v>12</v>
      </c>
      <c r="AF11" s="276">
        <f t="shared" si="8"/>
        <v>70.063703905407891</v>
      </c>
      <c r="AG11" s="276">
        <f t="shared" si="9"/>
        <v>14.892500000000002</v>
      </c>
      <c r="AH11" s="22"/>
      <c r="AI11" s="3"/>
      <c r="AJ11" s="51" t="s">
        <v>34</v>
      </c>
      <c r="AK11" s="51" t="s">
        <v>35</v>
      </c>
      <c r="AN11" s="3"/>
      <c r="AO11" s="222" t="s">
        <v>496</v>
      </c>
      <c r="AP11" s="334">
        <f>ABS(Z1_C2*COS(RADIANS(Z1_Ang2-Z1_Blinder1)))</f>
        <v>26.178771635935966</v>
      </c>
      <c r="AQ11" s="334">
        <f>ABS(Z1B_C2*COS(RADIANS(Z1B_Ang2-Z1B_Blinder1)))</f>
        <v>43.561820116830027</v>
      </c>
      <c r="AR11" s="334">
        <f>ABS(Z2_C2*COS(RADIANS(Z2_Ang2-Z2_Blinder1)))</f>
        <v>32.647669030386844</v>
      </c>
      <c r="AS11" s="334">
        <f>ABS(Z3_C2*COS(RADIANS(Z3_Ang2-Z3_Blinder1)))</f>
        <v>4.3715360044368632</v>
      </c>
      <c r="AT11" s="334">
        <f>ABS(Z4_C2*COS(RADIANS(Z4_Ang2-Z4_Blinder1)))</f>
        <v>65.32724543856618</v>
      </c>
      <c r="AU11" s="334">
        <f>ABS(Z5_C2*COS(RADIANS(Z5_Ang2-Z5_Blinder1)))</f>
        <v>21.077032210005108</v>
      </c>
      <c r="AV11" s="334">
        <f>ABS(Z1E_C2*COS(RADIANS(Z1E_Ang2-Z1_Blinder1)))</f>
        <v>74.20703720200531</v>
      </c>
      <c r="AW11" s="334">
        <f>ABS(Z1BE_C2*COS(RADIANS(Z1BE_Ang2-Z1B_Blinder1)))</f>
        <v>148.46422146904214</v>
      </c>
      <c r="AX11" s="334">
        <f>ABS(Z2E_C2*COS(RADIANS(Z2E_Ang2-Z2_Blinder1)))</f>
        <v>116.6354628890893</v>
      </c>
      <c r="AY11" s="334">
        <f>ABS(Z3E_C2*COS(RADIANS(Z3E_Ang2-Z3_Blinder1)))</f>
        <v>8.4895658219007153</v>
      </c>
      <c r="AZ11" s="334">
        <f>ABS(Z4E_C2*COS(RADIANS(Z4E_Ang2-Z4_Blinder1)))</f>
        <v>169.47904464768769</v>
      </c>
      <c r="BA11" s="334">
        <f>ABS(Z5E_C2*COS(RADIANS(Z5E_Ang2-Z5_Blinder1)))</f>
        <v>52.307095866995439</v>
      </c>
      <c r="BC11" s="68">
        <v>11</v>
      </c>
      <c r="BD11" s="114">
        <f>R19</f>
        <v>237</v>
      </c>
      <c r="BE11" s="110">
        <f t="shared" si="12"/>
        <v>270</v>
      </c>
      <c r="BF11" s="112">
        <f t="shared" si="12"/>
        <v>270</v>
      </c>
      <c r="BG11" s="112">
        <f t="shared" si="0"/>
        <v>270</v>
      </c>
      <c r="BH11" s="3"/>
      <c r="BI11" s="40">
        <f t="shared" si="1"/>
        <v>21.365421628088605</v>
      </c>
      <c r="BJ11" s="40">
        <f t="shared" si="1"/>
        <v>16.100000000000001</v>
      </c>
      <c r="BK11" s="3"/>
      <c r="BL11" s="40">
        <f t="shared" si="2"/>
        <v>70.063703905407891</v>
      </c>
      <c r="BM11" s="40">
        <f t="shared" si="3"/>
        <v>14.892500000000002</v>
      </c>
      <c r="BN11" s="3"/>
      <c r="BO11" s="3"/>
      <c r="BQ11" s="3"/>
      <c r="BR11" s="3"/>
      <c r="BS11" s="3"/>
      <c r="BT11" s="3"/>
      <c r="BU11" s="1"/>
      <c r="BV11" s="3"/>
    </row>
    <row r="12" spans="1:74" ht="15.75">
      <c r="A12" s="24"/>
      <c r="B12" s="3"/>
      <c r="C12" s="32" t="s">
        <v>32</v>
      </c>
      <c r="D12" s="32" t="s">
        <v>33</v>
      </c>
      <c r="E12" s="93"/>
      <c r="F12" s="32" t="s">
        <v>32</v>
      </c>
      <c r="G12" s="32" t="s">
        <v>33</v>
      </c>
      <c r="H12" s="93"/>
      <c r="I12" s="32" t="s">
        <v>32</v>
      </c>
      <c r="J12" s="32" t="s">
        <v>33</v>
      </c>
      <c r="K12" s="93"/>
      <c r="L12" s="32" t="s">
        <v>32</v>
      </c>
      <c r="M12" s="32" t="s">
        <v>33</v>
      </c>
      <c r="O12" s="43" t="s">
        <v>71</v>
      </c>
      <c r="P12" s="32" t="s">
        <v>36</v>
      </c>
      <c r="R12" s="43" t="s">
        <v>71</v>
      </c>
      <c r="S12" s="32" t="s">
        <v>36</v>
      </c>
      <c r="T12" s="93"/>
      <c r="U12" s="286" t="s">
        <v>32</v>
      </c>
      <c r="V12" s="286" t="s">
        <v>33</v>
      </c>
      <c r="W12" s="3"/>
      <c r="X12" s="32" t="s">
        <v>32</v>
      </c>
      <c r="Y12" s="32" t="s">
        <v>33</v>
      </c>
      <c r="Z12" s="142" t="s">
        <v>525</v>
      </c>
      <c r="AA12" s="384">
        <f t="shared" si="4"/>
        <v>63.5</v>
      </c>
      <c r="AB12" s="276">
        <f t="shared" si="5"/>
        <v>8.0271638896602475</v>
      </c>
      <c r="AC12" s="276">
        <f t="shared" si="6"/>
        <v>16.100000000000001</v>
      </c>
      <c r="AD12" s="23"/>
      <c r="AE12" s="384">
        <f t="shared" si="7"/>
        <v>51</v>
      </c>
      <c r="AF12" s="276">
        <f t="shared" si="8"/>
        <v>12.059708714356647</v>
      </c>
      <c r="AG12" s="276">
        <f t="shared" si="9"/>
        <v>14.892500000000002</v>
      </c>
      <c r="AH12" s="22"/>
      <c r="AI12" s="3"/>
      <c r="AJ12" s="51" t="s">
        <v>37</v>
      </c>
      <c r="AK12" s="51" t="s">
        <v>37</v>
      </c>
      <c r="AN12" s="3"/>
      <c r="AO12" s="222" t="s">
        <v>497</v>
      </c>
      <c r="AP12" s="334">
        <f>(AP10*(TAN(RADIANS(90-Slope+Z1_Blinder1))))</f>
        <v>0.17569881873080792</v>
      </c>
      <c r="AQ12" s="334">
        <f>(AQ10*(TAN(RADIANS(90-Slope+Z1B_Blinder1))))</f>
        <v>0.35585682118872008</v>
      </c>
      <c r="AR12" s="334">
        <f>(AR10*(TAN(RADIANS(90-Slope+Z2_Blinder1))))</f>
        <v>0.295419037946625</v>
      </c>
      <c r="AS12" s="334">
        <f>(AS10*(TAN(RADIANS(90-Slope+Z3_Blinder1))))</f>
        <v>1.4435251581727291E-2</v>
      </c>
      <c r="AT12" s="334">
        <f>(AT10*(TAN(RADIANS(90-Slope+Z4_Blinder1))))</f>
        <v>0.53960923882314615</v>
      </c>
      <c r="AU12" s="334">
        <f>(AU10*(TAN(RADIANS(90-Slope+Z5_Blinder1))))</f>
        <v>0.8721455293654663</v>
      </c>
      <c r="AV12" s="334">
        <f>(AV10*(TAN(RADIANS(90-Slope+Z1_Blinder1))))</f>
        <v>5.5044179078296118E-2</v>
      </c>
      <c r="AW12" s="334">
        <f>(AW10*(TAN(RADIANS(90-Slope+Z1B_Blinder1))))</f>
        <v>0.14159021498526314</v>
      </c>
      <c r="AX12" s="334">
        <f>(AX10*(TAN(RADIANS(90-Slope+Z2_Blinder1))))</f>
        <v>0.10291162097420113</v>
      </c>
      <c r="AY12" s="334">
        <f>(AY10*(TAN(RADIANS(90-Slope+Z3_Blinder1))))</f>
        <v>5.9960895819363867E-3</v>
      </c>
      <c r="AZ12" s="334">
        <f>(AZ10*(TAN(RADIANS(90-Slope+Z4_Blinder1))))</f>
        <v>2.4543124861778266E-2</v>
      </c>
      <c r="BA12" s="334">
        <f>(BA10*(TAN(RADIANS(90-Slope+Z5_Blinder1))))</f>
        <v>0.66394063743896869</v>
      </c>
      <c r="BC12" s="68">
        <v>12</v>
      </c>
      <c r="BD12" s="114">
        <f>R21</f>
        <v>270</v>
      </c>
      <c r="BE12" s="110">
        <f t="shared" si="12"/>
        <v>323</v>
      </c>
      <c r="BF12" s="112">
        <f t="shared" si="12"/>
        <v>320</v>
      </c>
      <c r="BG12" s="112">
        <f t="shared" si="0"/>
        <v>320</v>
      </c>
      <c r="BH12" s="3"/>
      <c r="BI12" s="40">
        <f t="shared" si="1"/>
        <v>8.0271638896602475</v>
      </c>
      <c r="BJ12" s="40">
        <f t="shared" si="1"/>
        <v>16.100000000000001</v>
      </c>
      <c r="BK12" s="3"/>
      <c r="BL12" s="40">
        <f t="shared" si="2"/>
        <v>12.059708714356647</v>
      </c>
      <c r="BM12" s="40">
        <f t="shared" si="3"/>
        <v>14.892500000000002</v>
      </c>
      <c r="BN12" s="3"/>
      <c r="BO12" s="3"/>
      <c r="BQ12" s="3"/>
      <c r="BR12" s="3"/>
      <c r="BS12" s="3"/>
      <c r="BT12" s="3" t="s">
        <v>496</v>
      </c>
      <c r="BU12" s="359" t="s">
        <v>497</v>
      </c>
      <c r="BV12" s="3"/>
    </row>
    <row r="13" spans="1:74" ht="15.75">
      <c r="A13" s="34"/>
      <c r="B13" s="3"/>
      <c r="C13" s="33">
        <f>_Dir1+AngQ4+DirDelta</f>
        <v>-14</v>
      </c>
      <c r="D13" s="36">
        <f>MIN(ABS($G$85),Z1_Mag2,ABS(2*X_1/SIN(RADIANS(C13))))</f>
        <v>26.354470454666775</v>
      </c>
      <c r="E13" s="159"/>
      <c r="F13" s="33">
        <f>Dir1B+AngQ4+DirDelta</f>
        <v>-14</v>
      </c>
      <c r="G13" s="36">
        <f>MIN(ABS($G$85),Z1B_Mag2,ABS(2*X_1B/SIN(RADIANS(F13))))</f>
        <v>43.917676938018751</v>
      </c>
      <c r="H13" s="59"/>
      <c r="I13" s="33">
        <f>_Dir2+AngQ4+DirDelta</f>
        <v>-14</v>
      </c>
      <c r="J13" s="36">
        <f>MIN(ABS($G$85),Z2_Mag2,ABS(2*X_2/SIN(RADIANS(I13))))</f>
        <v>32.943088068333466</v>
      </c>
      <c r="K13" s="22"/>
      <c r="L13" s="33">
        <f>_Dir3+AngQ4+DirDelta</f>
        <v>166</v>
      </c>
      <c r="M13" s="36">
        <f>MIN(ABS($G$85),Z3_Mag2,ABS(2*X_3/SIN(RADIANS(L13))))</f>
        <v>4.3859712560185908</v>
      </c>
      <c r="O13" s="33">
        <f>_Dir4+AngQ4+DirDelta</f>
        <v>-14</v>
      </c>
      <c r="P13" s="36">
        <f>MIN(ABS($G$85),Z4_Mag2,ABS(2*X_4/SIN(RADIANS(O13))))</f>
        <v>65.866854677389327</v>
      </c>
      <c r="Q13" s="3"/>
      <c r="R13" s="33">
        <f>_Dir5+AngQ4+DirDelta</f>
        <v>166</v>
      </c>
      <c r="S13" s="36">
        <f>MIN(ABS($G$85),Z5_mag2,ABS(2*X_5/SIN(RADIANS(R13))))</f>
        <v>21.949177739370572</v>
      </c>
      <c r="T13" s="22"/>
      <c r="U13" s="287">
        <f>IF(V13="","",AM30)</f>
        <v>-14</v>
      </c>
      <c r="V13" s="277">
        <f>IF(AM42=0,"",AM42)</f>
        <v>43.917676938018751</v>
      </c>
      <c r="W13" s="3"/>
      <c r="X13" s="358">
        <f>AK30</f>
        <v>-39.079693088446213</v>
      </c>
      <c r="Y13" s="277">
        <f t="shared" ref="Y13:Y24" si="13">MAX(AK42,TestVSOTF/SOTF_Isc)</f>
        <v>92.351419627440393</v>
      </c>
      <c r="Z13" s="409">
        <f t="shared" ref="Z13:Z24" si="14">TestVSOTF/Y13</f>
        <v>2</v>
      </c>
      <c r="AA13" s="384">
        <f t="shared" si="4"/>
        <v>90</v>
      </c>
      <c r="AB13" s="276">
        <f t="shared" si="5"/>
        <v>9.8624450620143911E-16</v>
      </c>
      <c r="AC13" s="276">
        <f t="shared" si="6"/>
        <v>16.100000000000001</v>
      </c>
      <c r="AD13" s="23"/>
      <c r="AE13" s="384">
        <f t="shared" si="7"/>
        <v>90</v>
      </c>
      <c r="AF13" s="276">
        <f t="shared" si="8"/>
        <v>9.1227616823633125E-16</v>
      </c>
      <c r="AG13" s="276">
        <f t="shared" si="9"/>
        <v>14.892500000000002</v>
      </c>
      <c r="AH13" s="22"/>
      <c r="AI13" s="3"/>
      <c r="AJ13" s="53">
        <f>Vh</f>
        <v>60</v>
      </c>
      <c r="AK13" s="53">
        <f>Vh</f>
        <v>60</v>
      </c>
      <c r="AN13" s="3"/>
      <c r="AO13" s="365" t="s">
        <v>522</v>
      </c>
      <c r="AP13" s="401">
        <f t="shared" ref="AP13:AU13" si="15">AP11+AP12</f>
        <v>26.354470454666775</v>
      </c>
      <c r="AQ13" s="401">
        <f t="shared" si="15"/>
        <v>43.917676938018751</v>
      </c>
      <c r="AR13" s="401">
        <f t="shared" si="15"/>
        <v>32.943088068333466</v>
      </c>
      <c r="AS13" s="401">
        <f t="shared" si="15"/>
        <v>4.3859712560185908</v>
      </c>
      <c r="AT13" s="401">
        <f t="shared" si="15"/>
        <v>65.866854677389327</v>
      </c>
      <c r="AU13" s="401">
        <f t="shared" si="15"/>
        <v>21.949177739370572</v>
      </c>
      <c r="AV13" s="401">
        <f t="shared" ref="AV13:BA13" si="16">AV11+AV12</f>
        <v>74.262081381083604</v>
      </c>
      <c r="AW13" s="401">
        <f t="shared" si="16"/>
        <v>148.6058116840274</v>
      </c>
      <c r="AX13" s="401">
        <f t="shared" si="16"/>
        <v>116.73837451006349</v>
      </c>
      <c r="AY13" s="401">
        <f t="shared" si="16"/>
        <v>8.4955619114826515</v>
      </c>
      <c r="AZ13" s="401">
        <f t="shared" si="16"/>
        <v>169.50358777254945</v>
      </c>
      <c r="BA13" s="401">
        <f t="shared" si="16"/>
        <v>52.971036504434409</v>
      </c>
      <c r="BC13" s="68">
        <v>13</v>
      </c>
      <c r="BD13" s="114">
        <f>R22</f>
        <v>278.87168927945845</v>
      </c>
      <c r="BE13" s="110">
        <f t="shared" si="12"/>
        <v>343</v>
      </c>
      <c r="BF13" s="112">
        <f t="shared" si="12"/>
        <v>340</v>
      </c>
      <c r="BG13" s="112">
        <f t="shared" si="0"/>
        <v>340</v>
      </c>
      <c r="BH13" s="3"/>
      <c r="BI13" s="40">
        <f t="shared" si="1"/>
        <v>9.8624450620143911E-16</v>
      </c>
      <c r="BJ13" s="40">
        <f t="shared" si="1"/>
        <v>16.100000000000001</v>
      </c>
      <c r="BK13" s="3"/>
      <c r="BL13" s="40">
        <f t="shared" si="2"/>
        <v>9.1227616823633125E-16</v>
      </c>
      <c r="BM13" s="40">
        <f t="shared" si="3"/>
        <v>14.892500000000002</v>
      </c>
      <c r="BN13" s="3"/>
      <c r="BO13" s="3"/>
      <c r="BQ13" s="3"/>
      <c r="BR13" s="3"/>
      <c r="BS13" s="3"/>
      <c r="BT13" s="3"/>
      <c r="BU13" s="3"/>
      <c r="BV13" s="3"/>
    </row>
    <row r="14" spans="1:74" ht="15.75">
      <c r="A14" s="22"/>
      <c r="B14" s="3"/>
      <c r="C14" s="546">
        <f>Z1_Ang2</f>
        <v>-35.031829656879452</v>
      </c>
      <c r="D14" s="547" t="str">
        <f>IF(C14&gt;C13,Z1_C2,"")</f>
        <v/>
      </c>
      <c r="E14" s="548"/>
      <c r="F14" s="546">
        <f>Z1B_Ang2</f>
        <v>-39.079693088446213</v>
      </c>
      <c r="G14" s="547" t="str">
        <f>IF(F14&gt;F13,Z1B_C2,"")</f>
        <v/>
      </c>
      <c r="H14" s="549"/>
      <c r="I14" s="546">
        <f>Z2_Ang2</f>
        <v>-41.402214761334271</v>
      </c>
      <c r="J14" s="547" t="str">
        <f>IF(I14&gt;I13,Z2_C2,"")</f>
        <v/>
      </c>
      <c r="K14" s="548"/>
      <c r="L14" s="546">
        <f>Z3_Ang2</f>
        <v>155.28753930789912</v>
      </c>
      <c r="M14" s="547" t="str">
        <f>IF(L14&gt;L13,Z3_C2,"")</f>
        <v/>
      </c>
      <c r="N14" s="550"/>
      <c r="O14" s="546">
        <f>Z4_Ang2</f>
        <v>-39.324472910204427</v>
      </c>
      <c r="P14" s="547" t="str">
        <f>IF(O14&gt;O13,Z4_C2,"")</f>
        <v/>
      </c>
      <c r="Q14" s="551"/>
      <c r="R14" s="546">
        <f>Z5_Ang2</f>
        <v>98.871689279458479</v>
      </c>
      <c r="S14" s="547" t="str">
        <f>IF(R14&gt;R13,Z5_C2,"")</f>
        <v/>
      </c>
      <c r="T14" s="22"/>
      <c r="U14" s="287">
        <f t="shared" ref="U14:U24" si="17">IF(V14="","",AM31)</f>
        <v>0</v>
      </c>
      <c r="V14" s="277">
        <f t="shared" ref="V14:V24" si="18">IF(AM43=0,"",AM43)</f>
        <v>45.46</v>
      </c>
      <c r="W14" s="3"/>
      <c r="X14" s="358">
        <f t="shared" ref="X14:X24" si="19">AK31</f>
        <v>0</v>
      </c>
      <c r="Y14" s="277">
        <f t="shared" si="13"/>
        <v>92.351419627440393</v>
      </c>
      <c r="Z14" s="409">
        <f t="shared" si="14"/>
        <v>2</v>
      </c>
      <c r="AA14" s="384">
        <f t="shared" si="4"/>
        <v>144.96817034312056</v>
      </c>
      <c r="AB14" s="276">
        <f t="shared" si="5"/>
        <v>9.8624450620143911E-16</v>
      </c>
      <c r="AC14" s="276">
        <f t="shared" si="6"/>
        <v>16.100000000000001</v>
      </c>
      <c r="AD14" s="23"/>
      <c r="AE14" s="384">
        <f t="shared" si="7"/>
        <v>168.4333593380118</v>
      </c>
      <c r="AF14" s="276">
        <f t="shared" si="8"/>
        <v>9.1227616823633125E-16</v>
      </c>
      <c r="AG14" s="276">
        <f t="shared" si="9"/>
        <v>14.892500000000002</v>
      </c>
      <c r="AH14" s="22"/>
      <c r="AI14" s="3"/>
      <c r="AJ14" s="51" t="s">
        <v>38</v>
      </c>
      <c r="AK14" s="51" t="s">
        <v>38</v>
      </c>
      <c r="AN14" s="3"/>
      <c r="AO14" s="373"/>
      <c r="AP14" s="374"/>
      <c r="AQ14" s="374"/>
      <c r="AR14" s="374"/>
      <c r="AS14" s="374"/>
      <c r="AT14" s="374"/>
      <c r="AU14" s="374"/>
      <c r="AV14" s="374"/>
      <c r="AW14" s="374"/>
      <c r="AX14" s="374"/>
      <c r="AY14" s="374"/>
      <c r="AZ14" s="374"/>
      <c r="BA14" s="374"/>
      <c r="BC14" s="68">
        <v>14</v>
      </c>
      <c r="BD14" s="113">
        <f>P13</f>
        <v>65.866854677389327</v>
      </c>
      <c r="BE14" s="111">
        <f>D15</f>
        <v>27.28</v>
      </c>
      <c r="BF14" s="109">
        <f>G15</f>
        <v>45.46</v>
      </c>
      <c r="BG14" s="109">
        <f t="shared" si="0"/>
        <v>45.46</v>
      </c>
      <c r="BH14" s="3"/>
      <c r="BI14" s="40">
        <f t="shared" si="1"/>
        <v>9.8624450620143911E-16</v>
      </c>
      <c r="BJ14" s="40">
        <f t="shared" si="1"/>
        <v>16.100000000000001</v>
      </c>
      <c r="BK14" s="3"/>
      <c r="BL14" s="40">
        <f t="shared" si="2"/>
        <v>9.1227616823633125E-16</v>
      </c>
      <c r="BM14" s="40">
        <f t="shared" si="3"/>
        <v>14.892500000000002</v>
      </c>
      <c r="BN14" s="3"/>
      <c r="BO14" s="3"/>
      <c r="BQ14" s="3"/>
      <c r="BR14" s="3"/>
      <c r="BS14" s="3"/>
      <c r="BT14" s="3"/>
      <c r="BU14" s="3" t="s">
        <v>495</v>
      </c>
      <c r="BV14" s="3"/>
    </row>
    <row r="15" spans="1:74" ht="15.75">
      <c r="B15" s="3"/>
      <c r="C15" s="33">
        <f>0+_Dir1</f>
        <v>0</v>
      </c>
      <c r="D15" s="36">
        <f>MIN(2*R_1,$G$83)</f>
        <v>27.28</v>
      </c>
      <c r="E15" s="22"/>
      <c r="F15" s="33">
        <f>0+Dir1B</f>
        <v>0</v>
      </c>
      <c r="G15" s="36">
        <f>MIN(2*R_1B,$G$83)</f>
        <v>45.46</v>
      </c>
      <c r="H15" s="59"/>
      <c r="I15" s="33">
        <f>0+_Dir2</f>
        <v>0</v>
      </c>
      <c r="J15" s="36">
        <f>MIN(2*R_2,$G$83)</f>
        <v>34.1</v>
      </c>
      <c r="K15" s="22"/>
      <c r="L15" s="33">
        <f>0+_Dir3</f>
        <v>180</v>
      </c>
      <c r="M15" s="36">
        <f>MIN(2*R_3,$G$83)</f>
        <v>4.54</v>
      </c>
      <c r="O15" s="33">
        <f>0+_Dir4</f>
        <v>0</v>
      </c>
      <c r="P15" s="36">
        <f>MIN(2*R_4,$G$83)</f>
        <v>68.180000000000007</v>
      </c>
      <c r="Q15" s="3"/>
      <c r="R15" s="33">
        <f>0+_Dir5</f>
        <v>180</v>
      </c>
      <c r="S15" s="36">
        <f>MIN(2*R_5,$G$83)</f>
        <v>22.72</v>
      </c>
      <c r="T15" s="3"/>
      <c r="U15" s="287">
        <f t="shared" si="17"/>
        <v>10</v>
      </c>
      <c r="V15" s="277">
        <f t="shared" si="18"/>
        <v>48.450414628651245</v>
      </c>
      <c r="W15" s="3"/>
      <c r="X15" s="358">
        <f t="shared" si="19"/>
        <v>10</v>
      </c>
      <c r="Y15" s="277">
        <f t="shared" si="13"/>
        <v>92.351419627440393</v>
      </c>
      <c r="Z15" s="409">
        <f t="shared" si="14"/>
        <v>2</v>
      </c>
      <c r="AA15" s="384">
        <f t="shared" si="4"/>
        <v>112</v>
      </c>
      <c r="AB15" s="276">
        <f t="shared" si="5"/>
        <v>-6.5048222359460262</v>
      </c>
      <c r="AC15" s="276">
        <f t="shared" si="6"/>
        <v>16.100000000000001</v>
      </c>
      <c r="AD15" s="23"/>
      <c r="AE15" s="384">
        <f t="shared" si="7"/>
        <v>110</v>
      </c>
      <c r="AF15" s="276">
        <f t="shared" si="8"/>
        <v>-5.4204267138094187</v>
      </c>
      <c r="AG15" s="276">
        <f t="shared" si="9"/>
        <v>14.892500000000002</v>
      </c>
      <c r="AH15" s="22"/>
      <c r="AI15" s="3"/>
      <c r="AJ15" s="53">
        <f>DEGREES(ATAN(Characteristic!$D10/NomVPh1))</f>
        <v>60.558778364691278</v>
      </c>
      <c r="AK15" s="53">
        <f>DEGREES(ATAN(Characteristic!$J10/NomVPh1))</f>
        <v>61.389540334034791</v>
      </c>
      <c r="AN15" s="3"/>
      <c r="AO15" s="373"/>
      <c r="AP15" s="374"/>
      <c r="AQ15" s="374"/>
      <c r="AR15" s="374"/>
      <c r="AS15" s="374"/>
      <c r="AT15" s="374"/>
      <c r="AU15" s="374"/>
      <c r="AV15" s="374"/>
      <c r="AW15" s="374"/>
      <c r="AX15" s="374"/>
      <c r="AY15" s="374"/>
      <c r="AZ15" s="374"/>
      <c r="BA15" s="374"/>
      <c r="BC15" s="68">
        <v>15</v>
      </c>
      <c r="BD15" s="113">
        <f>P15</f>
        <v>68.180000000000007</v>
      </c>
      <c r="BE15" s="111">
        <f>D17</f>
        <v>31.071889272074181</v>
      </c>
      <c r="BF15" s="109">
        <f>G17</f>
        <v>53.605418394841379</v>
      </c>
      <c r="BG15" s="109">
        <f t="shared" si="0"/>
        <v>53.605418394841379</v>
      </c>
      <c r="BH15" s="3"/>
      <c r="BI15" s="40">
        <f t="shared" si="1"/>
        <v>-6.5048222359460262</v>
      </c>
      <c r="BJ15" s="40">
        <f t="shared" si="1"/>
        <v>16.100000000000001</v>
      </c>
      <c r="BK15" s="3"/>
      <c r="BL15" s="40">
        <f t="shared" si="2"/>
        <v>-5.4204267138094187</v>
      </c>
      <c r="BM15" s="40">
        <f t="shared" si="3"/>
        <v>14.892500000000002</v>
      </c>
      <c r="BN15" s="3"/>
      <c r="BO15" s="3"/>
      <c r="BQ15" s="3"/>
      <c r="BR15" s="3"/>
      <c r="BS15" s="3"/>
      <c r="BT15" s="3"/>
      <c r="BU15" s="3"/>
      <c r="BV15" s="3"/>
    </row>
    <row r="16" spans="1:74" ht="15.75">
      <c r="B16" s="80"/>
      <c r="C16" s="33">
        <f>IF(H86=1,$F$84+_Dir1,(C17+C15)/2)</f>
        <v>8.5</v>
      </c>
      <c r="D16" s="36">
        <f>MIN(ABS(2*R_1*SIN(RADIANS(180-Slope))/SIN(RADIANS(Slope-C16))),$G$84)</f>
        <v>28.733620923180411</v>
      </c>
      <c r="F16" s="33">
        <f>IF(I86=1,$F$84+Dir1B,(F17+F15)/2)</f>
        <v>10</v>
      </c>
      <c r="G16" s="36">
        <f>MIN(ABS(2*R_1B*SIN(RADIANS(180-Slope))/SIN(RADIANS(Slope-F16))),$G$84)</f>
        <v>48.450414628651245</v>
      </c>
      <c r="I16" s="33">
        <f>IF(J86=1,$F$84+_Dir2,(I17+I15)/2)</f>
        <v>10.5</v>
      </c>
      <c r="J16" s="36">
        <f>MIN(ABS(2*R_2*SIN(RADIANS(180-Slope))/SIN(RADIANS(Slope-I16))),$G$84)</f>
        <v>36.493028689452643</v>
      </c>
      <c r="L16" s="33">
        <f>IF(K86=1,$F$84+_Dir3,(L17+L15)/2)</f>
        <v>189</v>
      </c>
      <c r="M16" s="36">
        <f>MIN(ABS(2*R_3*SIN(RADIANS(180-Slope))/SIN(RADIANS(Slope-L16))),$G$84)</f>
        <v>4.8003120311808258</v>
      </c>
      <c r="O16" s="33">
        <f>IF(L86=1,$F$84+_Dir4,(O17+O15)/2)</f>
        <v>10</v>
      </c>
      <c r="P16" s="36">
        <f>MIN(ABS(2*R_4*SIN(RADIANS(180-Slope))/SIN(RADIANS(Slope-O16))),$G$84)</f>
        <v>72.664964130696049</v>
      </c>
      <c r="R16" s="33">
        <f>IF(M86=1,$F$84+_Dir5,(R17+R15)/2)</f>
        <v>206.5</v>
      </c>
      <c r="S16" s="36">
        <f>MIN(ABS(2*R_5*SIN(RADIANS(180-Slope))/SIN(RADIANS(Slope-R16))),$G$84)</f>
        <v>29.301912201389374</v>
      </c>
      <c r="T16" s="22"/>
      <c r="U16" s="287">
        <f t="shared" si="17"/>
        <v>20</v>
      </c>
      <c r="V16" s="277">
        <f t="shared" si="18"/>
        <v>53.605418394841379</v>
      </c>
      <c r="W16" s="3"/>
      <c r="X16" s="358">
        <f t="shared" si="19"/>
        <v>29.502840761917749</v>
      </c>
      <c r="Y16" s="277">
        <f t="shared" si="13"/>
        <v>92.351419627440393</v>
      </c>
      <c r="Z16" s="409">
        <f t="shared" si="14"/>
        <v>2</v>
      </c>
      <c r="AA16" s="382" t="s">
        <v>15</v>
      </c>
      <c r="AB16" s="383">
        <f>COS(RADIANS($F13))*$G13</f>
        <v>42.613134240929483</v>
      </c>
      <c r="AC16" s="383">
        <f>SIN(RADIANS($F13))*$G13</f>
        <v>-10.624647655179308</v>
      </c>
      <c r="AD16" s="23"/>
      <c r="AE16" s="382" t="s">
        <v>15</v>
      </c>
      <c r="AF16" s="383">
        <f>COS(RADIANS($F35))*$G35</f>
        <v>112.48636206194631</v>
      </c>
      <c r="AG16" s="383">
        <f>SIN(RADIANS($F35))*$G35</f>
        <v>-28.046000000000003</v>
      </c>
      <c r="AH16" s="22"/>
      <c r="AI16" s="3"/>
      <c r="AJ16" s="51" t="s">
        <v>39</v>
      </c>
      <c r="AK16" s="51" t="s">
        <v>40</v>
      </c>
      <c r="AN16" s="3"/>
      <c r="AO16" s="222" t="s">
        <v>508</v>
      </c>
      <c r="AP16" s="334">
        <f>ABS((COS(RADIANS(180-Z1_Blinder2)))*R_1)</f>
        <v>5.109633934193039</v>
      </c>
      <c r="AQ16" s="334">
        <f>ABS((COS(RADIANS(180-Z1B_Blinder2)))*R_1B)</f>
        <v>8.514807868343679</v>
      </c>
      <c r="AR16" s="334">
        <f>ABS((COS(RADIANS(180-Z2_Blinder2)))*R_2)</f>
        <v>6.3870424177412994</v>
      </c>
      <c r="AS16" s="334">
        <f>ABS((COS(RADIANS(180-Z3_Blinder2)))*R_3)</f>
        <v>0.85035696705412045</v>
      </c>
      <c r="AT16" s="334">
        <f>ABS((COS(RADIANS(180-Z4_Blinder2)))*R_4)</f>
        <v>12.77033876954844</v>
      </c>
      <c r="AU16" s="334">
        <f>ABS((COS(RADIANS(180-Z5_Blinder2)))*R_5)</f>
        <v>4.2555309012047609</v>
      </c>
      <c r="AV16" s="334">
        <f>ABS((COS(RADIANS(180-Z1_Blinder2)))*ER_1)</f>
        <v>28.753341144891088</v>
      </c>
      <c r="AW16" s="334">
        <f>ABS((COS(RADIANS(180-Z1B_Blinder2)))*ER_1B)</f>
        <v>57.513912197035083</v>
      </c>
      <c r="AX16" s="334">
        <f>ABS((COS(RADIANS(180-Z2_Blinder2)))*ER_2)</f>
        <v>45.186920330794386</v>
      </c>
      <c r="AY16" s="334">
        <f>ABS((COS(RADIANS(180-Z3_Blinder2)))*ER_3)</f>
        <v>3.2896078000818325</v>
      </c>
      <c r="AZ16" s="334">
        <f>ABS((COS(RADIANS(180-Z4_Blinder2)))*ER_4)</f>
        <v>65.727086836360272</v>
      </c>
      <c r="BA16" s="334">
        <f>ABS((COS(RADIANS(180-Z5_Blinder2)))*ER_5)</f>
        <v>20.540166505565903</v>
      </c>
      <c r="BC16" s="68">
        <v>16</v>
      </c>
      <c r="BD16" s="113">
        <f>P17</f>
        <v>80.396335815228468</v>
      </c>
      <c r="BE16" s="111">
        <f>D19</f>
        <v>26.752406272071983</v>
      </c>
      <c r="BF16" s="109">
        <f>G19</f>
        <v>47.169546430407706</v>
      </c>
      <c r="BG16" s="109">
        <f t="shared" si="0"/>
        <v>47.169546430407706</v>
      </c>
      <c r="BH16" s="3"/>
      <c r="BI16" s="40">
        <f t="shared" si="1"/>
        <v>42.613134240929483</v>
      </c>
      <c r="BJ16" s="40">
        <f t="shared" si="1"/>
        <v>-10.624647655179308</v>
      </c>
      <c r="BK16" s="3"/>
      <c r="BL16" s="40" t="e">
        <f>#REF!*$BM$4</f>
        <v>#REF!</v>
      </c>
      <c r="BM16" s="40" t="e">
        <f>#REF!*$BM$4</f>
        <v>#REF!</v>
      </c>
      <c r="BN16" s="3"/>
      <c r="BO16" s="3"/>
      <c r="BQ16" s="3"/>
      <c r="BR16" s="3"/>
      <c r="BS16" s="3"/>
      <c r="BT16" s="3"/>
      <c r="BU16" s="3"/>
      <c r="BV16" s="3"/>
    </row>
    <row r="17" spans="1:74" ht="15.75">
      <c r="B17" s="80"/>
      <c r="C17" s="33">
        <f>IF(H86=1,$F$84+_Dir1+6,ROUND(IF(AND(Z1_Ang&gt;25,Z1_Ang&lt;65),Z1_Ang-10,IF(OR(Z1_Ang&lt;15,Z1_Ang&gt;80),Z1_Ang-2,Z1_Ang-5)),0))</f>
        <v>17</v>
      </c>
      <c r="D17" s="36">
        <f>ABS(2*R_1*SIN(RADIANS(180-Slope))/SIN(RADIANS(Slope-C17)))</f>
        <v>31.071889272074181</v>
      </c>
      <c r="E17" s="22"/>
      <c r="F17" s="33">
        <f>IF(I86=1,$F$84+Dir1B+6,ROUND(IF(AND(Z1B_Ang&gt;25,Z1B_Ang&lt;65),Z1B_Ang-10,IF(OR(Z1B_Ang&lt;15,Z1B_Ang&gt;80),Z1B_Ang-2,Z1B_Ang-5)),0))</f>
        <v>20</v>
      </c>
      <c r="G17" s="36">
        <f>ABS(2*R_1B*SIN(RADIANS(180-Slope))/SIN(RADIANS(Slope-F17)))</f>
        <v>53.605418394841379</v>
      </c>
      <c r="H17" s="59"/>
      <c r="I17" s="33">
        <f>IF(J86=1,$F$84+_Dir2+6,ROUND(IF(AND(Z2_Ang&gt;25,Z2_Ang&lt;65),Z2_Ang-10,IF(OR(Z2_Ang&lt;15,Z2_Ang&gt;80),Z2_Ang-2,Z2_Ang-5)),0))</f>
        <v>21</v>
      </c>
      <c r="J17" s="36">
        <f>ABS(2*R_2*SIN(RADIANS(180-Slope))/SIN(RADIANS(Slope-I17)))</f>
        <v>40.713694403793617</v>
      </c>
      <c r="K17" s="22"/>
      <c r="L17" s="33">
        <f>IF(K86=1,$F$84+_Dir3+6,ROUND(IF(AND(Z3_Ang&gt;25,Z3_Ang&lt;65),Z3_Ang-10,IF(OR(Z3_Ang&lt;15,Z3_Ang&gt;80),Z3_Ang-2,Z3_Ang-5)),0))</f>
        <v>198</v>
      </c>
      <c r="M17" s="36">
        <f>ABS(2*R_3*SIN(RADIANS(180-Slope))/SIN(RADIANS(Slope-L17)))</f>
        <v>5.2288746248666991</v>
      </c>
      <c r="O17" s="33">
        <f>IF(L86=1,$F$84+_Dir4+6,ROUND(IF(AND(Z4_Ang&gt;25,Z4_Ang&lt;65),Z4_Ang-10,IF(OR(Z4_Ang&lt;15,Z4_Ang&gt;80),Z4_Ang-2,Z4_Ang-5)),0))</f>
        <v>20</v>
      </c>
      <c r="P17" s="36">
        <f>ABS(2*R_4*SIN(RADIANS(180-Slope))/SIN(RADIANS(Slope-O17)))</f>
        <v>80.396335815228468</v>
      </c>
      <c r="Q17" s="3"/>
      <c r="R17" s="33">
        <f>IF(M86=1,$F$84+_Dir5+6,ROUND(IF(AND(Z5_Ang&gt;25,Z5_Ang&lt;65),Z5_Ang-10,IF(OR(Z5_Ang&lt;15,Z5_Ang&gt;80),Z5_Ang-2,Z5_Ang-5)),0))</f>
        <v>233</v>
      </c>
      <c r="S17" s="36">
        <f>ABS(2*R_5*SIN(RADIANS(180-Slope))/SIN(RADIANS(Slope-R17)))</f>
        <v>58.583685282127327</v>
      </c>
      <c r="T17" s="22"/>
      <c r="U17" s="287">
        <f t="shared" si="17"/>
        <v>29.502840761917749</v>
      </c>
      <c r="V17" s="277">
        <f t="shared" si="18"/>
        <v>61.567613084960264</v>
      </c>
      <c r="W17" s="3"/>
      <c r="X17" s="358">
        <f t="shared" si="19"/>
        <v>65</v>
      </c>
      <c r="Y17" s="277">
        <f t="shared" si="13"/>
        <v>92.351419627440393</v>
      </c>
      <c r="Z17" s="409">
        <f t="shared" si="14"/>
        <v>2</v>
      </c>
      <c r="AA17" s="382">
        <f>F14</f>
        <v>-39.079693088446213</v>
      </c>
      <c r="AB17" s="383">
        <f>IF($G14="",AB16,COS(RADIANS($F14))*$G14)</f>
        <v>42.613134240929483</v>
      </c>
      <c r="AC17" s="383">
        <f>IF($G14="",AC16,SIN(RADIANS($F14))*$G14)</f>
        <v>-10.624647655179308</v>
      </c>
      <c r="AD17" s="23"/>
      <c r="AE17" s="382">
        <f>F36</f>
        <v>-10.872617516646374</v>
      </c>
      <c r="AF17" s="383">
        <f>IF($G36="",AF16,COS(RADIANS($F36))*$G36)</f>
        <v>146.01659694907676</v>
      </c>
      <c r="AG17" s="383">
        <f>IF($G36="",AG16,SIN(RADIANS($F36))*$G36)</f>
        <v>-28.046000000000003</v>
      </c>
      <c r="AH17" s="22"/>
      <c r="AI17" s="3"/>
      <c r="AJ17" s="51" t="s">
        <v>37</v>
      </c>
      <c r="AK17" s="51" t="s">
        <v>37</v>
      </c>
      <c r="AO17" s="324" t="s">
        <v>509</v>
      </c>
      <c r="AP17" s="334">
        <f>ABS((SIN(RADIANS(180-Z1_Blinder2)))*R_1)</f>
        <v>12.646787776290981</v>
      </c>
      <c r="AQ17" s="334">
        <f>ABS((SIN(RADIANS(180-Z1B_Blinder2)))*R_1B)</f>
        <v>21.074889014303078</v>
      </c>
      <c r="AR17" s="334">
        <f>ABS((SIN(RADIANS(180-Z2_Blinder2)))*R_2)</f>
        <v>15.808484720363726</v>
      </c>
      <c r="AS17" s="334">
        <f>ABS((SIN(RADIANS(180-Z3_Blinder2)))*R_3)</f>
        <v>2.1047073498666076</v>
      </c>
      <c r="AT17" s="334">
        <f>ABS((SIN(RADIANS(180-Z4_Blinder2)))*R_4)</f>
        <v>31.607697602181787</v>
      </c>
      <c r="AU17" s="334">
        <f>ABS((SIN(RADIANS(180-Z5_Blinder2)))*R_5)</f>
        <v>10.532808587878705</v>
      </c>
      <c r="AV17" s="334">
        <f>ABS((SIN(RADIANS(180-Z1_Blinder2)))*ER_1)</f>
        <v>71.167016659513806</v>
      </c>
      <c r="AW17" s="334">
        <f>ABS((SIN(RADIANS(180-Z1B_Blinder2)))*ER_1B)</f>
        <v>142.35192796742072</v>
      </c>
      <c r="AX17" s="334">
        <f>ABS((SIN(RADIANS(180-Z2_Blinder2)))*ER_2)</f>
        <v>111.84155245711875</v>
      </c>
      <c r="AY17" s="334">
        <f>ABS((SIN(RADIANS(180-Z3_Blinder2)))*ER_3)</f>
        <v>8.1420650188782453</v>
      </c>
      <c r="AZ17" s="334">
        <f>ABS((SIN(RADIANS(180-Z4_Blinder2)))*ER_4)</f>
        <v>162.68024854202662</v>
      </c>
      <c r="BA17" s="334">
        <f>ABS((SIN(RADIANS(180-Z5_Blinder2)))*ER_5)</f>
        <v>50.838696084907895</v>
      </c>
      <c r="BC17" s="68">
        <v>17</v>
      </c>
      <c r="BD17" s="113">
        <f>P19</f>
        <v>71.252151270206895</v>
      </c>
      <c r="BE17" s="111">
        <f>D21</f>
        <v>16.100000000000001</v>
      </c>
      <c r="BF17" s="109">
        <f>G21</f>
        <v>30.32</v>
      </c>
      <c r="BG17" s="109">
        <f t="shared" si="0"/>
        <v>30.32</v>
      </c>
      <c r="BH17" s="3"/>
      <c r="BI17" s="40">
        <f t="shared" si="1"/>
        <v>42.613134240929483</v>
      </c>
      <c r="BJ17" s="40">
        <f t="shared" si="1"/>
        <v>-10.624647655179308</v>
      </c>
      <c r="BK17" s="3"/>
      <c r="BL17" s="40" t="e">
        <f>#REF!*$BM$4</f>
        <v>#REF!</v>
      </c>
      <c r="BM17" s="40" t="e">
        <f>#REF!*$BM$4</f>
        <v>#REF!</v>
      </c>
      <c r="BN17" s="3"/>
      <c r="BO17" s="3"/>
      <c r="BQ17" s="3"/>
      <c r="BR17" s="3"/>
      <c r="BS17" s="3"/>
      <c r="BT17" s="3"/>
      <c r="BU17" s="3"/>
      <c r="BV17" s="3"/>
    </row>
    <row r="18" spans="1:74" ht="15.75">
      <c r="A18" s="58"/>
      <c r="B18" s="3"/>
      <c r="C18" s="366">
        <f>Load_Comp_Ang+_Dir1</f>
        <v>26.957983288055928</v>
      </c>
      <c r="D18" s="367">
        <f>Load_Comp_Z1</f>
        <v>35.43464903172935</v>
      </c>
      <c r="E18" s="368"/>
      <c r="F18" s="366">
        <f>Z1B_Ang</f>
        <v>29.502840761917749</v>
      </c>
      <c r="G18" s="367">
        <f>Z1B_C</f>
        <v>61.567613084960264</v>
      </c>
      <c r="H18" s="369"/>
      <c r="I18" s="366">
        <f>Z2_Ang</f>
        <v>30.911954820577883</v>
      </c>
      <c r="J18" s="367">
        <f>Z2_C</f>
        <v>47.34093842627513</v>
      </c>
      <c r="K18" s="368"/>
      <c r="L18" s="366">
        <f>Z3_Ang</f>
        <v>200.26242541414129</v>
      </c>
      <c r="M18" s="367">
        <f>Z3_C</f>
        <v>5.3707474736455074</v>
      </c>
      <c r="N18" s="370"/>
      <c r="O18" s="366">
        <f>Z4_Ang</f>
        <v>29.652125045045725</v>
      </c>
      <c r="P18" s="367">
        <f>Z4_C</f>
        <v>92.575245352873154</v>
      </c>
      <c r="Q18" s="371"/>
      <c r="R18" s="366">
        <f>Z5_Ang</f>
        <v>235.31723012767432</v>
      </c>
      <c r="S18" s="367">
        <f>Z5_C</f>
        <v>65.157496864629266</v>
      </c>
      <c r="T18" s="22"/>
      <c r="U18" s="287">
        <f t="shared" si="17"/>
        <v>40</v>
      </c>
      <c r="V18" s="277">
        <f t="shared" si="18"/>
        <v>47.169546430407706</v>
      </c>
      <c r="W18" s="3"/>
      <c r="X18" s="358">
        <f t="shared" si="19"/>
        <v>90</v>
      </c>
      <c r="Y18" s="277">
        <f t="shared" si="13"/>
        <v>92.351419627440393</v>
      </c>
      <c r="Z18" s="409">
        <f t="shared" si="14"/>
        <v>2</v>
      </c>
      <c r="AA18" s="382">
        <f t="shared" ref="AA18:AA26" si="20">F15</f>
        <v>0</v>
      </c>
      <c r="AB18" s="383">
        <f t="shared" ref="AB18:AB26" si="21">IF($G15="",AB17,COS(RADIANS($F15))*$G15)</f>
        <v>45.46</v>
      </c>
      <c r="AC18" s="383">
        <f t="shared" ref="AC18:AC26" si="22">IF($G15="",AC17,SIN(RADIANS($F15))*$G15)</f>
        <v>0</v>
      </c>
      <c r="AD18" s="23"/>
      <c r="AE18" s="382">
        <f t="shared" ref="AE18:AE26" si="23">F37</f>
        <v>0</v>
      </c>
      <c r="AF18" s="383">
        <f t="shared" ref="AF18:AF26" si="24">IF($G37="",AF17,COS(RADIANS($F37))*$G37)</f>
        <v>153.53149999999999</v>
      </c>
      <c r="AG18" s="383">
        <f t="shared" ref="AG18:AG26" si="25">IF($G37="",AG17,SIN(RADIANS($F37))*$G37)</f>
        <v>0</v>
      </c>
      <c r="AH18" s="22"/>
      <c r="AI18" s="3"/>
      <c r="AJ18" s="53">
        <f>Vh</f>
        <v>60</v>
      </c>
      <c r="AK18" s="53">
        <f>Vh</f>
        <v>60</v>
      </c>
      <c r="AO18" s="324" t="s">
        <v>510</v>
      </c>
      <c r="AP18" s="334">
        <f>TAN(RADIANS(Slope+90-Z1_Blinder2))*AP17</f>
        <v>16.782854228659247</v>
      </c>
      <c r="AQ18" s="334">
        <f>TAN(RADIANS(Slope-(Z1B_Blinder2-90)))*AQ17</f>
        <v>27.967322332655762</v>
      </c>
      <c r="AR18" s="334">
        <f>TAN(RADIANS(Slope-(Z2_Blinder2-90)))*AR17</f>
        <v>20.978567785824055</v>
      </c>
      <c r="AS18" s="334">
        <f>TAN(RADIANS(Slope-(Z3_Blinder2-90)))*AS17</f>
        <v>2.7930409896668973</v>
      </c>
      <c r="AT18" s="334">
        <f>TAN(RADIANS(Slope-(Z4_Blinder2-90)))*AT17</f>
        <v>41.944831426319183</v>
      </c>
      <c r="AU18" s="334">
        <f>TAN(RADIANS(Slope-(Z5_Blinder2-90)))*AU17</f>
        <v>13.977509093663414</v>
      </c>
      <c r="AV18" s="334">
        <f>TAN(RADIANS(Slope+90-Z1_Blinder2))*AV17</f>
        <v>94.44182092818123</v>
      </c>
      <c r="AW18" s="334">
        <f>TAN(RADIANS(Slope-(Z1B_Blinder2-90)))*AW17</f>
        <v>188.90738885684726</v>
      </c>
      <c r="AX18" s="334">
        <f>TAN(RADIANS(Slope-(Z2_Blinder2-90)))*AX17</f>
        <v>148.41875303020686</v>
      </c>
      <c r="AY18" s="334">
        <f>TAN(RADIANS(Slope-(Z3_Blinder2-90)))*AY17</f>
        <v>10.804885220599058</v>
      </c>
      <c r="AZ18" s="334">
        <f>TAN(RADIANS(Slope-(Z4_Blinder2-90)))*AZ17</f>
        <v>215.88398140761765</v>
      </c>
      <c r="BA18" s="334">
        <f>TAN(RADIANS(Slope-(Z5_Blinder2-90)))*BA17</f>
        <v>67.46522837741081</v>
      </c>
      <c r="BC18" s="68">
        <v>18</v>
      </c>
      <c r="BD18" s="113">
        <f>P21</f>
        <v>45.8</v>
      </c>
      <c r="BE18" s="111">
        <f>BE16</f>
        <v>26.752406272071983</v>
      </c>
      <c r="BF18" s="109">
        <f>BF16</f>
        <v>47.169546430407706</v>
      </c>
      <c r="BG18" s="109">
        <f t="shared" si="0"/>
        <v>47.169546430407706</v>
      </c>
      <c r="BH18" s="3"/>
      <c r="BI18" s="40">
        <f t="shared" si="1"/>
        <v>45.46</v>
      </c>
      <c r="BJ18" s="40">
        <f t="shared" si="1"/>
        <v>0</v>
      </c>
      <c r="BK18" s="3"/>
      <c r="BL18" s="40" t="e">
        <f>#REF!*$BM$4</f>
        <v>#REF!</v>
      </c>
      <c r="BM18" s="40" t="e">
        <f>#REF!*$BM$4</f>
        <v>#REF!</v>
      </c>
      <c r="BN18" s="3"/>
      <c r="BO18" s="3"/>
      <c r="BP18" s="3"/>
      <c r="BQ18" s="3"/>
      <c r="BR18" s="3"/>
      <c r="BS18" s="3"/>
      <c r="BT18" s="3"/>
      <c r="BU18" s="3"/>
      <c r="BV18" s="3"/>
    </row>
    <row r="19" spans="1:74" ht="15.75">
      <c r="B19" s="3"/>
      <c r="C19" s="287">
        <f>IF(Load_Comp=0,ROUND(IF(AND(Z1_Ang&gt;25,Z1_Ang&lt;65),Z1_Ang+10,IF(OR(Z1_Ang&lt;15,Z1_Ang&gt;80),Z1_Ang+2,Z1_Ang+5)),0),AB135)</f>
        <v>37</v>
      </c>
      <c r="D19" s="277">
        <f>IF(Load_Comp=0,2*ABS(X_1/SIN(RADIANS(C19))),AC135)</f>
        <v>26.752406272071983</v>
      </c>
      <c r="E19" s="3"/>
      <c r="F19" s="33">
        <f>ROUND(IF(AND(Z1B_Ang&gt;25,Z1B_Ang&lt;65),Z1B_Ang+10,IF(OR(Z1B_Ang&lt;15,Z1B_Ang&gt;80),Z1B_Ang+2,Z1B_Ang+5)),0)</f>
        <v>40</v>
      </c>
      <c r="G19" s="36">
        <f>2*ABS(X_1B/SIN(RADIANS(F19)))</f>
        <v>47.169546430407706</v>
      </c>
      <c r="H19" s="59"/>
      <c r="I19" s="33">
        <f>ROUND(IF(AND(Z2_Ang&gt;25,Z2_Ang&lt;65),Z2_Ang+10,IF(OR(Z2_Ang&lt;15,Z2_Ang&gt;80),Z2_Ang+2,Z2_Ang+5)),0)</f>
        <v>41</v>
      </c>
      <c r="J19" s="36">
        <f>2*ABS(X_2/SIN(RADIANS(I19)))</f>
        <v>37.0698350686854</v>
      </c>
      <c r="K19" s="22"/>
      <c r="L19" s="33">
        <f>ROUND(IF(AND(Z3_Ang&gt;25,Z3_Ang&lt;65),Z3_Ang+10,IF(OR(Z3_Ang&lt;15,Z3_Ang&gt;80),Z3_Ang+2,Z3_Ang+5)),0)</f>
        <v>202</v>
      </c>
      <c r="M19" s="36">
        <f>2*ABS(X_3/SIN(RADIANS(L19)))</f>
        <v>4.9652089223504667</v>
      </c>
      <c r="O19" s="33">
        <f>ROUND(IF(AND(Z4_Ang&gt;25,Z4_Ang&lt;65),Z4_Ang+10,IF(OR(Z4_Ang&lt;15,Z4_Ang&gt;80),Z4_Ang+2,Z4_Ang+5)),0)</f>
        <v>40</v>
      </c>
      <c r="P19" s="36">
        <f>2*ABS(X_4/SIN(RADIANS(O19)))</f>
        <v>71.252151270206895</v>
      </c>
      <c r="Q19" s="3"/>
      <c r="R19" s="33">
        <f>ROUND(IF(AND(Z5_Ang&gt;25,Z5_Ang&lt;65),Z5_Ang+10,IF(OR(Z5_Ang&lt;15,Z5_Ang&gt;80),Z5_Ang+2,Z5_Ang+5)),0)</f>
        <v>237</v>
      </c>
      <c r="S19" s="36">
        <f>2*ABS(X_5/SIN(RADIANS(R19)))</f>
        <v>63.886825230150059</v>
      </c>
      <c r="T19" s="22"/>
      <c r="U19" s="287">
        <f t="shared" si="17"/>
        <v>65</v>
      </c>
      <c r="V19" s="277">
        <f t="shared" si="18"/>
        <v>33.454418502942751</v>
      </c>
      <c r="W19" s="3"/>
      <c r="X19" s="358">
        <f t="shared" si="19"/>
        <v>112</v>
      </c>
      <c r="Y19" s="277">
        <f t="shared" si="13"/>
        <v>92.351419627440393</v>
      </c>
      <c r="Z19" s="409">
        <f t="shared" si="14"/>
        <v>2</v>
      </c>
      <c r="AA19" s="382">
        <f t="shared" si="20"/>
        <v>10</v>
      </c>
      <c r="AB19" s="383">
        <f t="shared" si="21"/>
        <v>47.714343962951844</v>
      </c>
      <c r="AC19" s="383">
        <f t="shared" si="22"/>
        <v>8.4133262074724726</v>
      </c>
      <c r="AD19" s="23"/>
      <c r="AE19" s="382">
        <f t="shared" si="23"/>
        <v>4</v>
      </c>
      <c r="AF19" s="383">
        <f t="shared" si="24"/>
        <v>156.46312338051081</v>
      </c>
      <c r="AG19" s="383">
        <f t="shared" si="25"/>
        <v>10.940967404723247</v>
      </c>
      <c r="AH19" s="22"/>
      <c r="AI19" s="3"/>
      <c r="AJ19" s="51" t="s">
        <v>38</v>
      </c>
      <c r="AK19" s="51" t="s">
        <v>38</v>
      </c>
      <c r="AO19" s="381" t="s">
        <v>468</v>
      </c>
      <c r="AP19" s="402">
        <f t="shared" ref="AP19:AU19" si="26">(AP16+AP18)</f>
        <v>21.892488162852285</v>
      </c>
      <c r="AQ19" s="402">
        <f t="shared" si="26"/>
        <v>36.482130200999443</v>
      </c>
      <c r="AR19" s="402">
        <f t="shared" si="26"/>
        <v>27.365610203565353</v>
      </c>
      <c r="AS19" s="402">
        <f t="shared" si="26"/>
        <v>3.6433979567210177</v>
      </c>
      <c r="AT19" s="402">
        <f t="shared" si="26"/>
        <v>54.715170195867621</v>
      </c>
      <c r="AU19" s="402">
        <f t="shared" si="26"/>
        <v>18.233039994868175</v>
      </c>
      <c r="AV19" s="402">
        <f t="shared" ref="AV19:BA19" si="27">(AV16+AV18)</f>
        <v>123.19516207307231</v>
      </c>
      <c r="AW19" s="402">
        <f t="shared" si="27"/>
        <v>246.42130105388236</v>
      </c>
      <c r="AX19" s="402">
        <f t="shared" si="27"/>
        <v>193.60567336100124</v>
      </c>
      <c r="AY19" s="402">
        <f t="shared" si="27"/>
        <v>14.09449302068089</v>
      </c>
      <c r="AZ19" s="402">
        <f t="shared" si="27"/>
        <v>281.61106824397791</v>
      </c>
      <c r="BA19" s="402">
        <f t="shared" si="27"/>
        <v>88.005394882976717</v>
      </c>
      <c r="BB19" s="3"/>
      <c r="BC19" s="68">
        <v>19</v>
      </c>
      <c r="BD19" s="113" t="str">
        <f>P22</f>
        <v/>
      </c>
      <c r="BE19" s="111">
        <f>BE15</f>
        <v>31.071889272074181</v>
      </c>
      <c r="BF19" s="109">
        <f>BF15</f>
        <v>53.605418394841379</v>
      </c>
      <c r="BG19" s="109">
        <f t="shared" si="0"/>
        <v>53.605418394841379</v>
      </c>
      <c r="BH19" s="3"/>
      <c r="BI19" s="40">
        <f t="shared" si="1"/>
        <v>47.714343962951844</v>
      </c>
      <c r="BJ19" s="40">
        <f t="shared" si="1"/>
        <v>8.4133262074724726</v>
      </c>
      <c r="BK19" s="3"/>
      <c r="BL19" s="40" t="e">
        <f>#REF!*$BM$4</f>
        <v>#REF!</v>
      </c>
      <c r="BM19" s="40" t="e">
        <f>#REF!*$BM$4</f>
        <v>#REF!</v>
      </c>
      <c r="BN19" s="3"/>
      <c r="BO19" s="3" t="s">
        <v>495</v>
      </c>
      <c r="BP19" s="3">
        <f>ABS(Z5E_C2*SIN(RADIANS(Z5E_Ang2-Z5_Blinder1)))</f>
        <v>38.037133643980198</v>
      </c>
      <c r="BQ19" s="3"/>
    </row>
    <row r="20" spans="1:74" ht="15.75">
      <c r="B20" s="3"/>
      <c r="C20" s="33">
        <f>IF(Load_Comp=0,(C21+C19)/2,AB134)</f>
        <v>63.5</v>
      </c>
      <c r="D20" s="36">
        <f>IF(Load_Comp=0,2*ABS(X_1/SIN(RADIANS(C20))),AC134)</f>
        <v>17.990146194833034</v>
      </c>
      <c r="F20" s="33">
        <f>(F21+F19)/2</f>
        <v>65</v>
      </c>
      <c r="G20" s="36">
        <f>2*ABS(X_1B/SIN(RADIANS(F20)))</f>
        <v>33.454418502942751</v>
      </c>
      <c r="I20" s="33">
        <f>(I21+I19)/2</f>
        <v>65.5</v>
      </c>
      <c r="J20" s="36">
        <f>2*ABS(X_2/SIN(RADIANS(I20)))</f>
        <v>26.726412187381499</v>
      </c>
      <c r="L20" s="33">
        <f>(L21+L19)/2</f>
        <v>236</v>
      </c>
      <c r="M20" s="36">
        <f>2*ABS(X_3/SIN(RADIANS(L20)))</f>
        <v>2.2435653842172636</v>
      </c>
      <c r="O20" s="33">
        <f>(O21+O19)/2</f>
        <v>65</v>
      </c>
      <c r="P20" s="36">
        <f>2*ABS(X_4/SIN(RADIANS(O20)))</f>
        <v>50.534708688482119</v>
      </c>
      <c r="R20" s="33">
        <f>(R21+R19)/2</f>
        <v>253.5</v>
      </c>
      <c r="S20" s="36">
        <f>2*ABS(X_5/SIN(RADIANS(R20)))</f>
        <v>55.881202744920067</v>
      </c>
      <c r="T20" s="22"/>
      <c r="U20" s="287">
        <f t="shared" si="17"/>
        <v>90</v>
      </c>
      <c r="V20" s="277">
        <f t="shared" si="18"/>
        <v>30.32</v>
      </c>
      <c r="W20" s="3"/>
      <c r="X20" s="358">
        <f t="shared" si="19"/>
        <v>140.92030691155378</v>
      </c>
      <c r="Y20" s="277">
        <f t="shared" si="13"/>
        <v>92.351419627440393</v>
      </c>
      <c r="Z20" s="409">
        <f t="shared" si="14"/>
        <v>2</v>
      </c>
      <c r="AA20" s="382">
        <f t="shared" si="20"/>
        <v>20</v>
      </c>
      <c r="AB20" s="383">
        <f t="shared" si="21"/>
        <v>50.372616099773637</v>
      </c>
      <c r="AC20" s="383">
        <f t="shared" si="22"/>
        <v>18.334132882436087</v>
      </c>
      <c r="AD20" s="23"/>
      <c r="AE20" s="382">
        <f t="shared" si="23"/>
        <v>8</v>
      </c>
      <c r="AF20" s="383">
        <f t="shared" si="24"/>
        <v>159.53940345178648</v>
      </c>
      <c r="AG20" s="383">
        <f t="shared" si="25"/>
        <v>22.421800929035662</v>
      </c>
      <c r="AH20" s="22"/>
      <c r="AI20" s="3"/>
      <c r="AJ20" s="53">
        <f>DEGREES(ATAN(Characteristic!$M10/NomVPh1))</f>
        <v>15.031438185024385</v>
      </c>
      <c r="AK20" s="53">
        <f>DEGREES(ATAN(Characteristic!$G10/NomVPh1))</f>
        <v>61.389540334034791</v>
      </c>
      <c r="AN20" s="3"/>
      <c r="BB20" s="3"/>
      <c r="BC20" s="68">
        <v>20</v>
      </c>
      <c r="BD20" s="113">
        <f>S13</f>
        <v>21.949177739370572</v>
      </c>
      <c r="BE20" s="111">
        <f>BE14</f>
        <v>27.28</v>
      </c>
      <c r="BF20" s="109">
        <f>BF14</f>
        <v>45.46</v>
      </c>
      <c r="BG20" s="109">
        <f t="shared" si="0"/>
        <v>45.46</v>
      </c>
      <c r="BH20" s="3"/>
      <c r="BI20" s="40">
        <f t="shared" si="1"/>
        <v>50.372616099773637</v>
      </c>
      <c r="BJ20" s="40">
        <f t="shared" si="1"/>
        <v>18.334132882436087</v>
      </c>
      <c r="BK20" s="3"/>
      <c r="BL20" s="40" t="e">
        <f>#REF!*$BM$4</f>
        <v>#REF!</v>
      </c>
      <c r="BM20" s="40" t="e">
        <f>#REF!*$BM$4</f>
        <v>#REF!</v>
      </c>
      <c r="BN20" s="3"/>
      <c r="BO20" s="3" t="s">
        <v>496</v>
      </c>
      <c r="BP20" s="3">
        <f>ABS(Z5E_C2*COS(RADIANS(Z5E_Ang2-Z5_Blinder1)))</f>
        <v>52.307095866995439</v>
      </c>
      <c r="BQ20" s="3"/>
    </row>
    <row r="21" spans="1:74" ht="15.75">
      <c r="B21" s="18"/>
      <c r="C21" s="33">
        <f>90+_Dir1</f>
        <v>90</v>
      </c>
      <c r="D21" s="36">
        <f>2*X_1</f>
        <v>16.100000000000001</v>
      </c>
      <c r="E21" s="22"/>
      <c r="F21" s="33">
        <f>90+Dir1B</f>
        <v>90</v>
      </c>
      <c r="G21" s="36">
        <f>2*X_1B</f>
        <v>30.32</v>
      </c>
      <c r="H21" s="59"/>
      <c r="I21" s="33">
        <f>90+_Dir2</f>
        <v>90</v>
      </c>
      <c r="J21" s="36">
        <f>2*X_2</f>
        <v>24.32</v>
      </c>
      <c r="K21" s="22"/>
      <c r="L21" s="33">
        <f>90+_Dir3</f>
        <v>270</v>
      </c>
      <c r="M21" s="36">
        <f>2*X_3</f>
        <v>1.86</v>
      </c>
      <c r="O21" s="33">
        <f>90+_Dir4</f>
        <v>90</v>
      </c>
      <c r="P21" s="36">
        <f>2*X_4</f>
        <v>45.8</v>
      </c>
      <c r="Q21" s="3"/>
      <c r="R21" s="33">
        <f>90+_Dir5</f>
        <v>270</v>
      </c>
      <c r="S21" s="36">
        <f>2*X_5</f>
        <v>53.58</v>
      </c>
      <c r="T21" s="55"/>
      <c r="U21" s="287">
        <f t="shared" si="17"/>
        <v>112</v>
      </c>
      <c r="V21" s="277">
        <f t="shared" si="18"/>
        <v>32.701173397984327</v>
      </c>
      <c r="W21" s="3"/>
      <c r="X21" s="358">
        <f t="shared" si="19"/>
        <v>180</v>
      </c>
      <c r="Y21" s="277">
        <f t="shared" si="13"/>
        <v>92.351419627440393</v>
      </c>
      <c r="Z21" s="409">
        <f t="shared" si="14"/>
        <v>2</v>
      </c>
      <c r="AA21" s="382">
        <f t="shared" si="20"/>
        <v>29.502840761917749</v>
      </c>
      <c r="AB21" s="383">
        <f t="shared" si="21"/>
        <v>53.584219514511645</v>
      </c>
      <c r="AC21" s="383">
        <f t="shared" si="22"/>
        <v>30.32</v>
      </c>
      <c r="AD21" s="23"/>
      <c r="AE21" s="382">
        <f t="shared" si="23"/>
        <v>9.8789046492933696</v>
      </c>
      <c r="AF21" s="383">
        <f t="shared" si="24"/>
        <v>161.04640305092326</v>
      </c>
      <c r="AG21" s="383">
        <f t="shared" si="25"/>
        <v>28.045999999999999</v>
      </c>
      <c r="AH21" s="22"/>
      <c r="AI21" s="3"/>
      <c r="AK21" s="1187" t="s">
        <v>400</v>
      </c>
      <c r="AL21" s="1188"/>
      <c r="AM21" s="1187" t="s">
        <v>401</v>
      </c>
      <c r="AN21" s="1188"/>
      <c r="AO21" s="1187" t="s">
        <v>78</v>
      </c>
      <c r="AP21" s="1188"/>
      <c r="AQ21" s="1181" t="s">
        <v>79</v>
      </c>
      <c r="AR21" s="1181"/>
      <c r="AS21" s="1181" t="s">
        <v>80</v>
      </c>
      <c r="AT21" s="1181"/>
      <c r="AU21" s="1181" t="s">
        <v>81</v>
      </c>
      <c r="AV21" s="1181"/>
      <c r="AW21" s="1181" t="s">
        <v>729</v>
      </c>
      <c r="AX21" s="1181"/>
      <c r="AY21" s="1181" t="s">
        <v>399</v>
      </c>
      <c r="AZ21" s="1181"/>
      <c r="BA21" s="1181" t="s">
        <v>99</v>
      </c>
      <c r="BB21" s="1181"/>
      <c r="BC21" s="68">
        <v>21</v>
      </c>
      <c r="BD21" s="113">
        <f>S15</f>
        <v>22.72</v>
      </c>
      <c r="BE21" s="111">
        <f>BE19</f>
        <v>31.071889272074181</v>
      </c>
      <c r="BF21" s="109">
        <f>BF19</f>
        <v>53.605418394841379</v>
      </c>
      <c r="BG21" s="109">
        <f t="shared" si="0"/>
        <v>53.605418394841379</v>
      </c>
      <c r="BH21" s="3"/>
      <c r="BI21" s="40">
        <f t="shared" si="1"/>
        <v>53.584219514511645</v>
      </c>
      <c r="BJ21" s="40">
        <f t="shared" si="1"/>
        <v>30.32</v>
      </c>
      <c r="BK21" s="3"/>
      <c r="BL21" s="40" t="e">
        <f>#REF!*$BM$4</f>
        <v>#REF!</v>
      </c>
      <c r="BM21" s="40" t="e">
        <f>#REF!*$BM$4</f>
        <v>#REF!</v>
      </c>
      <c r="BN21" s="3"/>
      <c r="BO21" s="3" t="s">
        <v>497</v>
      </c>
      <c r="BP21" s="404">
        <f>(BP19*(TAN(RADIANS(90-Slope+Z5_Blinder1))))</f>
        <v>0.66394063743896869</v>
      </c>
      <c r="BQ21" s="3"/>
    </row>
    <row r="22" spans="1:74" ht="15.75">
      <c r="A22" s="18"/>
      <c r="B22" s="18"/>
      <c r="C22" s="546">
        <f>Z1_Ang2+180</f>
        <v>144.96817034312056</v>
      </c>
      <c r="D22" s="547" t="str">
        <f>IF(C22&lt;C23,Z1_C2,"")</f>
        <v/>
      </c>
      <c r="E22" s="548"/>
      <c r="F22" s="546">
        <f>Z1B_Ang2+180</f>
        <v>140.92030691155378</v>
      </c>
      <c r="G22" s="547" t="str">
        <f>IF(F22&lt;F23,Z1B_C2,"")</f>
        <v/>
      </c>
      <c r="H22" s="549"/>
      <c r="I22" s="546">
        <f>Z2_Ang2+180</f>
        <v>138.59778523866572</v>
      </c>
      <c r="J22" s="547" t="str">
        <f>IF(I22&lt;I23,Z2_C2,"")</f>
        <v/>
      </c>
      <c r="K22" s="548"/>
      <c r="L22" s="546">
        <f>Z3_Ang2+180</f>
        <v>335.28753930789912</v>
      </c>
      <c r="M22" s="547" t="str">
        <f>IF(L22&lt;L23,Z3_C2,"")</f>
        <v/>
      </c>
      <c r="N22" s="550"/>
      <c r="O22" s="546">
        <f>Z4_Ang2+180</f>
        <v>140.67552708979557</v>
      </c>
      <c r="P22" s="547" t="str">
        <f>IF(O22&lt;O23,Z4_C2,"")</f>
        <v/>
      </c>
      <c r="Q22" s="551"/>
      <c r="R22" s="546">
        <f>Z5_Ang2+180</f>
        <v>278.87168927945845</v>
      </c>
      <c r="S22" s="547">
        <f>IF(R22&lt;R23,Z5_C2,"")</f>
        <v>54.228782858552243</v>
      </c>
      <c r="T22" s="24"/>
      <c r="U22" s="287" t="str">
        <f t="shared" si="17"/>
        <v/>
      </c>
      <c r="V22" s="277" t="str">
        <f t="shared" si="18"/>
        <v/>
      </c>
      <c r="W22" s="3"/>
      <c r="X22" s="358">
        <f t="shared" si="19"/>
        <v>209.50284076191775</v>
      </c>
      <c r="Y22" s="277">
        <f t="shared" si="13"/>
        <v>92.351419627440393</v>
      </c>
      <c r="Z22" s="409">
        <f t="shared" si="14"/>
        <v>2</v>
      </c>
      <c r="AA22" s="382">
        <f t="shared" si="20"/>
        <v>40</v>
      </c>
      <c r="AB22" s="383">
        <f t="shared" si="21"/>
        <v>36.133968927456451</v>
      </c>
      <c r="AC22" s="383">
        <f t="shared" si="22"/>
        <v>30.32</v>
      </c>
      <c r="AD22" s="23"/>
      <c r="AE22" s="382">
        <f t="shared" si="23"/>
        <v>12</v>
      </c>
      <c r="AF22" s="383">
        <f t="shared" si="24"/>
        <v>131.94605605043273</v>
      </c>
      <c r="AG22" s="383">
        <f t="shared" si="25"/>
        <v>28.046000000000003</v>
      </c>
      <c r="AH22" s="22"/>
      <c r="AI22" s="3"/>
      <c r="AJ22" s="57" t="s">
        <v>83</v>
      </c>
      <c r="AK22" s="95">
        <f>TestVZ4/2/SIN(RADIANS(ForwardAng))</f>
        <v>62.649820430708338</v>
      </c>
      <c r="AL22" s="96">
        <f>270+ForwardAng</f>
        <v>331.38954033403479</v>
      </c>
      <c r="AM22" s="95">
        <f>TestVZ5/2/SIN(RADIANS(ReverseAng))</f>
        <v>62.649820430708338</v>
      </c>
      <c r="AN22" s="96">
        <f>270+ReverseAng</f>
        <v>331.38954033403479</v>
      </c>
      <c r="AO22" s="95">
        <f>TestVZ1/2/SIN(RADIANS(_Ang1))</f>
        <v>61.033861847372364</v>
      </c>
      <c r="AP22" s="96">
        <f>270+_Ang1</f>
        <v>330.55877836469131</v>
      </c>
      <c r="AQ22" s="95">
        <f>TestVZ1B/2/SIN(RADIANS(Ang1B))</f>
        <v>62.649820430708338</v>
      </c>
      <c r="AR22" s="96">
        <f>270+Ang1B</f>
        <v>331.38954033403479</v>
      </c>
      <c r="AS22" s="95">
        <f>TestVZ2/2/SIN(RADIANS(_Ang2))</f>
        <v>62.649820430708338</v>
      </c>
      <c r="AT22" s="96">
        <f>270+_Ang2</f>
        <v>331.38954033403479</v>
      </c>
      <c r="AU22" s="95">
        <f>TestVZ3/2/SIN(RADIANS(_Ang3))</f>
        <v>31.06285706366619</v>
      </c>
      <c r="AV22" s="96">
        <f>270+_Ang3</f>
        <v>285.0314381850244</v>
      </c>
      <c r="AW22" s="95">
        <f>AJ75</f>
        <v>30.499278942296328</v>
      </c>
      <c r="AX22" s="96">
        <f>90+AJ74</f>
        <v>100.38146662373659</v>
      </c>
      <c r="AY22" s="95">
        <f>TestVPTT/2/SIN(RADIANS(DEGREES(ATAN(TestVPTT/NomVPh1))))</f>
        <v>62.649820430708338</v>
      </c>
      <c r="AZ22" s="96">
        <f>270+(DEGREES(ATAN(TestVPTT/NomVPh1)))</f>
        <v>331.38954033403479</v>
      </c>
      <c r="BA22" s="95">
        <f>TestVSOTF/2/SIN(RADIANS(DEGREES(ATAN(TestVSOTF/NomVPh1))))</f>
        <v>97.101929472094341</v>
      </c>
      <c r="BB22" s="96">
        <f>270+(DEGREES(ATAN(TestVSOTF/NomVPh1)))</f>
        <v>342.00381332754773</v>
      </c>
      <c r="BC22" s="68">
        <v>22</v>
      </c>
      <c r="BD22" s="113">
        <f>S17</f>
        <v>58.583685282127327</v>
      </c>
      <c r="BE22" s="111">
        <f>BE18</f>
        <v>26.752406272071983</v>
      </c>
      <c r="BF22" s="109">
        <f>BF18</f>
        <v>47.169546430407706</v>
      </c>
      <c r="BG22" s="109">
        <f t="shared" si="0"/>
        <v>47.169546430407706</v>
      </c>
      <c r="BH22" s="3"/>
      <c r="BI22" s="40">
        <f t="shared" si="1"/>
        <v>36.133968927456451</v>
      </c>
      <c r="BJ22" s="40">
        <f t="shared" si="1"/>
        <v>30.32</v>
      </c>
      <c r="BK22" s="3"/>
      <c r="BL22" s="40" t="e">
        <f>#REF!*$BM$4</f>
        <v>#REF!</v>
      </c>
      <c r="BM22" s="40" t="e">
        <f>#REF!*$BM$4</f>
        <v>#REF!</v>
      </c>
      <c r="BN22" s="3"/>
      <c r="BO22" s="3"/>
      <c r="BP22" s="405">
        <f>BP20+BP21</f>
        <v>52.971036504434409</v>
      </c>
    </row>
    <row r="23" spans="1:74" ht="15.75">
      <c r="A23" s="55"/>
      <c r="B23" s="18"/>
      <c r="C23" s="33">
        <f>_Dir1+AngQ2-DirDelta</f>
        <v>112</v>
      </c>
      <c r="D23" s="36">
        <f>2*ABS(IF(Z1_Blinder2&lt;C22,X_1/SIN(RADIANS(C23)),R_1*SIN(RADIANS(Slope))/SIN(RADIANS(Slope-C23))))</f>
        <v>17.364409357109096</v>
      </c>
      <c r="E23" s="22"/>
      <c r="F23" s="33">
        <f>Dir1B+AngQ2-DirDelta</f>
        <v>112</v>
      </c>
      <c r="G23" s="36">
        <f>2*ABS(IF(Z1B_Blinder2&lt;F22,X_1B/SIN(RADIANS(F23)),R_1B*SIN(RADIANS(Slope))/SIN(RADIANS(Slope-F23))))</f>
        <v>32.701173397984327</v>
      </c>
      <c r="H23" s="59"/>
      <c r="I23" s="33">
        <f>_Dir2+AngQ2-DirDelta</f>
        <v>112</v>
      </c>
      <c r="J23" s="36">
        <f>2*ABS(IF(Z2_Blinder2&lt;I22,X_2/SIN(RADIANS(I23)),R_2*SIN(RADIANS(Slope))/SIN(RADIANS(Slope-I23))))</f>
        <v>26.22996494191883</v>
      </c>
      <c r="K23" s="22"/>
      <c r="L23" s="33">
        <f>_Dir3+AngQ2-DirDelta</f>
        <v>292</v>
      </c>
      <c r="M23" s="36">
        <f>2*ABS(IF(Z3_Blinder2&lt;L22,X_3/SIN(RADIANS(L23)),R_3*SIN(RADIANS(Slope))/SIN(RADIANS(Slope-L23))))</f>
        <v>2.0060746213803053</v>
      </c>
      <c r="O23" s="33">
        <f>_Dir4+AngQ2-DirDelta</f>
        <v>112</v>
      </c>
      <c r="P23" s="36">
        <f>2*ABS(IF(Z4_Blinder2&lt;O22,X_4/SIN(RADIANS(O23)),R_4*SIN(RADIANS(Slope))/SIN(RADIANS(Slope-O23))))</f>
        <v>49.396891214633314</v>
      </c>
      <c r="Q23" s="3"/>
      <c r="R23" s="33">
        <f>_Dir5+AngQ2-DirDelta</f>
        <v>292</v>
      </c>
      <c r="S23" s="36">
        <f>2*ABS(IF(Z5_Blinder2&lt;R22,X_5/SIN(RADIANS(R23)),R_5*SIN(RADIANS(Slope))/SIN(RADIANS(Slope-R23))))</f>
        <v>36.466079989736357</v>
      </c>
      <c r="T23" s="72"/>
      <c r="U23" s="287" t="str">
        <f t="shared" si="17"/>
        <v/>
      </c>
      <c r="V23" s="277" t="str">
        <f t="shared" si="18"/>
        <v/>
      </c>
      <c r="W23" s="3"/>
      <c r="X23" s="358">
        <f t="shared" si="19"/>
        <v>270</v>
      </c>
      <c r="Y23" s="277">
        <f t="shared" si="13"/>
        <v>92.351419627440393</v>
      </c>
      <c r="Z23" s="409">
        <f t="shared" si="14"/>
        <v>2</v>
      </c>
      <c r="AA23" s="382">
        <f t="shared" si="20"/>
        <v>65</v>
      </c>
      <c r="AB23" s="383">
        <f t="shared" si="21"/>
        <v>14.138448195259558</v>
      </c>
      <c r="AC23" s="383">
        <f t="shared" si="22"/>
        <v>30.32</v>
      </c>
      <c r="AD23" s="23"/>
      <c r="AE23" s="382">
        <f t="shared" si="23"/>
        <v>51</v>
      </c>
      <c r="AF23" s="383">
        <f t="shared" si="24"/>
        <v>22.711202994987175</v>
      </c>
      <c r="AG23" s="383">
        <f t="shared" si="25"/>
        <v>28.046000000000006</v>
      </c>
      <c r="AH23" s="22"/>
      <c r="AI23" s="3"/>
      <c r="AJ23" s="57" t="s">
        <v>82</v>
      </c>
      <c r="AK23" s="95">
        <f>AK22</f>
        <v>62.649820430708338</v>
      </c>
      <c r="AL23" s="96">
        <f>270-ForwardAng</f>
        <v>208.61045966596521</v>
      </c>
      <c r="AM23" s="95">
        <f>AM22</f>
        <v>62.649820430708338</v>
      </c>
      <c r="AN23" s="96">
        <f>270-ReverseAng</f>
        <v>208.61045966596521</v>
      </c>
      <c r="AO23" s="95">
        <f>AO22</f>
        <v>61.033861847372364</v>
      </c>
      <c r="AP23" s="96">
        <f>270-_Ang1</f>
        <v>209.44122163530872</v>
      </c>
      <c r="AQ23" s="95">
        <f>AQ22</f>
        <v>62.649820430708338</v>
      </c>
      <c r="AR23" s="96">
        <f>270-Ang1B</f>
        <v>208.61045966596521</v>
      </c>
      <c r="AS23" s="95">
        <f>AS22</f>
        <v>62.649820430708338</v>
      </c>
      <c r="AT23" s="96">
        <f>270-_Ang2</f>
        <v>208.61045966596521</v>
      </c>
      <c r="AU23" s="95">
        <f>AU22</f>
        <v>31.06285706366619</v>
      </c>
      <c r="AV23" s="96">
        <f>270-_Ang3</f>
        <v>254.9685618149756</v>
      </c>
      <c r="AW23" s="95">
        <f>AW22</f>
        <v>30.499278942296328</v>
      </c>
      <c r="AX23" s="96">
        <f>90-AJ74</f>
        <v>79.618533376263414</v>
      </c>
      <c r="AY23" s="95">
        <f>AY22</f>
        <v>62.649820430708338</v>
      </c>
      <c r="AZ23" s="96">
        <f>270-(DEGREES(ATAN(TestVPTT/NomVPh1)))</f>
        <v>208.61045966596521</v>
      </c>
      <c r="BA23" s="95">
        <f>BA22</f>
        <v>97.101929472094341</v>
      </c>
      <c r="BB23" s="96">
        <f>270-(DEGREES(ATAN(TestVSOTF/NomVPh1)))</f>
        <v>197.9961866724523</v>
      </c>
      <c r="BC23" s="68">
        <v>23</v>
      </c>
      <c r="BD23" s="113">
        <f>S19</f>
        <v>63.886825230150059</v>
      </c>
      <c r="BE23" s="111">
        <f>BE17</f>
        <v>16.100000000000001</v>
      </c>
      <c r="BF23" s="109">
        <f>BF17</f>
        <v>30.32</v>
      </c>
      <c r="BG23" s="109">
        <f t="shared" si="0"/>
        <v>30.32</v>
      </c>
      <c r="BH23" s="3"/>
      <c r="BI23" s="40">
        <f t="shared" si="1"/>
        <v>14.138448195259558</v>
      </c>
      <c r="BJ23" s="40">
        <f t="shared" si="1"/>
        <v>30.32</v>
      </c>
      <c r="BK23" s="3"/>
      <c r="BL23" s="40" t="e">
        <f>#REF!*$BM$4</f>
        <v>#REF!</v>
      </c>
      <c r="BM23" s="40" t="e">
        <f>#REF!*$BM$4</f>
        <v>#REF!</v>
      </c>
      <c r="BN23" s="3"/>
      <c r="BO23" s="3"/>
      <c r="BP23" s="3"/>
      <c r="BQ23" s="3"/>
    </row>
    <row r="24" spans="1:74" ht="16.5" thickBot="1">
      <c r="A24" s="88"/>
      <c r="B24" s="90"/>
      <c r="C24" s="90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90"/>
      <c r="O24" s="90"/>
      <c r="P24" s="90"/>
      <c r="Q24" s="90"/>
      <c r="R24" s="90"/>
      <c r="S24" s="90"/>
      <c r="T24" s="88"/>
      <c r="U24" s="287" t="str">
        <f t="shared" si="17"/>
        <v/>
      </c>
      <c r="V24" s="277" t="str">
        <f t="shared" si="18"/>
        <v/>
      </c>
      <c r="W24" s="3"/>
      <c r="X24" s="358">
        <f t="shared" si="19"/>
        <v>292</v>
      </c>
      <c r="Y24" s="277">
        <f t="shared" si="13"/>
        <v>92.351419627440393</v>
      </c>
      <c r="Z24" s="409">
        <f t="shared" si="14"/>
        <v>2</v>
      </c>
      <c r="AA24" s="382">
        <f t="shared" si="20"/>
        <v>90</v>
      </c>
      <c r="AB24" s="383">
        <f t="shared" si="21"/>
        <v>1.8573250576414679E-15</v>
      </c>
      <c r="AC24" s="383">
        <f t="shared" si="22"/>
        <v>30.32</v>
      </c>
      <c r="AD24" s="23"/>
      <c r="AE24" s="382">
        <f t="shared" si="23"/>
        <v>90</v>
      </c>
      <c r="AF24" s="383">
        <f t="shared" si="24"/>
        <v>1.718025678318358E-15</v>
      </c>
      <c r="AG24" s="383">
        <f t="shared" si="25"/>
        <v>28.046000000000003</v>
      </c>
      <c r="AH24" s="22"/>
      <c r="AI24" s="3"/>
      <c r="AJ24" s="57" t="s">
        <v>84</v>
      </c>
      <c r="AK24" s="95">
        <f>NomVPhSF</f>
        <v>60</v>
      </c>
      <c r="AL24" s="96">
        <v>90</v>
      </c>
      <c r="AM24" s="95">
        <f>NomVPhSR</f>
        <v>60</v>
      </c>
      <c r="AN24" s="96">
        <v>90</v>
      </c>
      <c r="AO24" s="95">
        <f>NomVPh1</f>
        <v>60</v>
      </c>
      <c r="AP24" s="96">
        <v>90</v>
      </c>
      <c r="AQ24" s="95">
        <f>NomVPh1B</f>
        <v>60</v>
      </c>
      <c r="AR24" s="96">
        <v>90</v>
      </c>
      <c r="AS24" s="95">
        <f>NomVPh2</f>
        <v>60</v>
      </c>
      <c r="AT24" s="96">
        <v>90</v>
      </c>
      <c r="AU24" s="95">
        <f>NomVPh3</f>
        <v>60</v>
      </c>
      <c r="AV24" s="96">
        <v>90</v>
      </c>
      <c r="AW24" s="95">
        <f>60</f>
        <v>60</v>
      </c>
      <c r="AX24" s="96">
        <f>270</f>
        <v>270</v>
      </c>
      <c r="AY24" s="269">
        <f>NomVPh1B</f>
        <v>60</v>
      </c>
      <c r="AZ24" s="96">
        <v>90</v>
      </c>
      <c r="BA24" s="269">
        <f>NomVPh1B</f>
        <v>60</v>
      </c>
      <c r="BB24" s="96">
        <v>90</v>
      </c>
      <c r="BC24" s="68">
        <v>24</v>
      </c>
      <c r="BD24" s="113">
        <f>S21</f>
        <v>53.58</v>
      </c>
      <c r="BE24" s="111">
        <f>BE16</f>
        <v>26.752406272071983</v>
      </c>
      <c r="BF24" s="109">
        <f>BF16</f>
        <v>47.169546430407706</v>
      </c>
      <c r="BG24" s="109">
        <f t="shared" si="0"/>
        <v>47.169546430407706</v>
      </c>
      <c r="BH24" s="3"/>
      <c r="BI24" s="40">
        <f t="shared" si="1"/>
        <v>1.8573250576414679E-15</v>
      </c>
      <c r="BJ24" s="40">
        <f t="shared" si="1"/>
        <v>30.32</v>
      </c>
      <c r="BK24" s="3"/>
      <c r="BL24" s="40" t="e">
        <f>#REF!*$BM$4</f>
        <v>#REF!</v>
      </c>
      <c r="BM24" s="40" t="e">
        <f>#REF!*$BM$4</f>
        <v>#REF!</v>
      </c>
      <c r="BN24" s="3"/>
      <c r="BO24" s="3"/>
      <c r="BP24" s="3"/>
      <c r="BQ24" s="3"/>
    </row>
    <row r="25" spans="1:74" ht="15.75">
      <c r="A25" s="108" t="s">
        <v>41</v>
      </c>
      <c r="B25" s="72"/>
      <c r="C25" s="72"/>
      <c r="D25" s="72"/>
      <c r="E25" s="72"/>
      <c r="F25" s="72"/>
      <c r="G25" s="82" t="s">
        <v>63</v>
      </c>
      <c r="H25" s="83">
        <f>I_Nom</f>
        <v>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18"/>
      <c r="V25" s="18"/>
      <c r="W25" s="3"/>
      <c r="X25" s="3"/>
      <c r="Y25" s="3"/>
      <c r="Z25" s="3"/>
      <c r="AA25" s="382">
        <f t="shared" si="20"/>
        <v>140.92030691155378</v>
      </c>
      <c r="AB25" s="383">
        <f t="shared" si="21"/>
        <v>1.8573250576414679E-15</v>
      </c>
      <c r="AC25" s="383">
        <f t="shared" si="22"/>
        <v>30.32</v>
      </c>
      <c r="AD25" s="23"/>
      <c r="AE25" s="382">
        <f t="shared" si="23"/>
        <v>169.12738248335361</v>
      </c>
      <c r="AF25" s="383">
        <f t="shared" si="24"/>
        <v>1.718025678318358E-15</v>
      </c>
      <c r="AG25" s="383">
        <f t="shared" si="25"/>
        <v>28.046000000000003</v>
      </c>
      <c r="AH25" s="22"/>
      <c r="AI25" s="3"/>
      <c r="AJ25" s="48" t="s">
        <v>88</v>
      </c>
      <c r="AK25" s="140" t="s">
        <v>75</v>
      </c>
      <c r="AL25" s="48"/>
      <c r="AM25" s="140" t="s">
        <v>77</v>
      </c>
      <c r="AN25" s="48"/>
      <c r="AO25" s="140" t="s">
        <v>75</v>
      </c>
      <c r="AP25" s="48"/>
      <c r="AQ25" s="140" t="s">
        <v>77</v>
      </c>
      <c r="AR25" s="48"/>
      <c r="AS25" s="140" t="s">
        <v>76</v>
      </c>
      <c r="AT25" s="48"/>
      <c r="AU25" s="140" t="s">
        <v>77</v>
      </c>
      <c r="AV25" s="48"/>
      <c r="AW25" s="140" t="str">
        <f>AN6</f>
        <v>R-S</v>
      </c>
      <c r="AX25" s="48"/>
      <c r="AY25" s="140" t="s">
        <v>76</v>
      </c>
      <c r="AZ25" s="48"/>
      <c r="BA25" s="140" t="s">
        <v>75</v>
      </c>
      <c r="BB25" s="48"/>
      <c r="BC25" s="68">
        <v>25</v>
      </c>
      <c r="BD25" s="113">
        <f>S22</f>
        <v>54.228782858552243</v>
      </c>
      <c r="BE25" s="111">
        <f>BE15</f>
        <v>31.071889272074181</v>
      </c>
      <c r="BF25" s="109">
        <f>BF15</f>
        <v>53.605418394841379</v>
      </c>
      <c r="BG25" s="109">
        <f t="shared" si="0"/>
        <v>53.605418394841379</v>
      </c>
      <c r="BH25" s="3"/>
      <c r="BI25" s="40">
        <f t="shared" si="1"/>
        <v>1.8573250576414679E-15</v>
      </c>
      <c r="BJ25" s="40">
        <f t="shared" si="1"/>
        <v>30.32</v>
      </c>
      <c r="BK25" s="3"/>
      <c r="BL25" s="40" t="e">
        <f>#REF!*$BM$4</f>
        <v>#REF!</v>
      </c>
      <c r="BM25" s="40" t="e">
        <f>#REF!*$BM$4</f>
        <v>#REF!</v>
      </c>
      <c r="BN25" s="3"/>
      <c r="BO25" s="3"/>
      <c r="BP25" s="3"/>
      <c r="BQ25" s="3"/>
    </row>
    <row r="26" spans="1:74" ht="15.75">
      <c r="A26" s="3"/>
      <c r="B26" s="23"/>
      <c r="C26" s="71" t="str">
        <f>C4</f>
        <v>Z1, Forward</v>
      </c>
      <c r="D26" s="69"/>
      <c r="E26" s="70"/>
      <c r="F26" s="71" t="str">
        <f>F4</f>
        <v>Z1B, Forward</v>
      </c>
      <c r="G26" s="69"/>
      <c r="H26" s="69"/>
      <c r="I26" s="71" t="str">
        <f>I4</f>
        <v>Z2, Forward</v>
      </c>
      <c r="J26" s="22"/>
      <c r="K26" s="22"/>
      <c r="L26" s="71" t="str">
        <f>L4</f>
        <v>Z3, Reverse</v>
      </c>
      <c r="O26" s="71" t="str">
        <f>O4</f>
        <v>Z4, Forward</v>
      </c>
      <c r="R26" s="71" t="str">
        <f>R4</f>
        <v>Z5, Reverse</v>
      </c>
      <c r="T26" s="22"/>
      <c r="U26" s="288" t="str">
        <f>U4</f>
        <v>PTT</v>
      </c>
      <c r="V26" s="288" t="str">
        <f>V4</f>
        <v>POTT, Z1B</v>
      </c>
      <c r="W26" s="70"/>
      <c r="X26" s="70" t="str">
        <f>X4</f>
        <v>SOTF</v>
      </c>
      <c r="Y26" s="70" t="str">
        <f>Y4</f>
        <v>4 Zone Z1B undirectional</v>
      </c>
      <c r="Z26" s="70"/>
      <c r="AA26" s="382">
        <f t="shared" si="20"/>
        <v>112</v>
      </c>
      <c r="AB26" s="383">
        <f t="shared" si="21"/>
        <v>-12.250075167321954</v>
      </c>
      <c r="AC26" s="383">
        <f t="shared" si="22"/>
        <v>30.319999999999997</v>
      </c>
      <c r="AD26" s="23"/>
      <c r="AE26" s="382">
        <f t="shared" si="23"/>
        <v>110</v>
      </c>
      <c r="AF26" s="383">
        <f t="shared" si="24"/>
        <v>-10.207909190229911</v>
      </c>
      <c r="AG26" s="383">
        <f t="shared" si="25"/>
        <v>28.046000000000003</v>
      </c>
      <c r="AH26" s="22"/>
      <c r="AI26" s="3"/>
      <c r="AJ26" s="57" t="s">
        <v>73</v>
      </c>
      <c r="AK26" s="57"/>
      <c r="AL26" s="94" t="s">
        <v>73</v>
      </c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724"/>
      <c r="AY26" s="3"/>
      <c r="AZ26" s="3"/>
      <c r="BA26" s="3"/>
      <c r="BB26" s="3"/>
      <c r="BC26" s="68">
        <v>26</v>
      </c>
      <c r="BD26" s="114">
        <f>O35</f>
        <v>-14</v>
      </c>
      <c r="BE26" s="110">
        <f>C37</f>
        <v>0</v>
      </c>
      <c r="BF26" s="112">
        <f>F37</f>
        <v>0</v>
      </c>
      <c r="BG26" s="112">
        <f t="shared" si="0"/>
        <v>0</v>
      </c>
      <c r="BH26" s="3"/>
      <c r="BI26" s="40">
        <f t="shared" si="1"/>
        <v>-12.250075167321954</v>
      </c>
      <c r="BJ26" s="40">
        <f t="shared" si="1"/>
        <v>30.319999999999997</v>
      </c>
      <c r="BK26" s="3"/>
      <c r="BL26" s="40" t="e">
        <f>#REF!*$BM$4</f>
        <v>#REF!</v>
      </c>
      <c r="BM26" s="40" t="e">
        <f>#REF!*$BM$4</f>
        <v>#REF!</v>
      </c>
      <c r="BN26" s="3"/>
      <c r="BO26" s="3"/>
      <c r="BP26" s="3"/>
      <c r="BQ26" s="3"/>
    </row>
    <row r="27" spans="1:74" ht="15.75">
      <c r="A27" s="24" t="s">
        <v>42</v>
      </c>
      <c r="B27" s="24"/>
      <c r="C27" s="24"/>
      <c r="D27" s="25" t="str">
        <f>ROUND(TestVZ1E,2) &amp;"V,      0º"</f>
        <v>15.76V,      0º</v>
      </c>
      <c r="E27" s="25"/>
      <c r="F27" s="60"/>
      <c r="G27" s="25" t="str">
        <f>ROUND(TestVZ1BE,2) &amp;"V,      0º"</f>
        <v>31.39V,      0º</v>
      </c>
      <c r="H27" s="25"/>
      <c r="I27" s="60"/>
      <c r="J27" s="25" t="str">
        <f>ROUND(TestVZ2E,2) &amp;"V,      0º"</f>
        <v>24.7V,      0º</v>
      </c>
      <c r="K27" s="25"/>
      <c r="L27" s="24"/>
      <c r="M27" s="25" t="str">
        <f>ROUND(TestVZ3E,2) &amp;"V,      0º"</f>
        <v>1.81V,      0º</v>
      </c>
      <c r="O27" s="24"/>
      <c r="P27" s="25" t="str">
        <f>ROUND(TestVZ4E,2) &amp; "V,      0º"</f>
        <v>36.78V,      0º</v>
      </c>
      <c r="Q27" s="26"/>
      <c r="R27" s="24"/>
      <c r="S27" s="27" t="str">
        <f>ROUND(TestVZ5E,2) &amp; "V,      0º"</f>
        <v>63V,      0º</v>
      </c>
      <c r="T27" s="25"/>
      <c r="U27" s="289"/>
      <c r="V27" s="30" t="str">
        <f>ROUND(V32,2) &amp;"V,      0º"</f>
        <v>31.39V,      0º</v>
      </c>
      <c r="W27" s="25"/>
      <c r="X27" s="25"/>
      <c r="Y27" s="25" t="str">
        <f>ROUND(Y32,2) &amp;"V,      0º"</f>
        <v>54.18V,      0º</v>
      </c>
      <c r="Z27" s="25"/>
      <c r="AA27" s="385" t="s">
        <v>13</v>
      </c>
      <c r="AB27" s="386">
        <f>COS(RADIANS($I13))*$J13</f>
        <v>31.964537563037734</v>
      </c>
      <c r="AC27" s="386">
        <f>SIN(RADIANS($I13))*$J13</f>
        <v>-7.9696543123980286</v>
      </c>
      <c r="AD27" s="23"/>
      <c r="AE27" s="385" t="s">
        <v>13</v>
      </c>
      <c r="AF27" s="386">
        <f>COS(RADIANS($I35))*$J35</f>
        <v>90.22652788082236</v>
      </c>
      <c r="AG27" s="386">
        <f>SIN(RADIANS($I35))*$J35</f>
        <v>-22.496000000000002</v>
      </c>
      <c r="AH27" s="22"/>
      <c r="AI27" s="3"/>
      <c r="AJ27" s="57" t="s">
        <v>72</v>
      </c>
      <c r="AK27" s="57"/>
      <c r="AL27" s="3"/>
      <c r="AM27" s="3"/>
      <c r="AN27" s="3"/>
      <c r="AO27" s="325" t="s">
        <v>413</v>
      </c>
      <c r="AP27" s="328" t="str">
        <f>ManClose</f>
        <v>4 Zone Z1B undirectional</v>
      </c>
      <c r="AQ27" s="274"/>
      <c r="AR27" s="328" t="str">
        <f>CHOOSE(LEFT(ManClose,1),"D","C","A","B")</f>
        <v>B</v>
      </c>
      <c r="AS27" s="329" t="s">
        <v>412</v>
      </c>
      <c r="AT27" s="328" t="str">
        <f>PTTMode</f>
        <v>3 POTT</v>
      </c>
      <c r="AU27" s="328"/>
      <c r="AV27" s="328" t="str">
        <f>CHOOSE(LEFT(PTTMode,1),AO29,AQ29,AO29,AR29)</f>
        <v>A</v>
      </c>
      <c r="AW27" s="328" t="s">
        <v>417</v>
      </c>
      <c r="AX27" s="328" t="str">
        <f>CHOOSE(LEFT(PTTMode,1),"Z1","Z1","Z1B","")</f>
        <v>Z1B</v>
      </c>
      <c r="AY27" s="329" t="s">
        <v>411</v>
      </c>
      <c r="AZ27" s="328" t="str">
        <f>IF(LEFT(PTTMode,1)="2","OP","NOOP")</f>
        <v>NOOP</v>
      </c>
      <c r="BA27" s="3"/>
      <c r="BB27" s="3"/>
      <c r="BC27" s="68">
        <v>27</v>
      </c>
      <c r="BD27" s="114">
        <f>O37</f>
        <v>0</v>
      </c>
      <c r="BE27" s="110">
        <f>C39</f>
        <v>8</v>
      </c>
      <c r="BF27" s="112">
        <f>F39</f>
        <v>8</v>
      </c>
      <c r="BG27" s="112">
        <f t="shared" si="0"/>
        <v>8</v>
      </c>
      <c r="BH27" s="3"/>
      <c r="BI27" s="40">
        <f t="shared" si="1"/>
        <v>31.964537563037734</v>
      </c>
      <c r="BJ27" s="40">
        <f t="shared" si="1"/>
        <v>-7.9696543123980286</v>
      </c>
      <c r="BK27" s="3"/>
      <c r="BL27" s="40" t="e">
        <f>#REF!*$BM$4</f>
        <v>#REF!</v>
      </c>
      <c r="BM27" s="40" t="e">
        <f>#REF!*$BM$4</f>
        <v>#REF!</v>
      </c>
      <c r="BN27" s="3"/>
      <c r="BO27" s="3"/>
      <c r="BP27" s="3"/>
      <c r="BQ27" s="3"/>
    </row>
    <row r="28" spans="1:74" ht="15.75">
      <c r="A28" s="24" t="s">
        <v>43</v>
      </c>
      <c r="B28" s="24"/>
      <c r="C28" s="35"/>
      <c r="D28" s="27" t="str">
        <f>NomVZ1E  &amp;"V,  240º"</f>
        <v>60V,  240º</v>
      </c>
      <c r="E28" s="28"/>
      <c r="F28" s="61"/>
      <c r="G28" s="27" t="str">
        <f>NomVZ1BE  &amp;"V,  240º"</f>
        <v>60V,  240º</v>
      </c>
      <c r="H28" s="28"/>
      <c r="I28" s="61"/>
      <c r="J28" s="27" t="str">
        <f>NomVZ2E  &amp;"V,  240º"</f>
        <v>60V,  240º</v>
      </c>
      <c r="K28" s="28"/>
      <c r="L28" s="35"/>
      <c r="M28" s="27" t="str">
        <f>NomVZ3E  &amp;"V,  240º"</f>
        <v>60V,  240º</v>
      </c>
      <c r="O28" s="35"/>
      <c r="P28" s="27" t="str">
        <f>ROUND(NomVESF,2)  &amp;"V,  240º"</f>
        <v>60V,  240º</v>
      </c>
      <c r="Q28" s="26"/>
      <c r="R28" s="24"/>
      <c r="S28" s="27" t="str">
        <f>ROUND(NomVESR,2)  &amp;"V,  240º"</f>
        <v>63V,  240º</v>
      </c>
      <c r="T28" s="28"/>
      <c r="U28" s="290"/>
      <c r="V28" s="291" t="str">
        <f>NomVZ3E  &amp;"V,  240º"</f>
        <v>60V,  240º</v>
      </c>
      <c r="W28" s="27"/>
      <c r="X28" s="27"/>
      <c r="Y28" s="27" t="str">
        <f>NomVZ3E  &amp;"V,  240º"</f>
        <v>60V,  240º</v>
      </c>
      <c r="Z28" s="27"/>
      <c r="AA28" s="385">
        <f>I14</f>
        <v>-41.402214761334271</v>
      </c>
      <c r="AB28" s="386">
        <f>IF($J14="",AB27,COS(RADIANS($I14))*$J14)</f>
        <v>31.964537563037734</v>
      </c>
      <c r="AC28" s="386">
        <f>IF($J14="",AC27,SIN(RADIANS($I14))*$J14)</f>
        <v>-7.9696543123980286</v>
      </c>
      <c r="AD28" s="23"/>
      <c r="AE28" s="385">
        <f>I36</f>
        <v>-11.106220261843083</v>
      </c>
      <c r="AF28" s="386">
        <f>IF($J36="",AF27,COS(RADIANS($I36))*$J36)</f>
        <v>114.59721496706948</v>
      </c>
      <c r="AG28" s="386">
        <f>IF($J36="",AG27,SIN(RADIANS($I36))*$J36)</f>
        <v>-22.496000000000002</v>
      </c>
      <c r="AH28" s="22"/>
      <c r="AI28" s="3"/>
      <c r="AK28" s="1186" t="s">
        <v>99</v>
      </c>
      <c r="AL28" s="1186"/>
      <c r="AM28" s="1182" t="s">
        <v>286</v>
      </c>
      <c r="AN28" s="1182"/>
      <c r="AO28" s="325" t="s">
        <v>402</v>
      </c>
      <c r="AP28" s="325" t="s">
        <v>403</v>
      </c>
      <c r="AQ28" s="325" t="s">
        <v>404</v>
      </c>
      <c r="AR28" s="326"/>
      <c r="AS28" s="323"/>
      <c r="AT28" s="331" t="s">
        <v>417</v>
      </c>
      <c r="AU28" s="325" t="s">
        <v>414</v>
      </c>
      <c r="AV28" s="325" t="s">
        <v>415</v>
      </c>
      <c r="AW28" s="325" t="s">
        <v>416</v>
      </c>
      <c r="AX28" s="326"/>
      <c r="AY28" s="325"/>
      <c r="AZ28" s="331" t="s">
        <v>418</v>
      </c>
      <c r="BA28" s="3"/>
      <c r="BB28" s="3"/>
      <c r="BC28" s="68">
        <v>28</v>
      </c>
      <c r="BD28" s="114">
        <f>O39</f>
        <v>11</v>
      </c>
      <c r="BE28" s="110">
        <f>C41</f>
        <v>12</v>
      </c>
      <c r="BF28" s="112">
        <f>F41</f>
        <v>12</v>
      </c>
      <c r="BG28" s="112">
        <f t="shared" si="0"/>
        <v>12</v>
      </c>
      <c r="BH28" s="3"/>
      <c r="BI28" s="40">
        <f t="shared" si="1"/>
        <v>31.964537563037734</v>
      </c>
      <c r="BJ28" s="40">
        <f t="shared" si="1"/>
        <v>-7.9696543123980286</v>
      </c>
      <c r="BK28" s="3"/>
      <c r="BL28" s="40" t="e">
        <f>#REF!*$BM$4</f>
        <v>#REF!</v>
      </c>
      <c r="BM28" s="40" t="e">
        <f>#REF!*$BM$4</f>
        <v>#REF!</v>
      </c>
      <c r="BN28" s="3"/>
      <c r="BO28" s="3"/>
      <c r="BP28" s="3"/>
      <c r="BQ28" s="3"/>
    </row>
    <row r="29" spans="1:74" ht="15.75">
      <c r="A29" s="24" t="s">
        <v>44</v>
      </c>
      <c r="B29" s="24"/>
      <c r="C29" s="24"/>
      <c r="D29" s="27" t="str">
        <f>NomVZ1E  &amp;"V,  120º"</f>
        <v>60V,  120º</v>
      </c>
      <c r="E29" s="28"/>
      <c r="F29" s="60"/>
      <c r="G29" s="27" t="str">
        <f>NomVZ1BE  &amp;"V,  120º"</f>
        <v>60V,  120º</v>
      </c>
      <c r="H29" s="28"/>
      <c r="I29" s="60"/>
      <c r="J29" s="27" t="str">
        <f>NomVZ2E  &amp;"V,  120º"</f>
        <v>60V,  120º</v>
      </c>
      <c r="K29" s="28"/>
      <c r="L29" s="24"/>
      <c r="M29" s="27" t="str">
        <f>NomVZ3E  &amp;"V,  120º"</f>
        <v>60V,  120º</v>
      </c>
      <c r="O29" s="24"/>
      <c r="P29" s="27" t="str">
        <f>ROUND(NomVESF,2)  &amp;"V,  120º"</f>
        <v>60V,  120º</v>
      </c>
      <c r="Q29" s="26"/>
      <c r="R29" s="24"/>
      <c r="S29" s="27" t="str">
        <f>ROUND(NomVESR,2)  &amp;"V,  120º"</f>
        <v>63V,  120º</v>
      </c>
      <c r="T29" s="28"/>
      <c r="U29" s="289"/>
      <c r="V29" s="291" t="str">
        <f>NomVZ3E  &amp;"V,  120º"</f>
        <v>60V,  120º</v>
      </c>
      <c r="W29" s="27"/>
      <c r="X29" s="27"/>
      <c r="Y29" s="27" t="str">
        <f>NomVZ3E  &amp;"V,  120º"</f>
        <v>60V,  120º</v>
      </c>
      <c r="Z29" s="27"/>
      <c r="AA29" s="385">
        <f t="shared" ref="AA29:AA37" si="28">I15</f>
        <v>0</v>
      </c>
      <c r="AB29" s="386">
        <f t="shared" ref="AB29:AB37" si="29">IF($J15="",AB28,COS(RADIANS($I15))*$J15)</f>
        <v>34.1</v>
      </c>
      <c r="AC29" s="386">
        <f t="shared" ref="AC29:AC37" si="30">IF($J15="",AC28,SIN(RADIANS($I15))*$J15)</f>
        <v>0</v>
      </c>
      <c r="AD29" s="23"/>
      <c r="AE29" s="385">
        <f t="shared" ref="AE29:AE37" si="31">I37</f>
        <v>0</v>
      </c>
      <c r="AF29" s="386">
        <f t="shared" ref="AF29:AF37" si="32">IF($J37="",AF28,COS(RADIANS($I37))*$J37)</f>
        <v>120.62500000000001</v>
      </c>
      <c r="AG29" s="386">
        <f t="shared" ref="AG29:AG37" si="33">IF($J37="",AG28,SIN(RADIANS($I37))*$J37)</f>
        <v>0</v>
      </c>
      <c r="AH29" s="22"/>
      <c r="AI29" s="3"/>
      <c r="AJ29" s="3"/>
      <c r="AK29" s="344" t="s">
        <v>46</v>
      </c>
      <c r="AL29" s="344" t="s">
        <v>47</v>
      </c>
      <c r="AM29" s="117" t="s">
        <v>46</v>
      </c>
      <c r="AN29" s="117" t="s">
        <v>47</v>
      </c>
      <c r="AO29" s="330" t="s">
        <v>405</v>
      </c>
      <c r="AP29" s="330" t="s">
        <v>406</v>
      </c>
      <c r="AQ29" s="330" t="s">
        <v>407</v>
      </c>
      <c r="AR29" s="330" t="s">
        <v>408</v>
      </c>
      <c r="AS29" s="330" t="s">
        <v>409</v>
      </c>
      <c r="AT29" s="332" t="s">
        <v>410</v>
      </c>
      <c r="AU29" s="330" t="s">
        <v>405</v>
      </c>
      <c r="AV29" s="330" t="s">
        <v>406</v>
      </c>
      <c r="AW29" s="330" t="s">
        <v>407</v>
      </c>
      <c r="AX29" s="330" t="s">
        <v>408</v>
      </c>
      <c r="AY29" s="330" t="s">
        <v>409</v>
      </c>
      <c r="AZ29" s="332" t="s">
        <v>410</v>
      </c>
      <c r="BA29" s="3"/>
      <c r="BB29" s="3"/>
      <c r="BC29" s="68">
        <v>29</v>
      </c>
      <c r="BD29" s="114">
        <f>O41</f>
        <v>15</v>
      </c>
      <c r="BE29" s="110">
        <f>C43</f>
        <v>90</v>
      </c>
      <c r="BF29" s="112">
        <f>F43</f>
        <v>90</v>
      </c>
      <c r="BG29" s="112">
        <f t="shared" si="0"/>
        <v>90</v>
      </c>
      <c r="BH29" s="3"/>
      <c r="BI29" s="40">
        <f t="shared" si="1"/>
        <v>34.1</v>
      </c>
      <c r="BJ29" s="40">
        <f t="shared" si="1"/>
        <v>0</v>
      </c>
      <c r="BK29" s="3"/>
      <c r="BL29" s="40" t="e">
        <f>#REF!*$BM$4</f>
        <v>#REF!</v>
      </c>
      <c r="BM29" s="40" t="e">
        <f>#REF!*$BM$4</f>
        <v>#REF!</v>
      </c>
      <c r="BN29" s="3"/>
      <c r="BO29" s="3"/>
      <c r="BP29" s="3"/>
      <c r="BQ29" s="3"/>
    </row>
    <row r="30" spans="1:74" ht="15.75">
      <c r="A30" s="24" t="s">
        <v>62</v>
      </c>
      <c r="B30" s="3"/>
      <c r="C30" s="80"/>
      <c r="D30" s="30" t="str">
        <f>ROUND(TestVZ1E/MIN(D35:D45)*I_Nom*1.1,1) &amp; "A"</f>
        <v>1.2A</v>
      </c>
      <c r="E30" s="81"/>
      <c r="F30" s="81"/>
      <c r="G30" s="30" t="str">
        <f>ROUND(TestVZ1BE/MIN(G35:G45)*I_Nom*1.1,1) &amp; "A"</f>
        <v>1.2A</v>
      </c>
      <c r="H30" s="30"/>
      <c r="I30" s="81"/>
      <c r="J30" s="30" t="str">
        <f>ROUND(TestVZ2E/MIN(J35:J45)*I_Nom*1.1,1) &amp; "A"</f>
        <v>1.2A</v>
      </c>
      <c r="K30" s="81"/>
      <c r="L30" s="81"/>
      <c r="M30" s="30" t="str">
        <f>ROUND(TestVZ3E/MIN(M35:M45)*I_Nom*1.1,1) &amp; "A"</f>
        <v>1.2A</v>
      </c>
      <c r="O30" s="81"/>
      <c r="P30" s="30" t="str">
        <f>ROUND(TestVZ4E/MIN(P35:P45)*I_Nom*1.1,1) &amp; "A"</f>
        <v>1A</v>
      </c>
      <c r="Q30" s="80"/>
      <c r="R30" s="80"/>
      <c r="S30" s="30" t="str">
        <f>ROUND(TestVZ5E/MIN(S35:S45)*I_Nom*1.1,1) &amp; "A"</f>
        <v>1.4A</v>
      </c>
      <c r="T30" s="81"/>
      <c r="U30" s="281"/>
      <c r="V30" s="30" t="str">
        <f>ROUND(V32/MIN(V35:V46)*I_Nom*1.1,1) &amp; "A"</f>
        <v>1.2A</v>
      </c>
      <c r="W30" s="30"/>
      <c r="X30" s="30"/>
      <c r="Y30" s="30" t="str">
        <f>ROUND(Y32/MIN(Y35:Y46)*I_Nom*1.1,1) &amp; "A"</f>
        <v>2.1A</v>
      </c>
      <c r="Z30" s="30"/>
      <c r="AA30" s="385">
        <f t="shared" si="28"/>
        <v>10.5</v>
      </c>
      <c r="AB30" s="386">
        <f t="shared" si="29"/>
        <v>35.881949550776504</v>
      </c>
      <c r="AC30" s="386">
        <f t="shared" si="30"/>
        <v>6.6503262600224158</v>
      </c>
      <c r="AD30" s="23"/>
      <c r="AE30" s="385">
        <f t="shared" si="31"/>
        <v>4</v>
      </c>
      <c r="AF30" s="386">
        <f t="shared" si="32"/>
        <v>122.92828675401546</v>
      </c>
      <c r="AG30" s="386">
        <f t="shared" si="33"/>
        <v>8.5959831903859616</v>
      </c>
      <c r="AH30" s="22"/>
      <c r="AI30" s="3"/>
      <c r="AJ30" s="3"/>
      <c r="AK30" s="345">
        <f>HLOOKUP($AR$27,$AO$29:$AS$53,2)</f>
        <v>-39.079693088446213</v>
      </c>
      <c r="AL30" s="345">
        <f>HLOOKUP($AR$27,$AU$29:$AY$53,2)</f>
        <v>-10.872617516646374</v>
      </c>
      <c r="AM30" s="346">
        <f>HLOOKUP($AV$27,$AO$29:$AS$53,2)</f>
        <v>-14</v>
      </c>
      <c r="AN30" s="346">
        <f>HLOOKUP($AV$27,$AU$29:$AY$53,2)</f>
        <v>-14</v>
      </c>
      <c r="AO30" s="258">
        <f>F13</f>
        <v>-14</v>
      </c>
      <c r="AP30" s="412">
        <f>F14</f>
        <v>-39.079693088446213</v>
      </c>
      <c r="AQ30" s="416">
        <f>O13</f>
        <v>-14</v>
      </c>
      <c r="AR30" s="258"/>
      <c r="AS30" s="258"/>
      <c r="AT30" s="101" t="s">
        <v>420</v>
      </c>
      <c r="AU30" s="258">
        <f>F35</f>
        <v>-14</v>
      </c>
      <c r="AV30" s="412">
        <f>Z1BE_Ang2</f>
        <v>-10.872617516646374</v>
      </c>
      <c r="AW30" s="416">
        <f>O35</f>
        <v>-14</v>
      </c>
      <c r="AX30" s="258"/>
      <c r="AY30" s="258"/>
      <c r="AZ30" s="101" t="s">
        <v>449</v>
      </c>
      <c r="BA30" s="3"/>
      <c r="BB30" s="3"/>
      <c r="BC30" s="68">
        <v>30</v>
      </c>
      <c r="BD30" s="114">
        <f>O43</f>
        <v>90</v>
      </c>
      <c r="BE30" s="110">
        <f>180-BE28</f>
        <v>168</v>
      </c>
      <c r="BF30" s="112">
        <f>180-BF28</f>
        <v>168</v>
      </c>
      <c r="BG30" s="112">
        <f t="shared" si="0"/>
        <v>168</v>
      </c>
      <c r="BH30" s="3"/>
      <c r="BI30" s="40">
        <f t="shared" si="1"/>
        <v>35.881949550776504</v>
      </c>
      <c r="BJ30" s="40">
        <f t="shared" si="1"/>
        <v>6.6503262600224158</v>
      </c>
      <c r="BK30" s="3"/>
      <c r="BL30" s="40" t="e">
        <f>#REF!*$BM$4</f>
        <v>#REF!</v>
      </c>
      <c r="BM30" s="40" t="e">
        <f>#REF!*$BM$4</f>
        <v>#REF!</v>
      </c>
      <c r="BN30" s="3"/>
      <c r="BO30" s="3"/>
      <c r="BQ30" s="3"/>
    </row>
    <row r="31" spans="1:74" ht="15.75">
      <c r="A31" s="24" t="s">
        <v>29</v>
      </c>
      <c r="B31" s="22"/>
      <c r="C31" s="22"/>
      <c r="D31" s="50">
        <f>T_1*50+5</f>
        <v>5</v>
      </c>
      <c r="E31" s="50"/>
      <c r="F31" s="73"/>
      <c r="G31" s="62">
        <f>T_1B*50+5</f>
        <v>5</v>
      </c>
      <c r="H31" s="50"/>
      <c r="I31" s="73"/>
      <c r="J31" s="62">
        <f>T_2*50+5</f>
        <v>25</v>
      </c>
      <c r="K31" s="50"/>
      <c r="L31" s="22"/>
      <c r="M31" s="50">
        <f>T_3*50+5</f>
        <v>25</v>
      </c>
      <c r="O31" s="22"/>
      <c r="P31" s="50">
        <f>T_4*50+5</f>
        <v>50</v>
      </c>
      <c r="Q31" s="22"/>
      <c r="R31" s="22"/>
      <c r="S31" s="50">
        <f>T_5*50+5</f>
        <v>60.000000000000007</v>
      </c>
      <c r="T31" s="50"/>
      <c r="U31" s="282"/>
      <c r="V31" s="50">
        <v>5</v>
      </c>
      <c r="W31" s="30"/>
      <c r="X31" s="30"/>
      <c r="Y31" s="30">
        <v>5</v>
      </c>
      <c r="AA31" s="385">
        <f t="shared" si="28"/>
        <v>21</v>
      </c>
      <c r="AB31" s="386">
        <f t="shared" si="29"/>
        <v>38.009508185770379</v>
      </c>
      <c r="AC31" s="386">
        <f t="shared" si="30"/>
        <v>14.590483181901485</v>
      </c>
      <c r="AD31" s="23"/>
      <c r="AE31" s="385">
        <f t="shared" si="31"/>
        <v>8</v>
      </c>
      <c r="AF31" s="386">
        <f t="shared" si="32"/>
        <v>125.34522584206988</v>
      </c>
      <c r="AG31" s="386">
        <f t="shared" si="33"/>
        <v>17.616122665804266</v>
      </c>
      <c r="AH31" s="22"/>
      <c r="AI31" s="3"/>
      <c r="AJ31" s="3"/>
      <c r="AK31" s="345">
        <f>HLOOKUP($AR$27,$AO$29:$AS$53,3)</f>
        <v>0</v>
      </c>
      <c r="AL31" s="345">
        <f>HLOOKUP($AR$27,$AU$29:$AY$53,3)</f>
        <v>0</v>
      </c>
      <c r="AM31" s="346">
        <f>HLOOKUP($AV$27,$AO$29:$AS$53,3)</f>
        <v>0</v>
      </c>
      <c r="AN31" s="346">
        <f>HLOOKUP($AV$27,$AU$29:$AY$53,3)</f>
        <v>0</v>
      </c>
      <c r="AO31" s="258">
        <f>F15</f>
        <v>0</v>
      </c>
      <c r="AP31" s="410">
        <f>F15</f>
        <v>0</v>
      </c>
      <c r="AQ31" s="410">
        <f>O15</f>
        <v>0</v>
      </c>
      <c r="AR31" s="258"/>
      <c r="AS31" s="258"/>
      <c r="AT31" s="333">
        <f>CHOOSE(LEFT(PTTMode,1),D10,D10,G10,"")</f>
        <v>110</v>
      </c>
      <c r="AU31" s="258">
        <f>F37</f>
        <v>0</v>
      </c>
      <c r="AV31" s="410">
        <f>F37</f>
        <v>0</v>
      </c>
      <c r="AW31" s="410">
        <f>O37</f>
        <v>0</v>
      </c>
      <c r="AX31" s="258"/>
      <c r="AY31" s="258"/>
      <c r="AZ31" s="333">
        <f>CHOOSE(LEFT(PTTMode,1),D32,D32,G32,"")</f>
        <v>31.386287657377903</v>
      </c>
      <c r="BA31" s="3"/>
      <c r="BB31" s="3"/>
      <c r="BC31" s="68">
        <v>31</v>
      </c>
      <c r="BD31" s="114" t="e">
        <f>#REF!</f>
        <v>#REF!</v>
      </c>
      <c r="BE31" s="110">
        <f>180-BE27</f>
        <v>172</v>
      </c>
      <c r="BF31" s="112">
        <f>180-BF27</f>
        <v>172</v>
      </c>
      <c r="BG31" s="112">
        <f t="shared" si="0"/>
        <v>172</v>
      </c>
      <c r="BH31" s="3"/>
      <c r="BI31" s="40">
        <f t="shared" si="1"/>
        <v>38.009508185770379</v>
      </c>
      <c r="BJ31" s="40">
        <f t="shared" si="1"/>
        <v>14.590483181901485</v>
      </c>
      <c r="BK31" s="3"/>
      <c r="BL31" s="40" t="e">
        <f>#REF!*$BM$4</f>
        <v>#REF!</v>
      </c>
      <c r="BM31" s="40" t="e">
        <f>#REF!*$BM$4</f>
        <v>#REF!</v>
      </c>
      <c r="BN31" s="3"/>
      <c r="BO31" s="3"/>
      <c r="BP31" s="3"/>
      <c r="BQ31" s="3"/>
    </row>
    <row r="32" spans="1:74" ht="15.75">
      <c r="A32" s="24" t="s">
        <v>102</v>
      </c>
      <c r="B32" s="24"/>
      <c r="C32" s="24"/>
      <c r="D32" s="31">
        <f>MIN(63,MAX(D35:D45)*IF(MAX(D35:D45)/MIN(D35:D45)&lt;4,3,Je_*1.2))</f>
        <v>15.761956473304517</v>
      </c>
      <c r="E32" s="30"/>
      <c r="F32" s="24"/>
      <c r="G32" s="31">
        <f>MIN(63,MAX(G35:G45)*IF(MAX(G35:G45)/MIN(G35:G45)&lt;4,3,Je_*1.2))</f>
        <v>31.386287657377903</v>
      </c>
      <c r="H32" s="30"/>
      <c r="I32" s="24"/>
      <c r="J32" s="31">
        <f>MIN(63,MAX(J35:J45)*IF(MAX(J35:J45)/MIN(J35:J45)&lt;4,3,Je_*1.2))</f>
        <v>24.697945932037388</v>
      </c>
      <c r="K32" s="30"/>
      <c r="L32" s="24"/>
      <c r="M32" s="31">
        <f>MIN(63,MAX(M35:M45)*IF(MAX(M35:M45)/MIN(M35:M45)&lt;4,3,Je_*1.2))</f>
        <v>1.8050455822817035</v>
      </c>
      <c r="N32" s="3"/>
      <c r="O32" s="24"/>
      <c r="P32" s="31">
        <f>MIN(63,MAX(P35:P45)*IF(MAX(P35:P45)/MIN(P35:P45)&lt;4,3,Je_*1.2))</f>
        <v>36.777904442496769</v>
      </c>
      <c r="Q32" s="289"/>
      <c r="R32" s="24"/>
      <c r="S32" s="283">
        <f>MIN(63,MAX(S35:S45)*IF(MAX(S35:S45)/MIN(S35:S45)&lt;4,3,Je_*1.2))</f>
        <v>63</v>
      </c>
      <c r="T32" s="30"/>
      <c r="U32" s="289"/>
      <c r="V32" s="283">
        <f>MIN(63,MAX(V35:V46)*IF(MAX(V35:V46)/MIN(V35:V46)&lt;4,1,Je_*1.2))</f>
        <v>31.386287657377903</v>
      </c>
      <c r="W32" s="31"/>
      <c r="X32" s="292">
        <v>43</v>
      </c>
      <c r="Y32" s="283">
        <f>MIN(63,MAX(MAX(AL42:AL53)*MAX(J_,Je_),MIN(AL42:AL53)*SOTF_Isc)*1.5)*X32/50</f>
        <v>54.18</v>
      </c>
      <c r="Z32" s="31"/>
      <c r="AA32" s="385">
        <f t="shared" si="28"/>
        <v>30.911954820577883</v>
      </c>
      <c r="AB32" s="386">
        <f t="shared" si="29"/>
        <v>40.61652435992491</v>
      </c>
      <c r="AC32" s="386">
        <f t="shared" si="30"/>
        <v>24.32</v>
      </c>
      <c r="AD32" s="23"/>
      <c r="AE32" s="385">
        <f t="shared" si="31"/>
        <v>10.071805024152244</v>
      </c>
      <c r="AF32" s="386">
        <f t="shared" si="32"/>
        <v>126.65278503293054</v>
      </c>
      <c r="AG32" s="386">
        <f t="shared" si="33"/>
        <v>22.496000000000006</v>
      </c>
      <c r="AH32" s="22"/>
      <c r="AI32" s="3"/>
      <c r="AJ32" s="3"/>
      <c r="AK32" s="345">
        <f>HLOOKUP($AR$27,$AO$29:$AS$53,4)</f>
        <v>10</v>
      </c>
      <c r="AL32" s="345">
        <f>HLOOKUP($AR$27,$AU$29:$AY$53,4)</f>
        <v>8</v>
      </c>
      <c r="AM32" s="346">
        <f>HLOOKUP($AV$27,$AO$29:$AS$53,4)</f>
        <v>10</v>
      </c>
      <c r="AN32" s="346">
        <f>HLOOKUP($AV$27,$AU$29:$AY$53,4)</f>
        <v>4</v>
      </c>
      <c r="AO32" s="258">
        <f t="shared" ref="AO32:AO37" si="34">F16</f>
        <v>10</v>
      </c>
      <c r="AP32" s="258">
        <f>F16</f>
        <v>10</v>
      </c>
      <c r="AQ32" s="258">
        <f>O16</f>
        <v>10</v>
      </c>
      <c r="AR32" s="258"/>
      <c r="AS32" s="258"/>
      <c r="AT32" s="101" t="s">
        <v>419</v>
      </c>
      <c r="AU32" s="258">
        <f t="shared" ref="AU32:AU37" si="35">F38</f>
        <v>4</v>
      </c>
      <c r="AV32" s="258">
        <f>F39</f>
        <v>8</v>
      </c>
      <c r="AW32" s="258">
        <f>O39</f>
        <v>11</v>
      </c>
      <c r="AX32" s="258"/>
      <c r="AY32" s="258"/>
      <c r="AZ32" s="101" t="s">
        <v>419</v>
      </c>
      <c r="BA32" s="3"/>
      <c r="BB32" s="3"/>
      <c r="BC32" s="68">
        <v>32</v>
      </c>
      <c r="BD32" s="114">
        <f>R35</f>
        <v>166</v>
      </c>
      <c r="BE32" s="110">
        <f t="shared" ref="BE32:BF37" si="36">BE26+180</f>
        <v>180</v>
      </c>
      <c r="BF32" s="112">
        <f t="shared" si="36"/>
        <v>180</v>
      </c>
      <c r="BG32" s="112">
        <f t="shared" si="0"/>
        <v>180</v>
      </c>
      <c r="BH32" s="3"/>
      <c r="BI32" s="40">
        <f t="shared" si="1"/>
        <v>40.61652435992491</v>
      </c>
      <c r="BJ32" s="40">
        <f t="shared" si="1"/>
        <v>24.32</v>
      </c>
      <c r="BK32" s="3"/>
      <c r="BL32" s="40" t="e">
        <f>#REF!*$BM$4</f>
        <v>#REF!</v>
      </c>
      <c r="BM32" s="40" t="e">
        <f>#REF!*$BM$4</f>
        <v>#REF!</v>
      </c>
      <c r="BN32" s="3"/>
      <c r="BO32" s="3"/>
      <c r="BP32" s="3"/>
      <c r="BQ32" s="3"/>
    </row>
    <row r="33" spans="1:69" ht="15.75">
      <c r="A33" s="84" t="s">
        <v>103</v>
      </c>
      <c r="B33" s="3"/>
      <c r="C33" s="54"/>
      <c r="D33" s="85">
        <f>TestVZ1E/Je_</f>
        <v>98.512227958153233</v>
      </c>
      <c r="E33" s="86"/>
      <c r="F33" s="86"/>
      <c r="G33" s="85">
        <f>TestVZ1BE/Je_</f>
        <v>196.16429785861189</v>
      </c>
      <c r="H33" s="86"/>
      <c r="I33" s="86"/>
      <c r="J33" s="85">
        <f>TestVZ2E/Je_</f>
        <v>154.36216207523367</v>
      </c>
      <c r="K33" s="86"/>
      <c r="L33" s="86"/>
      <c r="M33" s="85">
        <f>TestVZ3E/Je_</f>
        <v>11.281534889260646</v>
      </c>
      <c r="O33" s="3"/>
      <c r="P33" s="85">
        <f>TestVZ4E/Je_</f>
        <v>229.86190276560481</v>
      </c>
      <c r="Q33" s="80"/>
      <c r="R33" s="80"/>
      <c r="S33" s="85">
        <f>TestVZ5E/Je_</f>
        <v>393.75</v>
      </c>
      <c r="T33" s="86"/>
      <c r="U33" s="284"/>
      <c r="V33" s="285">
        <f>V32/Je_</f>
        <v>196.16429785861189</v>
      </c>
      <c r="W33" s="85"/>
      <c r="X33" s="85"/>
      <c r="Y33" s="85">
        <f>Y32/Je_</f>
        <v>338.625</v>
      </c>
      <c r="Z33" s="85"/>
      <c r="AA33" s="385">
        <f t="shared" si="28"/>
        <v>41</v>
      </c>
      <c r="AB33" s="386">
        <f t="shared" si="29"/>
        <v>27.976959663614952</v>
      </c>
      <c r="AC33" s="386">
        <f t="shared" si="30"/>
        <v>24.319999999999997</v>
      </c>
      <c r="AD33" s="23"/>
      <c r="AE33" s="385">
        <f t="shared" si="31"/>
        <v>12</v>
      </c>
      <c r="AF33" s="386">
        <f t="shared" si="32"/>
        <v>105.83535894282733</v>
      </c>
      <c r="AG33" s="386">
        <f t="shared" si="33"/>
        <v>22.496000000000002</v>
      </c>
      <c r="AH33" s="22"/>
      <c r="AI33" s="3"/>
      <c r="AJ33" s="3"/>
      <c r="AK33" s="345">
        <f>HLOOKUP($AR$27,$AO$29:$AS$53,5)</f>
        <v>29.502840761917749</v>
      </c>
      <c r="AL33" s="345">
        <f>HLOOKUP($AR$27,$AU$29:$AY$53,5)</f>
        <v>9.8789046492933696</v>
      </c>
      <c r="AM33" s="346">
        <f>HLOOKUP($AV$27,$AO$29:$AS$53,5)</f>
        <v>20</v>
      </c>
      <c r="AN33" s="346">
        <f>HLOOKUP($AV$27,$AU$29:$AY$53,5)</f>
        <v>8</v>
      </c>
      <c r="AO33" s="258">
        <f t="shared" si="34"/>
        <v>20</v>
      </c>
      <c r="AP33" s="412">
        <f>F18</f>
        <v>29.502840761917749</v>
      </c>
      <c r="AQ33" s="412">
        <f>O18</f>
        <v>29.652125045045725</v>
      </c>
      <c r="AR33" s="258"/>
      <c r="AS33" s="258"/>
      <c r="AT33" s="101">
        <f>VALUE(SUBSTITUTE(CHOOSE(LEFT(PTTMode,1),D8,D8,G8,""),"A",""))</f>
        <v>4</v>
      </c>
      <c r="AU33" s="258">
        <f t="shared" si="35"/>
        <v>8</v>
      </c>
      <c r="AV33" s="412">
        <f>F40</f>
        <v>9.8789046492933696</v>
      </c>
      <c r="AW33" s="412">
        <f>O40</f>
        <v>12.777619637797585</v>
      </c>
      <c r="AX33" s="258"/>
      <c r="AY33" s="258"/>
      <c r="AZ33" s="101">
        <f>VALUE(SUBSTITUTE(CHOOSE(LEFT(PTTMode,1),D30,D30,G30,""),"A",""))</f>
        <v>1.2</v>
      </c>
      <c r="BA33" s="3"/>
      <c r="BB33" s="3"/>
      <c r="BC33" s="68">
        <v>33</v>
      </c>
      <c r="BD33" s="114">
        <f>R37</f>
        <v>180</v>
      </c>
      <c r="BE33" s="110">
        <f t="shared" si="36"/>
        <v>188</v>
      </c>
      <c r="BF33" s="112">
        <f t="shared" si="36"/>
        <v>188</v>
      </c>
      <c r="BG33" s="112">
        <f t="shared" si="0"/>
        <v>188</v>
      </c>
      <c r="BH33" s="3"/>
      <c r="BI33" s="40">
        <f t="shared" si="1"/>
        <v>27.976959663614952</v>
      </c>
      <c r="BJ33" s="40">
        <f t="shared" si="1"/>
        <v>24.319999999999997</v>
      </c>
      <c r="BK33" s="3"/>
      <c r="BL33" s="40" t="e">
        <f>#REF!*$BM$4</f>
        <v>#REF!</v>
      </c>
      <c r="BM33" s="40" t="e">
        <f>#REF!*$BM$4</f>
        <v>#REF!</v>
      </c>
      <c r="BN33" s="3"/>
      <c r="BO33" s="3"/>
      <c r="BP33" s="3"/>
      <c r="BQ33" s="3"/>
    </row>
    <row r="34" spans="1:69" ht="15.75">
      <c r="A34" s="3"/>
      <c r="C34" s="32" t="s">
        <v>32</v>
      </c>
      <c r="D34" s="32" t="s">
        <v>33</v>
      </c>
      <c r="E34" s="93"/>
      <c r="F34" s="32" t="s">
        <v>32</v>
      </c>
      <c r="G34" s="32" t="s">
        <v>33</v>
      </c>
      <c r="H34" s="93"/>
      <c r="I34" s="32" t="s">
        <v>32</v>
      </c>
      <c r="J34" s="32" t="s">
        <v>33</v>
      </c>
      <c r="K34" s="93"/>
      <c r="L34" s="32" t="s">
        <v>32</v>
      </c>
      <c r="M34" s="32" t="s">
        <v>33</v>
      </c>
      <c r="O34" s="43" t="s">
        <v>71</v>
      </c>
      <c r="P34" s="32" t="s">
        <v>36</v>
      </c>
      <c r="Q34" s="91"/>
      <c r="R34" s="92" t="s">
        <v>71</v>
      </c>
      <c r="S34" s="32" t="s">
        <v>36</v>
      </c>
      <c r="T34" s="93"/>
      <c r="U34" s="286" t="s">
        <v>32</v>
      </c>
      <c r="V34" s="286" t="s">
        <v>33</v>
      </c>
      <c r="W34" s="3"/>
      <c r="X34" s="32" t="s">
        <v>32</v>
      </c>
      <c r="Y34" s="32" t="s">
        <v>33</v>
      </c>
      <c r="Z34" s="142" t="s">
        <v>525</v>
      </c>
      <c r="AA34" s="385">
        <f t="shared" si="28"/>
        <v>65.5</v>
      </c>
      <c r="AB34" s="386">
        <f t="shared" si="29"/>
        <v>11.083262534552462</v>
      </c>
      <c r="AC34" s="386">
        <f t="shared" si="30"/>
        <v>24.32</v>
      </c>
      <c r="AD34" s="23"/>
      <c r="AE34" s="385">
        <f t="shared" si="31"/>
        <v>51</v>
      </c>
      <c r="AF34" s="386">
        <f t="shared" si="32"/>
        <v>18.216901610754881</v>
      </c>
      <c r="AG34" s="386">
        <f t="shared" si="33"/>
        <v>22.496000000000002</v>
      </c>
      <c r="AH34" s="22"/>
      <c r="AI34" s="3"/>
      <c r="AK34" s="345">
        <f>HLOOKUP($AR$27,$AO$29:$AS$53,6)</f>
        <v>65</v>
      </c>
      <c r="AL34" s="345">
        <f>HLOOKUP($AR$27,$AU$29:$AY$53,6)</f>
        <v>12</v>
      </c>
      <c r="AM34" s="346">
        <f>HLOOKUP($AV$27,$AO$29:$AS$53,6)</f>
        <v>29.502840761917749</v>
      </c>
      <c r="AN34" s="346">
        <f>HLOOKUP($AV$27,$AU$29:$AY$53,6)</f>
        <v>9.8789046492933696</v>
      </c>
      <c r="AO34" s="258">
        <f t="shared" si="34"/>
        <v>29.502840761917749</v>
      </c>
      <c r="AP34" s="258">
        <f>F20</f>
        <v>65</v>
      </c>
      <c r="AQ34" s="258">
        <f>O20</f>
        <v>65</v>
      </c>
      <c r="AR34" s="258"/>
      <c r="AS34" s="258"/>
      <c r="AT34" s="147">
        <f>CHOOSE(LEFT(PTTMode,1),C13,C13,F13,"")</f>
        <v>-14</v>
      </c>
      <c r="AU34" s="258">
        <f t="shared" si="35"/>
        <v>9.8789046492933696</v>
      </c>
      <c r="AV34" s="258">
        <f>F41</f>
        <v>12</v>
      </c>
      <c r="AW34" s="258">
        <f>O41</f>
        <v>15</v>
      </c>
      <c r="AX34" s="258"/>
      <c r="AY34" s="258"/>
      <c r="AZ34" s="147">
        <f>CHOOSE(LEFT(PTTMode,1),C35,C35,F35,"")</f>
        <v>-14</v>
      </c>
      <c r="BA34" s="3"/>
      <c r="BB34" s="3"/>
      <c r="BC34" s="68">
        <v>34</v>
      </c>
      <c r="BD34" s="114">
        <f>R39</f>
        <v>214</v>
      </c>
      <c r="BE34" s="110">
        <f t="shared" si="36"/>
        <v>192</v>
      </c>
      <c r="BF34" s="112">
        <f t="shared" si="36"/>
        <v>192</v>
      </c>
      <c r="BG34" s="112">
        <f t="shared" si="0"/>
        <v>192</v>
      </c>
      <c r="BH34" s="3"/>
      <c r="BI34" s="40">
        <f t="shared" si="1"/>
        <v>11.083262534552462</v>
      </c>
      <c r="BJ34" s="40">
        <f t="shared" si="1"/>
        <v>24.32</v>
      </c>
      <c r="BK34" s="3"/>
      <c r="BL34" s="40" t="e">
        <f>#REF!*$BM$4</f>
        <v>#REF!</v>
      </c>
      <c r="BM34" s="40" t="e">
        <f>#REF!*$BM$4</f>
        <v>#REF!</v>
      </c>
      <c r="BN34" s="3"/>
      <c r="BO34" s="3"/>
      <c r="BP34" s="3"/>
      <c r="BQ34" s="3"/>
    </row>
    <row r="35" spans="1:69" ht="15.75">
      <c r="A35" s="3"/>
      <c r="C35" s="33">
        <f>_Dir1+AngQ4E+DirDelta</f>
        <v>-14</v>
      </c>
      <c r="D35" s="36">
        <f>MIN(ABS(AS85),Z1E_Mag2,ABS(EX_1/SIN(RADIANS(C35))))</f>
        <v>61.559124125929081</v>
      </c>
      <c r="E35" s="22"/>
      <c r="F35" s="33">
        <f>Dir1B+AngQ4E+DirDelta</f>
        <v>-14</v>
      </c>
      <c r="G35" s="36">
        <f>MIN(ABS(AS85),Z1BE_Mag2,ABS(EX_1B/SIN(RADIANS(F35))))</f>
        <v>115.92997785702917</v>
      </c>
      <c r="H35" s="22"/>
      <c r="I35" s="33">
        <f>_Dir2+AngQ4E+DirDelta</f>
        <v>-14</v>
      </c>
      <c r="J35" s="36">
        <f>MIN(ABS(AS85),Z2E_Mag2,ABS(EX_2/SIN(RADIANS(I35))))</f>
        <v>92.988689362894107</v>
      </c>
      <c r="K35" s="22"/>
      <c r="L35" s="33">
        <f>_Dir3+AngQ4E+DirDelta</f>
        <v>166</v>
      </c>
      <c r="M35" s="36">
        <f>MIN(ABS(AS85),Z3E_Mag2,ABS(EX_3/SIN(RADIANS(L35))))</f>
        <v>7.1117994331818686</v>
      </c>
      <c r="O35" s="33">
        <f>_Dir4+AngQ4E+DirDelta</f>
        <v>-14</v>
      </c>
      <c r="P35" s="36">
        <f>MIN(ABS(AS85),Z4E_Mag2,ABS(EX_4/SIN(RADIANS(O35))))</f>
        <v>169.50358777254945</v>
      </c>
      <c r="Q35" s="3"/>
      <c r="R35" s="33">
        <f>_Dir5+AngQ4E+DirDelta</f>
        <v>166</v>
      </c>
      <c r="S35" s="36">
        <f>MIN(ABS(AS85),Z5E_Mag2,ABS(EX_5/SIN(RADIANS(R35))))</f>
        <v>52.971036504434409</v>
      </c>
      <c r="T35" s="22"/>
      <c r="U35" s="287">
        <f>IF(V35="","",AN30)</f>
        <v>-14</v>
      </c>
      <c r="V35" s="277">
        <f>IF(AN42=0,"",AN42)</f>
        <v>115.92997785702917</v>
      </c>
      <c r="W35" s="3"/>
      <c r="X35" s="287">
        <f>AL30</f>
        <v>-10.872617516646374</v>
      </c>
      <c r="Y35" s="277">
        <f t="shared" ref="Y35:Y46" si="37">MAX(AL42,TestV_SOTF_E/SOTF_Isc)</f>
        <v>148.68565734659521</v>
      </c>
      <c r="Z35" s="409">
        <f>Y$32/Y35</f>
        <v>0.36439291433270637</v>
      </c>
      <c r="AA35" s="385">
        <f t="shared" si="28"/>
        <v>90</v>
      </c>
      <c r="AB35" s="386">
        <f t="shared" si="29"/>
        <v>1.4897805211688819E-15</v>
      </c>
      <c r="AC35" s="386">
        <f t="shared" si="30"/>
        <v>24.32</v>
      </c>
      <c r="AD35" s="23"/>
      <c r="AE35" s="385">
        <f t="shared" si="31"/>
        <v>90</v>
      </c>
      <c r="AF35" s="386">
        <f t="shared" si="32"/>
        <v>1.378046982081216E-15</v>
      </c>
      <c r="AG35" s="386">
        <f t="shared" si="33"/>
        <v>22.496000000000002</v>
      </c>
      <c r="AH35" s="22"/>
      <c r="AI35" s="3"/>
      <c r="AK35" s="345">
        <f>HLOOKUP($AR$27,$AO$29:$AS$53,7)</f>
        <v>90</v>
      </c>
      <c r="AL35" s="345">
        <f>HLOOKUP($AR$27,$AU$29:$AY$53,7)</f>
        <v>90</v>
      </c>
      <c r="AM35" s="346">
        <f>HLOOKUP($AV$27,$AO$29:$AS$53,7)</f>
        <v>40</v>
      </c>
      <c r="AN35" s="346">
        <f>HLOOKUP($AV$27,$AU$29:$AY$53,7)</f>
        <v>12</v>
      </c>
      <c r="AO35" s="258">
        <f t="shared" si="34"/>
        <v>40</v>
      </c>
      <c r="AP35" s="410">
        <f>F21</f>
        <v>90</v>
      </c>
      <c r="AQ35" s="410">
        <f>O21</f>
        <v>90</v>
      </c>
      <c r="AR35" s="258"/>
      <c r="AS35" s="258"/>
      <c r="AT35" s="147">
        <f t="shared" ref="AT35:AT41" si="38">CHOOSE(LEFT(PTTMode,1),C15,C15,F15,"")</f>
        <v>0</v>
      </c>
      <c r="AU35" s="258">
        <f t="shared" si="35"/>
        <v>12</v>
      </c>
      <c r="AV35" s="410">
        <f>F43</f>
        <v>90</v>
      </c>
      <c r="AW35" s="410">
        <f>O43</f>
        <v>90</v>
      </c>
      <c r="AX35" s="258"/>
      <c r="AY35" s="258"/>
      <c r="AZ35" s="147">
        <f t="shared" ref="AZ35:AZ41" si="39">CHOOSE(LEFT(PTTMode,1),C37,C37,F37,"")</f>
        <v>0</v>
      </c>
      <c r="BA35" s="3"/>
      <c r="BB35" s="3"/>
      <c r="BC35" s="68">
        <v>35</v>
      </c>
      <c r="BD35" s="114">
        <f>R41</f>
        <v>218</v>
      </c>
      <c r="BE35" s="110">
        <f t="shared" si="36"/>
        <v>270</v>
      </c>
      <c r="BF35" s="112">
        <f t="shared" si="36"/>
        <v>270</v>
      </c>
      <c r="BG35" s="112">
        <f t="shared" si="0"/>
        <v>270</v>
      </c>
      <c r="BH35" s="3"/>
      <c r="BI35" s="40">
        <f t="shared" si="1"/>
        <v>1.4897805211688819E-15</v>
      </c>
      <c r="BJ35" s="40">
        <f t="shared" si="1"/>
        <v>24.32</v>
      </c>
      <c r="BK35" s="3"/>
      <c r="BL35" s="40" t="e">
        <f>#REF!*$BM$4</f>
        <v>#REF!</v>
      </c>
      <c r="BM35" s="40" t="e">
        <f>#REF!*$BM$4</f>
        <v>#REF!</v>
      </c>
      <c r="BN35" s="3"/>
      <c r="BO35" s="3"/>
      <c r="BP35" s="3"/>
    </row>
    <row r="36" spans="1:69" ht="15.75">
      <c r="A36" s="24"/>
      <c r="B36" s="414"/>
      <c r="C36" s="623">
        <f>Z1E_Ang2</f>
        <v>-11.566640661988208</v>
      </c>
      <c r="D36" s="624">
        <f>IF(C36&gt;C35,ABS(EX_1/SIN(RADIANS(C36))),"")</f>
        <v>74.274011602438492</v>
      </c>
      <c r="E36" s="548"/>
      <c r="F36" s="623">
        <f>Z1BE_Ang2</f>
        <v>-10.872617516646374</v>
      </c>
      <c r="G36" s="624">
        <f>IF(F36&gt;F35,ABS(EX_1B/SIN(RADIANS(F36))),"")</f>
        <v>148.68565734659524</v>
      </c>
      <c r="H36" s="625"/>
      <c r="I36" s="623">
        <f>Z2E_Ang2</f>
        <v>-11.106220261843083</v>
      </c>
      <c r="J36" s="624">
        <f>IF(I36&gt;I35,ABS(EX_2/SIN(RADIANS(I36))),"")</f>
        <v>116.78438120831369</v>
      </c>
      <c r="K36" s="548"/>
      <c r="L36" s="623">
        <f>Z3E_Ang2</f>
        <v>168.31711156215658</v>
      </c>
      <c r="M36" s="624">
        <f>IF(L36&gt;L35,ABS(EX_3/SIN(RADIANS(L36))),"")</f>
        <v>8.4965128676089208</v>
      </c>
      <c r="N36" s="626"/>
      <c r="O36" s="623">
        <f>Z4E_Ang2</f>
        <v>-14.475340752524936</v>
      </c>
      <c r="P36" s="624" t="str">
        <f>IF(O36&gt;O35,ABS(EX_4/SIN(RADIANS(O36))),"")</f>
        <v/>
      </c>
      <c r="Q36" s="627"/>
      <c r="R36" s="623">
        <f>Z5E_Ang2</f>
        <v>129.97577232825859</v>
      </c>
      <c r="S36" s="624" t="str">
        <f>IF(R36&gt;R35,ABS(EX_5/SIN(RADIANS(R36))),"")</f>
        <v/>
      </c>
      <c r="T36" s="22"/>
      <c r="U36" s="287">
        <f t="shared" ref="U36:U46" si="40">IF(V36="","",AN31)</f>
        <v>0</v>
      </c>
      <c r="V36" s="277">
        <f t="shared" ref="V36:V46" si="41">IF(AN43=0,"",AN43)</f>
        <v>153.53149999999999</v>
      </c>
      <c r="W36" s="3"/>
      <c r="X36" s="287">
        <f t="shared" ref="X36:X46" si="42">AL31</f>
        <v>0</v>
      </c>
      <c r="Y36" s="277">
        <f t="shared" si="37"/>
        <v>153.53149999999999</v>
      </c>
      <c r="Z36" s="409">
        <f t="shared" ref="Z36:Z46" si="43">Y$32/Y36</f>
        <v>0.35289175185548244</v>
      </c>
      <c r="AA36" s="385">
        <f t="shared" si="28"/>
        <v>138.59778523866572</v>
      </c>
      <c r="AB36" s="386">
        <f t="shared" si="29"/>
        <v>1.4897805211688819E-15</v>
      </c>
      <c r="AC36" s="386">
        <f t="shared" si="30"/>
        <v>24.32</v>
      </c>
      <c r="AD36" s="23"/>
      <c r="AE36" s="385">
        <f t="shared" si="31"/>
        <v>168.89377973815692</v>
      </c>
      <c r="AF36" s="386">
        <f t="shared" si="32"/>
        <v>1.378046982081216E-15</v>
      </c>
      <c r="AG36" s="386">
        <f t="shared" si="33"/>
        <v>22.496000000000002</v>
      </c>
      <c r="AH36" s="22"/>
      <c r="AI36" s="3"/>
      <c r="AK36" s="345">
        <f>HLOOKUP($AR$27,$AO$29:$AS$53,8)</f>
        <v>112</v>
      </c>
      <c r="AL36" s="345">
        <f>HLOOKUP($AR$27,$AU$29:$AY$53,8)</f>
        <v>110</v>
      </c>
      <c r="AM36" s="346">
        <f>HLOOKUP($AV$27,$AO$29:$AS$53,8)</f>
        <v>65</v>
      </c>
      <c r="AN36" s="346">
        <f>HLOOKUP($AV$27,$AU$29:$AY$53,8)</f>
        <v>51</v>
      </c>
      <c r="AO36" s="258">
        <f t="shared" si="34"/>
        <v>65</v>
      </c>
      <c r="AP36" s="258">
        <f>F23</f>
        <v>112</v>
      </c>
      <c r="AQ36" s="417">
        <f>O23</f>
        <v>112</v>
      </c>
      <c r="AR36" s="258"/>
      <c r="AS36" s="258"/>
      <c r="AT36" s="147">
        <f t="shared" si="38"/>
        <v>10</v>
      </c>
      <c r="AU36" s="258">
        <f t="shared" si="35"/>
        <v>51</v>
      </c>
      <c r="AV36" s="258">
        <f>F45</f>
        <v>110</v>
      </c>
      <c r="AW36" s="417">
        <f>O45</f>
        <v>110</v>
      </c>
      <c r="AX36" s="258"/>
      <c r="AY36" s="258"/>
      <c r="AZ36" s="147">
        <f t="shared" si="39"/>
        <v>4</v>
      </c>
      <c r="BA36" s="3"/>
      <c r="BB36" s="3"/>
      <c r="BC36" s="68">
        <v>36</v>
      </c>
      <c r="BD36" s="114">
        <f>R43</f>
        <v>270</v>
      </c>
      <c r="BE36" s="110">
        <f t="shared" si="36"/>
        <v>348</v>
      </c>
      <c r="BF36" s="112">
        <f t="shared" si="36"/>
        <v>348</v>
      </c>
      <c r="BG36" s="112">
        <f t="shared" si="0"/>
        <v>348</v>
      </c>
      <c r="BH36" s="3"/>
      <c r="BI36" s="40">
        <f t="shared" si="1"/>
        <v>1.4897805211688819E-15</v>
      </c>
      <c r="BJ36" s="40">
        <f t="shared" si="1"/>
        <v>24.32</v>
      </c>
      <c r="BK36" s="3"/>
      <c r="BL36" s="40" t="e">
        <f>#REF!*$BM$4</f>
        <v>#REF!</v>
      </c>
      <c r="BM36" s="40" t="e">
        <f>#REF!*$BM$4</f>
        <v>#REF!</v>
      </c>
      <c r="BN36" s="3"/>
      <c r="BO36" s="3"/>
      <c r="BP36" s="3"/>
      <c r="BQ36" s="3"/>
    </row>
    <row r="37" spans="1:69" ht="15.75">
      <c r="A37" s="22"/>
      <c r="B37" s="3"/>
      <c r="C37" s="33">
        <f>0+_Dir1</f>
        <v>0</v>
      </c>
      <c r="D37" s="36">
        <f>MIN(ER_1,AS83)</f>
        <v>76.756100000000018</v>
      </c>
      <c r="E37" s="22"/>
      <c r="F37" s="33">
        <f>0+Dir1B</f>
        <v>0</v>
      </c>
      <c r="G37" s="36">
        <f>MIN(ER_1B,AS83)</f>
        <v>153.53149999999999</v>
      </c>
      <c r="H37" s="22"/>
      <c r="I37" s="33">
        <f>0+_Dir2</f>
        <v>0</v>
      </c>
      <c r="J37" s="36">
        <f>MIN(ER_2,AS83)</f>
        <v>120.62500000000001</v>
      </c>
      <c r="K37" s="22"/>
      <c r="L37" s="33">
        <f>0+_Dir3</f>
        <v>180</v>
      </c>
      <c r="M37" s="36">
        <f>MIN(ER_3,AS83)</f>
        <v>8.7815000000000012</v>
      </c>
      <c r="O37" s="33">
        <f>0+_Dir4</f>
        <v>0</v>
      </c>
      <c r="P37" s="36">
        <f>MIN(ER_4,AS83)</f>
        <v>175.4563</v>
      </c>
      <c r="Q37" s="3"/>
      <c r="R37" s="33">
        <f>0+_Dir5</f>
        <v>180</v>
      </c>
      <c r="S37" s="36">
        <f>MIN(ER_5,AS83)</f>
        <v>54.831300000000006</v>
      </c>
      <c r="T37" s="22"/>
      <c r="U37" s="287">
        <f t="shared" si="40"/>
        <v>4</v>
      </c>
      <c r="V37" s="277">
        <f t="shared" si="41"/>
        <v>156.84519038126788</v>
      </c>
      <c r="W37" s="3"/>
      <c r="X37" s="287">
        <f t="shared" si="42"/>
        <v>8</v>
      </c>
      <c r="Y37" s="277">
        <f t="shared" si="37"/>
        <v>161.10728850878598</v>
      </c>
      <c r="Z37" s="409">
        <f t="shared" si="43"/>
        <v>0.33629763433729004</v>
      </c>
      <c r="AA37" s="385">
        <f t="shared" si="28"/>
        <v>112</v>
      </c>
      <c r="AB37" s="386">
        <f t="shared" si="29"/>
        <v>-9.8259178123110154</v>
      </c>
      <c r="AC37" s="386">
        <f t="shared" si="30"/>
        <v>24.32</v>
      </c>
      <c r="AD37" s="23"/>
      <c r="AE37" s="385">
        <f t="shared" si="31"/>
        <v>110</v>
      </c>
      <c r="AF37" s="386">
        <f t="shared" si="32"/>
        <v>-8.1878743900524888</v>
      </c>
      <c r="AG37" s="386">
        <f t="shared" si="33"/>
        <v>22.496000000000002</v>
      </c>
      <c r="AH37" s="22"/>
      <c r="AI37" s="3"/>
      <c r="AK37" s="345">
        <f>HLOOKUP($AR$27,$AO$29:$AS$53,9)</f>
        <v>140.92030691155378</v>
      </c>
      <c r="AL37" s="345">
        <f>HLOOKUP($AR$27,$AU$29:$AY$53,9)</f>
        <v>169.12738248335361</v>
      </c>
      <c r="AM37" s="346">
        <f>HLOOKUP($AV$27,$AO$29:$AS$53,9)</f>
        <v>90</v>
      </c>
      <c r="AN37" s="346">
        <f>HLOOKUP($AV$27,$AU$29:$AY$53,9)</f>
        <v>90</v>
      </c>
      <c r="AO37" s="258">
        <f t="shared" si="34"/>
        <v>90</v>
      </c>
      <c r="AP37" s="412">
        <f>AP30+180</f>
        <v>140.92030691155378</v>
      </c>
      <c r="AQ37" s="417">
        <f>R13</f>
        <v>166</v>
      </c>
      <c r="AR37" s="258"/>
      <c r="AS37" s="258"/>
      <c r="AT37" s="147">
        <f t="shared" si="38"/>
        <v>20</v>
      </c>
      <c r="AU37" s="258">
        <f t="shared" si="35"/>
        <v>90</v>
      </c>
      <c r="AV37" s="412">
        <f>AV30+180</f>
        <v>169.12738248335361</v>
      </c>
      <c r="AW37" s="417">
        <f>R35</f>
        <v>166</v>
      </c>
      <c r="AX37" s="258"/>
      <c r="AY37" s="258"/>
      <c r="AZ37" s="147">
        <f t="shared" si="39"/>
        <v>8</v>
      </c>
      <c r="BA37" s="3"/>
      <c r="BB37" s="3"/>
      <c r="BC37" s="68">
        <v>37</v>
      </c>
      <c r="BD37" s="114" t="e">
        <f>#REF!</f>
        <v>#REF!</v>
      </c>
      <c r="BE37" s="110">
        <f t="shared" si="36"/>
        <v>352</v>
      </c>
      <c r="BF37" s="112">
        <f t="shared" si="36"/>
        <v>352</v>
      </c>
      <c r="BG37" s="112">
        <f t="shared" si="0"/>
        <v>352</v>
      </c>
      <c r="BH37" s="3"/>
      <c r="BI37" s="40">
        <f t="shared" ref="BI37:BJ68" si="44">AB37*$BM$4</f>
        <v>-9.8259178123110154</v>
      </c>
      <c r="BJ37" s="40">
        <f t="shared" si="44"/>
        <v>24.32</v>
      </c>
      <c r="BK37" s="3"/>
      <c r="BL37" s="40" t="e">
        <f>#REF!*$BM$4</f>
        <v>#REF!</v>
      </c>
      <c r="BM37" s="40" t="e">
        <f>#REF!*$BM$4</f>
        <v>#REF!</v>
      </c>
      <c r="BN37" s="3"/>
      <c r="BO37" s="3"/>
      <c r="BP37" s="3"/>
      <c r="BQ37" s="590"/>
    </row>
    <row r="38" spans="1:69" ht="15.75">
      <c r="A38" s="282"/>
      <c r="C38" s="33">
        <f>IF(AT86=1,$AR$84+_Dir1,(C39+C37)/2)</f>
        <v>4</v>
      </c>
      <c r="D38" s="36">
        <f>MIN(ABS(ER_1*SIN(RADIANS(180-Slope))/SIN(RADIANS(Slope-C38))),AS84)</f>
        <v>78.412736913425846</v>
      </c>
      <c r="F38" s="33">
        <f>IF(AU86=1,$AR$84+Dir1B,(F39+F37)/2)</f>
        <v>4</v>
      </c>
      <c r="G38" s="36">
        <f>MIN(ABS(ER_1B*SIN(RADIANS(180-Slope))/SIN(RADIANS(Slope-F38))),AS84)</f>
        <v>156.84519038126788</v>
      </c>
      <c r="I38" s="33">
        <f>IF(AV86=1,$AR$84+_Dir2,(I39+I37)/2)</f>
        <v>4</v>
      </c>
      <c r="J38" s="36">
        <f>MIN(ABS(ER_2*SIN(RADIANS(180-Slope))/SIN(RADIANS(Slope-I38))),AS84)</f>
        <v>123.22846510156187</v>
      </c>
      <c r="L38" s="33">
        <f>IF(AW86=1,$AR$84+_Dir3,(L39+L37)/2)</f>
        <v>184.5</v>
      </c>
      <c r="M38" s="36">
        <f>MIN(ABS(ER_3*SIN(RADIANS(180-Slope))/SIN(RADIANS(Slope-L38))),AS84)</f>
        <v>8.9984132076868182</v>
      </c>
      <c r="O38" s="33">
        <f>IF(AX86=1,$AR$84+_Dir4,(O39+O37)/2)</f>
        <v>5.5</v>
      </c>
      <c r="P38" s="36">
        <f>MIN(ABS(ER_4*SIN(RADIANS(180-Slope))/SIN(RADIANS(Slope-O38))),AS84)</f>
        <v>180.93605585868266</v>
      </c>
      <c r="R38" s="33">
        <f>IF(AY86=1,$AR$84+_Dir5,(R39+R37)/2)</f>
        <v>197</v>
      </c>
      <c r="S38" s="36">
        <f>MIN(ABS(ER_5*SIN(RADIANS(180-Slope))/SIN(RADIANS(Slope-R38))),AS84)</f>
        <v>62.45278893855869</v>
      </c>
      <c r="T38" s="22"/>
      <c r="U38" s="287">
        <f t="shared" si="40"/>
        <v>8</v>
      </c>
      <c r="V38" s="277">
        <f t="shared" si="41"/>
        <v>161.10728850878598</v>
      </c>
      <c r="W38" s="3"/>
      <c r="X38" s="287">
        <f t="shared" si="42"/>
        <v>9.8789046492933696</v>
      </c>
      <c r="Y38" s="277">
        <f t="shared" si="37"/>
        <v>163.47024821550991</v>
      </c>
      <c r="Z38" s="409">
        <f t="shared" si="43"/>
        <v>0.3314364576517444</v>
      </c>
      <c r="AA38" s="387" t="s">
        <v>14</v>
      </c>
      <c r="AB38" s="388">
        <f>COS(RADIANS($L13))*$M13*$AB$141</f>
        <v>-4.2556891652842035</v>
      </c>
      <c r="AC38" s="388">
        <f>SIN(RADIANS($L13))*$M13*$AB$141</f>
        <v>1.061062480301673</v>
      </c>
      <c r="AD38" s="23"/>
      <c r="AE38" s="387" t="s">
        <v>14</v>
      </c>
      <c r="AF38" s="388">
        <f>COS(RADIANS($L35))*$M35*$AF$141</f>
        <v>-6.900548596148421</v>
      </c>
      <c r="AG38" s="388">
        <f>SIN(RADIANS($L35))*$M35*$AF$141</f>
        <v>1.7205000000000001</v>
      </c>
      <c r="AH38" s="22"/>
      <c r="AI38" s="3"/>
      <c r="AK38" s="345">
        <f>HLOOKUP($AR$27,$AO$29:$AS$53,10)</f>
        <v>180</v>
      </c>
      <c r="AL38" s="345">
        <f>HLOOKUP($AR$27,$AU$29:$AY$53,10)</f>
        <v>180</v>
      </c>
      <c r="AM38" s="346">
        <f>HLOOKUP($AV$27,$AO$29:$AS$53,10)</f>
        <v>112</v>
      </c>
      <c r="AN38" s="346">
        <f>HLOOKUP($AV$27,$AU$29:$AY$53,10)</f>
        <v>110</v>
      </c>
      <c r="AO38" s="258">
        <f>F23</f>
        <v>112</v>
      </c>
      <c r="AP38" s="410">
        <f>AP31+180</f>
        <v>180</v>
      </c>
      <c r="AQ38" s="415">
        <f>R15</f>
        <v>180</v>
      </c>
      <c r="AR38" s="258"/>
      <c r="AS38" s="258"/>
      <c r="AT38" s="147">
        <f t="shared" si="38"/>
        <v>29.502840761917749</v>
      </c>
      <c r="AU38" s="258">
        <f>F45</f>
        <v>110</v>
      </c>
      <c r="AV38" s="410">
        <f>AV31+180</f>
        <v>180</v>
      </c>
      <c r="AW38" s="415">
        <f>R37</f>
        <v>180</v>
      </c>
      <c r="AX38" s="258"/>
      <c r="AY38" s="258"/>
      <c r="AZ38" s="147">
        <f t="shared" si="39"/>
        <v>9.8789046492933696</v>
      </c>
      <c r="BA38" s="3"/>
      <c r="BB38" s="3"/>
      <c r="BC38" s="68">
        <v>38</v>
      </c>
      <c r="BD38" s="113">
        <f>P35</f>
        <v>169.50358777254945</v>
      </c>
      <c r="BE38" s="111">
        <f>D37</f>
        <v>76.756100000000018</v>
      </c>
      <c r="BF38" s="109">
        <f>G37</f>
        <v>153.53149999999999</v>
      </c>
      <c r="BG38" s="109">
        <f t="shared" si="0"/>
        <v>153.53149999999999</v>
      </c>
      <c r="BH38" s="3"/>
      <c r="BI38" s="40">
        <f t="shared" si="44"/>
        <v>-4.2556891652842035</v>
      </c>
      <c r="BJ38" s="40">
        <f t="shared" si="44"/>
        <v>1.061062480301673</v>
      </c>
      <c r="BK38" s="3"/>
      <c r="BL38" s="40" t="e">
        <f>#REF!*$BM$4</f>
        <v>#REF!</v>
      </c>
      <c r="BM38" s="40" t="e">
        <f>#REF!*$BM$4</f>
        <v>#REF!</v>
      </c>
      <c r="BN38" s="3"/>
      <c r="BO38" s="3"/>
      <c r="BP38" s="3"/>
    </row>
    <row r="39" spans="1:69" ht="15.75">
      <c r="C39" s="33">
        <f>IF(AT86=1,$AR$84+6,ROUND(IF(AND(Load_comp_Ang_E&gt;25,Load_comp_Ang_E&lt;65),Load_comp_Ang_E-10,IF(OR(Load_comp_Ang_E&lt;15,Load_comp_Ang_E&gt;80),Load_comp_Ang_E-2,Load_comp_Ang_E-5)),0))+_Dir1</f>
        <v>8</v>
      </c>
      <c r="D39" s="36">
        <f>ABS(ER_1*SIN(RADIANS(180-Slope))/SIN(RADIANS(Slope-C39)))</f>
        <v>80.543518089181902</v>
      </c>
      <c r="E39" s="22"/>
      <c r="F39" s="33">
        <f>IF(AU86=1,$AR$84+Dir1B+6,ROUND(IF(AND(Z1BE_Ang&gt;25,Z1BE_Ang&lt;65),Z1BE_Ang-10,IF(OR(Z1BE_Ang&lt;15,Z1BE_Ang&gt;80),Z1BE_Ang-2,Z1BE_Ang-5)),0))</f>
        <v>8</v>
      </c>
      <c r="G39" s="36">
        <f>ABS(ER_1B*SIN(RADIANS(180-Slope))/SIN(RADIANS(Slope-F39)))</f>
        <v>161.10728850878598</v>
      </c>
      <c r="H39" s="59"/>
      <c r="I39" s="33">
        <f>IF(AV86=1,$AR$84+_Dir2+6,ROUND(IF(AND(Z2E_Ang&gt;25,Z2E_Ang&lt;65),Z2E_Ang-10,IF(OR(Z2E_Ang&lt;15,Z2E_Ang&gt;80),Z2E_Ang-2,Z2E_Ang-5)),0))</f>
        <v>8</v>
      </c>
      <c r="J39" s="36">
        <f>ABS(ER_2*SIN(RADIANS(180-Slope))/SIN(RADIANS(Slope-I39)))</f>
        <v>126.57706513889538</v>
      </c>
      <c r="K39" s="22"/>
      <c r="L39" s="33">
        <f>IF(AW86=1,$AR$84+_Dir3+6,ROUND(IF(AND(Z3E_Ang&gt;25,Z3E_Ang&lt;65),Z3E_Ang-10,IF(OR(Z3E_Ang&lt;15,Z3E_Ang&gt;80),Z3E_Ang-2,Z3E_Ang-5)),0))</f>
        <v>189</v>
      </c>
      <c r="M39" s="36">
        <f>ABS(ER_3*SIN(RADIANS(180-Slope))/SIN(RADIANS(Slope-L39)))</f>
        <v>9.2850088329987717</v>
      </c>
      <c r="O39" s="33">
        <f>IF(AX86=1,$AR$84+_Dir4+6,ROUND(IF(AND(Z4E_Ang&gt;25,Z4E_Ang&lt;65),Z4E_Ang-10,IF(OR(Z4E_Ang&lt;15,Z4E_Ang&gt;80),Z4E_Ang-2,Z4E_Ang-5)),0))</f>
        <v>11</v>
      </c>
      <c r="P39" s="36">
        <f>ABS(ER_4*SIN(RADIANS(180-Slope))/SIN(RADIANS(Slope-O39)))</f>
        <v>188.56129749964023</v>
      </c>
      <c r="Q39" s="3"/>
      <c r="R39" s="33">
        <f>IF(AY86=1,$AR$84+_Dir5+6,ROUND(IF(AND(Z5E_Ang&gt;25,Z5E_Ang&lt;65),Z5E_Ang-10,IF(OR(Z5E_Ang&lt;15,Z5E_Ang&gt;80),Z5E_Ang-2,Z5E_Ang-5)),0))</f>
        <v>214</v>
      </c>
      <c r="S39" s="36">
        <f>ABS(ER_5*SIN(RADIANS(180-Slope))/SIN(RADIANS(Slope-R39)))</f>
        <v>80.728968612015152</v>
      </c>
      <c r="T39" s="22"/>
      <c r="U39" s="287">
        <f t="shared" si="40"/>
        <v>9.8789046492933696</v>
      </c>
      <c r="V39" s="277">
        <f t="shared" si="41"/>
        <v>163.47024821550991</v>
      </c>
      <c r="W39" s="3"/>
      <c r="X39" s="287">
        <f t="shared" si="42"/>
        <v>12</v>
      </c>
      <c r="Y39" s="277">
        <f t="shared" si="37"/>
        <v>134.8938094326939</v>
      </c>
      <c r="Z39" s="409">
        <f t="shared" si="43"/>
        <v>0.40164926936127077</v>
      </c>
      <c r="AA39" s="387">
        <f>L14</f>
        <v>155.28753930789912</v>
      </c>
      <c r="AB39" s="388">
        <f t="shared" ref="AB39:AB48" si="45">IF($M14="",AB38,COS(RADIANS($L14))*$M14)*$AB$141</f>
        <v>-4.2556891652842035</v>
      </c>
      <c r="AC39" s="388">
        <f t="shared" ref="AC39:AC48" si="46">IF($M14="",AC38,SIN(RADIANS($L14))*$M14)*$AB$141</f>
        <v>1.061062480301673</v>
      </c>
      <c r="AD39" s="23"/>
      <c r="AE39" s="387">
        <f>L36</f>
        <v>168.31711156215658</v>
      </c>
      <c r="AF39" s="388">
        <f t="shared" ref="AF39:AF48" si="47">IF($M36="",AF38,COS(RADIANS($L36))*$M36)*$AF$141</f>
        <v>-8.3204934144222449</v>
      </c>
      <c r="AG39" s="388">
        <f t="shared" ref="AG39:AG48" si="48">IF($M36="",AG38,SIN(RADIANS($L36))*$M36)*$AF$141</f>
        <v>1.7204999999999999</v>
      </c>
      <c r="AH39" s="22"/>
      <c r="AI39" s="3"/>
      <c r="AK39" s="345">
        <f>HLOOKUP($AR$27,$AO$29:$AS$53,11)</f>
        <v>209.50284076191775</v>
      </c>
      <c r="AL39" s="345">
        <f>HLOOKUP($AR$27,$AU$29:$AY$53,11)</f>
        <v>189.87890464929336</v>
      </c>
      <c r="AM39" s="346">
        <f>HLOOKUP($AV$27,$AO$29:$AS$53,11)</f>
        <v>0</v>
      </c>
      <c r="AN39" s="346">
        <f>HLOOKUP($AV$27,$AU$29:$AY$53,11)</f>
        <v>0</v>
      </c>
      <c r="AO39" s="258"/>
      <c r="AP39" s="412">
        <f>AP33+180</f>
        <v>209.50284076191775</v>
      </c>
      <c r="AQ39" s="412">
        <f>R18</f>
        <v>235.31723012767432</v>
      </c>
      <c r="AR39" s="258"/>
      <c r="AS39" s="258"/>
      <c r="AT39" s="147">
        <f t="shared" si="38"/>
        <v>40</v>
      </c>
      <c r="AU39" s="258"/>
      <c r="AV39" s="412">
        <f>AV33+180</f>
        <v>189.87890464929336</v>
      </c>
      <c r="AW39" s="412">
        <f>R40</f>
        <v>216.04169532027706</v>
      </c>
      <c r="AX39" s="258"/>
      <c r="AY39" s="258"/>
      <c r="AZ39" s="147">
        <f t="shared" si="39"/>
        <v>12</v>
      </c>
      <c r="BA39" s="3"/>
      <c r="BB39" s="3"/>
      <c r="BC39" s="68">
        <v>39</v>
      </c>
      <c r="BD39" s="113">
        <f>P37</f>
        <v>175.4563</v>
      </c>
      <c r="BE39" s="111">
        <f>D39</f>
        <v>80.543518089181902</v>
      </c>
      <c r="BF39" s="109">
        <f>G39</f>
        <v>161.10728850878598</v>
      </c>
      <c r="BG39" s="109">
        <f t="shared" si="0"/>
        <v>161.10728850878598</v>
      </c>
      <c r="BH39" s="3"/>
      <c r="BI39" s="40">
        <f t="shared" si="44"/>
        <v>-4.2556891652842035</v>
      </c>
      <c r="BJ39" s="40">
        <f t="shared" si="44"/>
        <v>1.061062480301673</v>
      </c>
      <c r="BK39" s="3"/>
      <c r="BL39" s="40" t="e">
        <f>#REF!*$BM$4</f>
        <v>#REF!</v>
      </c>
      <c r="BM39" s="40" t="e">
        <f>#REF!*$BM$4</f>
        <v>#REF!</v>
      </c>
      <c r="BN39" s="3"/>
      <c r="BO39" s="3"/>
      <c r="BP39" s="3"/>
    </row>
    <row r="40" spans="1:69" ht="15.75">
      <c r="A40" s="34"/>
      <c r="C40" s="366">
        <f>Load_comp_Ang_E+_Dir1</f>
        <v>10.428098376784057</v>
      </c>
      <c r="D40" s="367">
        <f>Load_Comp_Z1E</f>
        <v>82.093523298461022</v>
      </c>
      <c r="F40" s="366">
        <f>Z1BE_Ang</f>
        <v>9.8789046492933696</v>
      </c>
      <c r="G40" s="367">
        <f>Z1BE_C</f>
        <v>163.47024821550991</v>
      </c>
      <c r="I40" s="366">
        <f>Z2E_Ang</f>
        <v>10.071805024152244</v>
      </c>
      <c r="J40" s="367">
        <f>Z2E_C</f>
        <v>128.63513506269473</v>
      </c>
      <c r="L40" s="366">
        <f>Z3E_Ang</f>
        <v>190.54495902943046</v>
      </c>
      <c r="M40" s="367">
        <f>Z3E_C</f>
        <v>9.4012790743838721</v>
      </c>
      <c r="O40" s="366">
        <f>Z4E_Ang</f>
        <v>12.777619637797585</v>
      </c>
      <c r="P40" s="367">
        <f>Z4E_C</f>
        <v>191.55158563800398</v>
      </c>
      <c r="R40" s="366">
        <f>Z5E_Ang</f>
        <v>216.04169532027706</v>
      </c>
      <c r="S40" s="367">
        <f>Z5E_C</f>
        <v>84.234711089891007</v>
      </c>
      <c r="T40" s="22"/>
      <c r="U40" s="287">
        <f t="shared" si="40"/>
        <v>12</v>
      </c>
      <c r="V40" s="277">
        <f t="shared" si="41"/>
        <v>134.8938094326939</v>
      </c>
      <c r="W40" s="3"/>
      <c r="X40" s="287">
        <f t="shared" si="42"/>
        <v>90</v>
      </c>
      <c r="Y40" s="277">
        <f t="shared" si="37"/>
        <v>28.046000000000003</v>
      </c>
      <c r="Z40" s="409">
        <f t="shared" si="43"/>
        <v>1.9318262853882904</v>
      </c>
      <c r="AA40" s="387">
        <f t="shared" ref="AA40:AA48" si="49">L15</f>
        <v>180</v>
      </c>
      <c r="AB40" s="388">
        <f t="shared" si="45"/>
        <v>-4.54</v>
      </c>
      <c r="AC40" s="388">
        <f t="shared" si="46"/>
        <v>5.5621739852851347E-16</v>
      </c>
      <c r="AD40" s="23"/>
      <c r="AE40" s="387">
        <f t="shared" ref="AE40:AE48" si="50">L37</f>
        <v>180</v>
      </c>
      <c r="AF40" s="388">
        <f t="shared" si="47"/>
        <v>-8.7815000000000012</v>
      </c>
      <c r="AG40" s="388">
        <f t="shared" si="48"/>
        <v>1.0758641156780048E-15</v>
      </c>
      <c r="AH40" s="22"/>
      <c r="AI40" s="3"/>
      <c r="AK40" s="345">
        <f>HLOOKUP($AR$27,$AO$29:$AS$53,12)</f>
        <v>270</v>
      </c>
      <c r="AL40" s="345">
        <f>HLOOKUP($AR$27,$AU$29:$AY$53,12)</f>
        <v>270</v>
      </c>
      <c r="AM40" s="346">
        <f>HLOOKUP($AV$27,$AO$29:$AS$53,12)</f>
        <v>0</v>
      </c>
      <c r="AN40" s="346">
        <f>HLOOKUP($AV$27,$AU$29:$AY$53,12)</f>
        <v>0</v>
      </c>
      <c r="AO40" s="258"/>
      <c r="AP40" s="410">
        <f>AP35+180</f>
        <v>270</v>
      </c>
      <c r="AQ40" s="415">
        <f>R21</f>
        <v>270</v>
      </c>
      <c r="AR40" s="258"/>
      <c r="AS40" s="258"/>
      <c r="AT40" s="147">
        <f t="shared" si="38"/>
        <v>65</v>
      </c>
      <c r="AU40" s="258"/>
      <c r="AV40" s="410">
        <f>AV35+180</f>
        <v>270</v>
      </c>
      <c r="AW40" s="415">
        <f>R43</f>
        <v>270</v>
      </c>
      <c r="AX40" s="258"/>
      <c r="AY40" s="258"/>
      <c r="AZ40" s="147">
        <f t="shared" si="39"/>
        <v>51</v>
      </c>
      <c r="BA40" s="3"/>
      <c r="BB40" s="3"/>
      <c r="BC40" s="68">
        <v>40</v>
      </c>
      <c r="BD40" s="113">
        <f>P39</f>
        <v>188.56129749964023</v>
      </c>
      <c r="BE40" s="111">
        <f>D41</f>
        <v>71.62896872910197</v>
      </c>
      <c r="BF40" s="109">
        <f>G41</f>
        <v>134.8938094326939</v>
      </c>
      <c r="BG40" s="109">
        <f t="shared" si="0"/>
        <v>134.8938094326939</v>
      </c>
      <c r="BH40" s="3"/>
      <c r="BI40" s="40">
        <f t="shared" si="44"/>
        <v>-4.54</v>
      </c>
      <c r="BJ40" s="40">
        <f t="shared" si="44"/>
        <v>5.5621739852851347E-16</v>
      </c>
      <c r="BK40" s="3"/>
      <c r="BL40" s="40" t="e">
        <f>#REF!*$BM$4</f>
        <v>#REF!</v>
      </c>
      <c r="BM40" s="40" t="e">
        <f>#REF!*$BM$4</f>
        <v>#REF!</v>
      </c>
      <c r="BN40" s="3"/>
      <c r="BO40" s="3"/>
      <c r="BP40" s="3"/>
    </row>
    <row r="41" spans="1:69" ht="15.75">
      <c r="A41" s="34"/>
      <c r="C41" s="33">
        <f>IF(Load_Comp=0,ROUND(IF(AND(Z1E_Ang&gt;25,Z1E_Ang&lt;65),Z1E_Ang+10,IF(OR(Z1E_Ang&lt;15,Z1E_Ang&gt;80),Z1E_Ang+2,Z1E_Ang+5)),0),AF135)</f>
        <v>12</v>
      </c>
      <c r="D41" s="36">
        <f>IF(Load_Comp=0,ABS(EX_1/SIN(RADIANS(C41))),AG135)</f>
        <v>71.62896872910197</v>
      </c>
      <c r="E41" s="22"/>
      <c r="F41" s="33">
        <f>ROUND(IF(AND(Z1BE_Ang&gt;25,Z1BE_Ang&lt;65),Z1BE_Ang+10,IF(OR(Z1BE_Ang&lt;15,Z1BE_Ang&gt;80),Z1BE_Ang+2,Z1BE_Ang+5)),0)</f>
        <v>12</v>
      </c>
      <c r="G41" s="36">
        <f>ABS(EX_1B/SIN(RADIANS(F41)))</f>
        <v>134.8938094326939</v>
      </c>
      <c r="H41" s="22"/>
      <c r="I41" s="33">
        <f>ROUND(IF(AND(Z2E_Ang&gt;25,Z2E_Ang&lt;65),Z2E_Ang+10,IF(OR(Z2E_Ang&lt;15,Z2E_Ang&gt;80),Z2E_Ang+2,Z2E_Ang+5)),0)</f>
        <v>12</v>
      </c>
      <c r="J41" s="36">
        <f>ABS(EX_2/SIN(RADIANS(I41)))</f>
        <v>108.19978381936397</v>
      </c>
      <c r="K41" s="22"/>
      <c r="L41" s="33">
        <f>ROUND(IF(AND(Z3E_Ang&gt;25,Z3E_Ang&lt;65),Z3E_Ang+10,IF(OR(Z3E_Ang&lt;15,Z3E_Ang&gt;80),Z3E_Ang+2,Z3E_Ang+5)),0)</f>
        <v>193</v>
      </c>
      <c r="M41" s="36">
        <f>ABS(EX_3/SIN(RADIANS(L41)))</f>
        <v>7.6483304557888721</v>
      </c>
      <c r="O41" s="33">
        <f>ROUND(IF(AND(Z4E_Ang&gt;25,Z4E_Ang&lt;65),Z4E_Ang+10,IF(OR(Z4E_Ang&lt;15,Z4E_Ang&gt;80),Z4E_Ang+2,Z4E_Ang+5)),0)</f>
        <v>15</v>
      </c>
      <c r="P41" s="36">
        <f>ABS(EX_4/SIN(RADIANS(O41)))</f>
        <v>163.68579052294552</v>
      </c>
      <c r="Q41" s="3"/>
      <c r="R41" s="33">
        <f>ROUND(IF(AND(Z5E_Ang&gt;25,Z5E_Ang&lt;65),Z5E_Ang+10,IF(OR(Z5E_Ang&lt;15,Z5E_Ang&gt;80),Z5E_Ang+2,Z5E_Ang+5)),0)</f>
        <v>218</v>
      </c>
      <c r="S41" s="36">
        <f>ABS(EX_5/SIN(RADIANS(R41)))</f>
        <v>80.501220209993036</v>
      </c>
      <c r="T41" s="22"/>
      <c r="U41" s="287">
        <f t="shared" si="40"/>
        <v>51</v>
      </c>
      <c r="V41" s="277">
        <f t="shared" si="41"/>
        <v>36.088458785039776</v>
      </c>
      <c r="W41" s="3"/>
      <c r="X41" s="287">
        <f t="shared" si="42"/>
        <v>110</v>
      </c>
      <c r="Y41" s="277">
        <f t="shared" si="37"/>
        <v>29.845929806859434</v>
      </c>
      <c r="Z41" s="409">
        <f t="shared" si="43"/>
        <v>1.8153229050196289</v>
      </c>
      <c r="AA41" s="387">
        <f t="shared" si="49"/>
        <v>189</v>
      </c>
      <c r="AB41" s="388">
        <f t="shared" si="45"/>
        <v>-4.7412122244158654</v>
      </c>
      <c r="AC41" s="388">
        <f t="shared" si="46"/>
        <v>-0.75093424462395586</v>
      </c>
      <c r="AD41" s="23"/>
      <c r="AE41" s="387">
        <f t="shared" si="50"/>
        <v>184.5</v>
      </c>
      <c r="AF41" s="388">
        <f t="shared" si="47"/>
        <v>-8.9706741028361066</v>
      </c>
      <c r="AG41" s="388">
        <f t="shared" si="48"/>
        <v>-0.7060073632606032</v>
      </c>
      <c r="AH41" s="22"/>
      <c r="AI41" s="3"/>
      <c r="AK41" s="345">
        <f>HLOOKUP($AR$27,$AO$29:$AS$53,13)</f>
        <v>292</v>
      </c>
      <c r="AL41" s="345">
        <f>HLOOKUP($AR$27,$AU$29:$AY$53,13)</f>
        <v>290</v>
      </c>
      <c r="AM41" s="346">
        <f>HLOOKUP($AV$27,$AO$29:$AS$53,13)</f>
        <v>0</v>
      </c>
      <c r="AN41" s="346">
        <f>HLOOKUP($AV$27,$AU$29:$AY$53,13)</f>
        <v>0</v>
      </c>
      <c r="AO41" s="258"/>
      <c r="AP41" s="258">
        <f>AP36+180</f>
        <v>292</v>
      </c>
      <c r="AQ41" s="417">
        <f>R23</f>
        <v>292</v>
      </c>
      <c r="AR41" s="258"/>
      <c r="AS41" s="258"/>
      <c r="AT41" s="147">
        <f t="shared" si="38"/>
        <v>90</v>
      </c>
      <c r="AU41" s="258"/>
      <c r="AV41" s="258">
        <f>AV36+180</f>
        <v>290</v>
      </c>
      <c r="AW41" s="417">
        <f>R45</f>
        <v>290</v>
      </c>
      <c r="AX41" s="258"/>
      <c r="AY41" s="258"/>
      <c r="AZ41" s="147">
        <f t="shared" si="39"/>
        <v>90</v>
      </c>
      <c r="BA41" s="3"/>
      <c r="BB41" s="3"/>
      <c r="BC41" s="68">
        <v>41</v>
      </c>
      <c r="BD41" s="113">
        <f>P41</f>
        <v>163.68579052294552</v>
      </c>
      <c r="BE41" s="111">
        <f>D43</f>
        <v>14.892500000000002</v>
      </c>
      <c r="BF41" s="109">
        <f>G43</f>
        <v>28.046000000000003</v>
      </c>
      <c r="BG41" s="109">
        <f t="shared" si="0"/>
        <v>28.046000000000003</v>
      </c>
      <c r="BH41" s="3"/>
      <c r="BI41" s="40">
        <f t="shared" si="44"/>
        <v>-4.7412122244158654</v>
      </c>
      <c r="BJ41" s="40">
        <f t="shared" si="44"/>
        <v>-0.75093424462395586</v>
      </c>
      <c r="BK41" s="3"/>
      <c r="BL41" s="40" t="e">
        <f>#REF!*$BM$4</f>
        <v>#REF!</v>
      </c>
      <c r="BM41" s="40" t="e">
        <f>#REF!*$BM$4</f>
        <v>#REF!</v>
      </c>
      <c r="BN41" s="3"/>
      <c r="BO41" s="3"/>
      <c r="BP41" s="3"/>
    </row>
    <row r="42" spans="1:69" ht="15.75">
      <c r="A42" s="24"/>
      <c r="C42" s="33">
        <f>IF(Load_Comp=0,(C43+C41)/2,AF134)</f>
        <v>51</v>
      </c>
      <c r="D42" s="36">
        <f>IF(Load_Comp=0,ABS(EX_1/SIN(RADIANS(C42))),AG134)</f>
        <v>19.163066835063997</v>
      </c>
      <c r="F42" s="33">
        <f>(F43+F41)/2</f>
        <v>51</v>
      </c>
      <c r="G42" s="36">
        <f>ABS(EX_1B/SIN(RADIANS(F42)))</f>
        <v>36.088458785039776</v>
      </c>
      <c r="I42" s="33">
        <f>(I43+I41)/2</f>
        <v>51</v>
      </c>
      <c r="J42" s="36">
        <f>ABS(EX_2/SIN(RADIANS(I42)))</f>
        <v>28.946943194332693</v>
      </c>
      <c r="L42" s="33">
        <f>(L43+L41)/2</f>
        <v>231.5</v>
      </c>
      <c r="M42" s="36">
        <f>ABS(EX_3/SIN(RADIANS(L42)))</f>
        <v>2.1984181802036296</v>
      </c>
      <c r="O42" s="33">
        <f>(O43+O41)/2</f>
        <v>52.5</v>
      </c>
      <c r="P42" s="36">
        <f>ABS(EX_4/SIN(RADIANS(O42)))</f>
        <v>53.399913819544857</v>
      </c>
      <c r="R42" s="33">
        <f>(R43+R41)/2</f>
        <v>244</v>
      </c>
      <c r="S42" s="36">
        <f>ABS(EX_5/SIN(RADIANS(R42)))</f>
        <v>55.142221072861091</v>
      </c>
      <c r="T42" s="22"/>
      <c r="U42" s="287">
        <f t="shared" si="40"/>
        <v>90</v>
      </c>
      <c r="V42" s="277">
        <f t="shared" si="41"/>
        <v>28.046000000000003</v>
      </c>
      <c r="W42" s="3"/>
      <c r="X42" s="287">
        <f t="shared" si="42"/>
        <v>169.12738248335361</v>
      </c>
      <c r="Y42" s="277">
        <f t="shared" si="37"/>
        <v>148.68565734659521</v>
      </c>
      <c r="Z42" s="409">
        <f t="shared" si="43"/>
        <v>0.36439291433270637</v>
      </c>
      <c r="AA42" s="387">
        <f t="shared" si="49"/>
        <v>198</v>
      </c>
      <c r="AB42" s="388">
        <f t="shared" si="45"/>
        <v>-4.9729552848698511</v>
      </c>
      <c r="AC42" s="388">
        <f t="shared" si="46"/>
        <v>-1.6158111205397374</v>
      </c>
      <c r="AD42" s="23"/>
      <c r="AE42" s="387">
        <f t="shared" si="50"/>
        <v>189</v>
      </c>
      <c r="AF42" s="388">
        <f t="shared" si="47"/>
        <v>-9.1706949666757538</v>
      </c>
      <c r="AG42" s="388">
        <f t="shared" si="48"/>
        <v>-1.4524953896839798</v>
      </c>
      <c r="AH42" s="22"/>
      <c r="AI42" s="3"/>
      <c r="AK42" s="109">
        <f>HLOOKUP($AR$27,$AO$29:$AS$53,14)</f>
        <v>48.096391802926064</v>
      </c>
      <c r="AL42" s="109">
        <f>HLOOKUP($AR$27,$AU$29:$AY$53,14)</f>
        <v>148.68565734659521</v>
      </c>
      <c r="AM42" s="111">
        <f>HLOOKUP($AV$27,$AO$29:$AS$53,14)</f>
        <v>43.917676938018751</v>
      </c>
      <c r="AN42" s="111">
        <f>HLOOKUP($AV$27,$AU$29:$AY$53,14)</f>
        <v>115.92997785702917</v>
      </c>
      <c r="AO42" s="327">
        <f>G13</f>
        <v>43.917676938018751</v>
      </c>
      <c r="AP42" s="413">
        <f>Z1B_C2</f>
        <v>48.096391802926064</v>
      </c>
      <c r="AQ42" s="418">
        <f>P13</f>
        <v>65.866854677389327</v>
      </c>
      <c r="AR42" s="327"/>
      <c r="AS42" s="327"/>
      <c r="AT42" s="147">
        <f>CHOOSE(LEFT(PTTMode,1),C23,C23,F23,"")</f>
        <v>112</v>
      </c>
      <c r="AU42" s="327">
        <f>G35</f>
        <v>115.92997785702917</v>
      </c>
      <c r="AV42" s="413">
        <f>Z1BE_C2</f>
        <v>148.68565734659521</v>
      </c>
      <c r="AW42" s="418">
        <f>P35</f>
        <v>169.50358777254945</v>
      </c>
      <c r="AX42" s="327"/>
      <c r="AY42" s="327"/>
      <c r="AZ42" s="147">
        <f>CHOOSE(LEFT(PTTMode,1),C45,C45,F45,"")</f>
        <v>110</v>
      </c>
      <c r="BA42" s="3"/>
      <c r="BB42" s="3"/>
      <c r="BC42" s="68">
        <v>42</v>
      </c>
      <c r="BD42" s="113">
        <f>P43</f>
        <v>42.365000000000002</v>
      </c>
      <c r="BE42" s="111">
        <f>BE40</f>
        <v>71.62896872910197</v>
      </c>
      <c r="BF42" s="109">
        <f>BF40</f>
        <v>134.8938094326939</v>
      </c>
      <c r="BG42" s="109">
        <f t="shared" si="0"/>
        <v>134.8938094326939</v>
      </c>
      <c r="BH42" s="3"/>
      <c r="BI42" s="40">
        <f t="shared" si="44"/>
        <v>-4.9729552848698511</v>
      </c>
      <c r="BJ42" s="40">
        <f t="shared" si="44"/>
        <v>-1.6158111205397374</v>
      </c>
      <c r="BK42" s="3"/>
      <c r="BL42" s="40" t="e">
        <f>#REF!*$BM$4</f>
        <v>#REF!</v>
      </c>
      <c r="BM42" s="40" t="e">
        <f>#REF!*$BM$4</f>
        <v>#REF!</v>
      </c>
      <c r="BN42" s="3"/>
      <c r="BO42" s="3"/>
      <c r="BP42" s="3"/>
      <c r="BQ42" s="3"/>
    </row>
    <row r="43" spans="1:69" ht="15.75">
      <c r="A43" s="24"/>
      <c r="C43" s="33">
        <f>90+_Dir1</f>
        <v>90</v>
      </c>
      <c r="D43" s="36">
        <f>EX_1</f>
        <v>14.892500000000002</v>
      </c>
      <c r="E43" s="22"/>
      <c r="F43" s="33">
        <f>90+Dir1B</f>
        <v>90</v>
      </c>
      <c r="G43" s="36">
        <f>EX_1B</f>
        <v>28.046000000000003</v>
      </c>
      <c r="H43" s="22"/>
      <c r="I43" s="33">
        <f>90+_Dir2</f>
        <v>90</v>
      </c>
      <c r="J43" s="36">
        <f>EX_2</f>
        <v>22.496000000000002</v>
      </c>
      <c r="K43" s="22"/>
      <c r="L43" s="33">
        <f>90+_Dir3</f>
        <v>270</v>
      </c>
      <c r="M43" s="36">
        <f>EX_3</f>
        <v>1.7205000000000001</v>
      </c>
      <c r="O43" s="33">
        <f>90+_Dir4</f>
        <v>90</v>
      </c>
      <c r="P43" s="36">
        <f>EX_4</f>
        <v>42.365000000000002</v>
      </c>
      <c r="Q43" s="3"/>
      <c r="R43" s="33">
        <f>90+_Dir5</f>
        <v>270</v>
      </c>
      <c r="S43" s="36">
        <f>EX_5</f>
        <v>49.561500000000002</v>
      </c>
      <c r="T43" s="22"/>
      <c r="U43" s="287">
        <f t="shared" si="40"/>
        <v>110</v>
      </c>
      <c r="V43" s="277">
        <f t="shared" si="41"/>
        <v>29.845929806859434</v>
      </c>
      <c r="W43" s="3"/>
      <c r="X43" s="287">
        <f t="shared" si="42"/>
        <v>180</v>
      </c>
      <c r="Y43" s="277">
        <f t="shared" si="37"/>
        <v>153.53149999999999</v>
      </c>
      <c r="Z43" s="409">
        <f t="shared" si="43"/>
        <v>0.35289175185548244</v>
      </c>
      <c r="AA43" s="387">
        <f t="shared" si="49"/>
        <v>200.26242541414129</v>
      </c>
      <c r="AB43" s="388">
        <f t="shared" si="45"/>
        <v>-5.0383854979218894</v>
      </c>
      <c r="AC43" s="388">
        <f t="shared" si="46"/>
        <v>-1.8600000000000003</v>
      </c>
      <c r="AD43" s="23"/>
      <c r="AE43" s="387">
        <f t="shared" si="50"/>
        <v>190.54495902943046</v>
      </c>
      <c r="AF43" s="388">
        <f t="shared" si="47"/>
        <v>-9.2425065855777504</v>
      </c>
      <c r="AG43" s="388">
        <f t="shared" si="48"/>
        <v>-1.7205000000000004</v>
      </c>
      <c r="AH43" s="22"/>
      <c r="AI43" s="3"/>
      <c r="AK43" s="109">
        <f>HLOOKUP($AR$27,$AO$29:$AS$53,15)</f>
        <v>45.46</v>
      </c>
      <c r="AL43" s="109">
        <f>HLOOKUP($AR$27,$AU$29:$AY$53,15)</f>
        <v>153.53149999999999</v>
      </c>
      <c r="AM43" s="111">
        <f>HLOOKUP($AV$27,$AO$29:$AS$53,15)</f>
        <v>45.46</v>
      </c>
      <c r="AN43" s="111">
        <f>HLOOKUP($AV$27,$AU$29:$AY$53,15)</f>
        <v>153.53149999999999</v>
      </c>
      <c r="AO43" s="327">
        <f>G15</f>
        <v>45.46</v>
      </c>
      <c r="AP43" s="411">
        <f>G15</f>
        <v>45.46</v>
      </c>
      <c r="AQ43" s="419">
        <f>P15</f>
        <v>68.180000000000007</v>
      </c>
      <c r="AR43" s="327"/>
      <c r="AS43" s="327"/>
      <c r="AT43" s="372"/>
      <c r="AU43" s="327">
        <f>G37</f>
        <v>153.53149999999999</v>
      </c>
      <c r="AV43" s="411">
        <f>G37</f>
        <v>153.53149999999999</v>
      </c>
      <c r="AW43" s="419">
        <f>P37</f>
        <v>175.4563</v>
      </c>
      <c r="AX43" s="327"/>
      <c r="AY43" s="327"/>
      <c r="BA43" s="3"/>
      <c r="BB43" s="3"/>
      <c r="BC43" s="68">
        <v>43</v>
      </c>
      <c r="BD43" s="113" t="e">
        <f>#REF!</f>
        <v>#REF!</v>
      </c>
      <c r="BE43" s="111">
        <f>BE39</f>
        <v>80.543518089181902</v>
      </c>
      <c r="BF43" s="109">
        <f>BF39</f>
        <v>161.10728850878598</v>
      </c>
      <c r="BG43" s="109">
        <f t="shared" si="0"/>
        <v>161.10728850878598</v>
      </c>
      <c r="BH43" s="3"/>
      <c r="BI43" s="40">
        <f t="shared" si="44"/>
        <v>-5.0383854979218894</v>
      </c>
      <c r="BJ43" s="40">
        <f t="shared" si="44"/>
        <v>-1.8600000000000003</v>
      </c>
      <c r="BK43" s="3"/>
      <c r="BL43" s="40" t="e">
        <f>#REF!*$BM$4</f>
        <v>#REF!</v>
      </c>
      <c r="BM43" s="40" t="e">
        <f>#REF!*$BM$4</f>
        <v>#REF!</v>
      </c>
      <c r="BN43" s="3"/>
      <c r="BO43" s="3"/>
      <c r="BP43" s="3"/>
    </row>
    <row r="44" spans="1:69" ht="15.75">
      <c r="C44" s="377">
        <f>Z1E_Ang2+180</f>
        <v>168.4333593380118</v>
      </c>
      <c r="D44" s="378" t="str">
        <f>IF(C44&lt;C45,Z1E_C2,"")</f>
        <v/>
      </c>
      <c r="E44" s="379"/>
      <c r="F44" s="377">
        <f>Z1BE_Ang2+180</f>
        <v>169.12738248335361</v>
      </c>
      <c r="G44" s="378" t="str">
        <f>IF(F44&lt;F45,Z1BE_C2,"")</f>
        <v/>
      </c>
      <c r="H44" s="380"/>
      <c r="I44" s="377">
        <f>Z2E_Ang2+180</f>
        <v>168.89377973815692</v>
      </c>
      <c r="J44" s="378" t="str">
        <f>IF(I44&lt;I45,Z2E_C2,"")</f>
        <v/>
      </c>
      <c r="K44" s="379"/>
      <c r="L44" s="377">
        <f>Z3E_Ang2+180</f>
        <v>348.31711156215658</v>
      </c>
      <c r="M44" s="378" t="str">
        <f>IF(L44&lt;L45,Z3E_C2,"")</f>
        <v/>
      </c>
      <c r="N44" s="376"/>
      <c r="O44" s="377">
        <f>Z4E_Ang2+180</f>
        <v>165.52465924747506</v>
      </c>
      <c r="P44" s="378" t="str">
        <f>IF(O44&lt;O45,Z4E_C2,"")</f>
        <v/>
      </c>
      <c r="Q44" s="375"/>
      <c r="R44" s="377">
        <f>Z5E_Ang2+180</f>
        <v>309.97577232825859</v>
      </c>
      <c r="S44" s="378" t="str">
        <f>IF(R44&lt;R45,Z5E_C2,"")</f>
        <v/>
      </c>
      <c r="T44" s="22"/>
      <c r="U44" s="287" t="str">
        <f t="shared" si="40"/>
        <v/>
      </c>
      <c r="V44" s="277" t="str">
        <f t="shared" si="41"/>
        <v/>
      </c>
      <c r="W44" s="3"/>
      <c r="X44" s="287">
        <f t="shared" si="42"/>
        <v>189.87890464929336</v>
      </c>
      <c r="Y44" s="277">
        <f t="shared" si="37"/>
        <v>163.47024821550991</v>
      </c>
      <c r="Z44" s="409">
        <f t="shared" si="43"/>
        <v>0.3314364576517444</v>
      </c>
      <c r="AA44" s="387">
        <f t="shared" si="49"/>
        <v>202</v>
      </c>
      <c r="AB44" s="388">
        <f t="shared" si="45"/>
        <v>-4.6036615473543101</v>
      </c>
      <c r="AC44" s="388">
        <f t="shared" si="46"/>
        <v>-1.8599999999999999</v>
      </c>
      <c r="AD44" s="23"/>
      <c r="AE44" s="387">
        <f t="shared" si="50"/>
        <v>193</v>
      </c>
      <c r="AF44" s="388">
        <f t="shared" si="47"/>
        <v>-7.4523042417058907</v>
      </c>
      <c r="AG44" s="388">
        <f t="shared" si="48"/>
        <v>-1.7205000000000001</v>
      </c>
      <c r="AH44" s="22"/>
      <c r="AI44" s="3"/>
      <c r="AK44" s="109">
        <f>HLOOKUP($AR$27,$AO$29:$AS$53,16)</f>
        <v>48.450414628651245</v>
      </c>
      <c r="AL44" s="109">
        <f>HLOOKUP($AR$27,$AU$29:$AY$53,16)</f>
        <v>161.10728850878598</v>
      </c>
      <c r="AM44" s="111">
        <f>HLOOKUP($AV$27,$AO$29:$AS$53,16)</f>
        <v>48.450414628651245</v>
      </c>
      <c r="AN44" s="111">
        <f>HLOOKUP($AV$27,$AU$29:$AY$53,16)</f>
        <v>156.84519038126788</v>
      </c>
      <c r="AO44" s="327">
        <f t="shared" ref="AO44:AO49" si="51">G16</f>
        <v>48.450414628651245</v>
      </c>
      <c r="AP44" s="327">
        <f>G16</f>
        <v>48.450414628651245</v>
      </c>
      <c r="AQ44" s="420">
        <f>P16</f>
        <v>72.664964130696049</v>
      </c>
      <c r="AR44" s="327"/>
      <c r="AS44" s="327"/>
      <c r="AT44" s="350">
        <f>CHOOSE(LEFT(PTTMode,1),D13,D13,G13,"")</f>
        <v>43.917676938018751</v>
      </c>
      <c r="AU44" s="327">
        <f t="shared" ref="AU44:AU49" si="52">G38</f>
        <v>156.84519038126788</v>
      </c>
      <c r="AV44" s="327">
        <f>G39</f>
        <v>161.10728850878598</v>
      </c>
      <c r="AW44" s="420">
        <f>P39</f>
        <v>188.56129749964023</v>
      </c>
      <c r="AX44" s="327"/>
      <c r="AY44" s="327"/>
      <c r="AZ44" s="350">
        <f>CHOOSE(LEFT(PTTMode,1),D35,D35,G35,"")</f>
        <v>115.92997785702917</v>
      </c>
      <c r="BA44" s="3"/>
      <c r="BB44" s="3"/>
      <c r="BC44" s="68">
        <v>44</v>
      </c>
      <c r="BD44" s="113">
        <f>S35</f>
        <v>52.971036504434409</v>
      </c>
      <c r="BE44" s="111">
        <f>BE38</f>
        <v>76.756100000000018</v>
      </c>
      <c r="BF44" s="109">
        <f>BF38</f>
        <v>153.53149999999999</v>
      </c>
      <c r="BG44" s="109">
        <f t="shared" si="0"/>
        <v>153.53149999999999</v>
      </c>
      <c r="BH44" s="3"/>
      <c r="BI44" s="40">
        <f t="shared" si="44"/>
        <v>-4.6036615473543101</v>
      </c>
      <c r="BJ44" s="40">
        <f t="shared" si="44"/>
        <v>-1.8599999999999999</v>
      </c>
      <c r="BK44" s="3"/>
      <c r="BL44" s="40" t="e">
        <f>#REF!*$BM$4</f>
        <v>#REF!</v>
      </c>
      <c r="BM44" s="40" t="e">
        <f>#REF!*$BM$4</f>
        <v>#REF!</v>
      </c>
      <c r="BN44" s="3"/>
      <c r="BO44" s="3"/>
      <c r="BP44" s="3"/>
      <c r="BQ44" s="3"/>
    </row>
    <row r="45" spans="1:69" ht="15.75">
      <c r="C45" s="33">
        <f>_Dir1+AngQ2E-DirDelta</f>
        <v>110</v>
      </c>
      <c r="D45" s="36">
        <f>ABS(IF(Z1_Blinder2&lt;C44,EX_1/SIN(RADIANS(C45)),ER_1*SIN(RADIANS(Slope))/SIN(RADIANS(Slope-C45))))</f>
        <v>15.848267476597522</v>
      </c>
      <c r="E45" s="22"/>
      <c r="F45" s="33">
        <f>Dir1B+AngQ2E-DirDelta</f>
        <v>110</v>
      </c>
      <c r="G45" s="36">
        <f>ABS(IF(Z1B_Blinder2&lt;F44,EX_1B/SIN(RADIANS(F45)),ER_1B*SIN(RADIANS(Slope))/SIN(RADIANS(Slope-F45))))</f>
        <v>29.845929806859434</v>
      </c>
      <c r="H45" s="22"/>
      <c r="I45" s="33">
        <f>_Dir2+AngQ2E-DirDelta</f>
        <v>110</v>
      </c>
      <c r="J45" s="36">
        <f>ABS(IF(Z2_Blinder2&lt;I44,EX_2/SIN(RADIANS(I45)),ER_2*SIN(RADIANS(Slope))/SIN(RADIANS(Slope-I45))))</f>
        <v>23.939743169618122</v>
      </c>
      <c r="K45" s="22"/>
      <c r="L45" s="33">
        <f>_Dir3+AngQ2E-DirDelta</f>
        <v>290</v>
      </c>
      <c r="M45" s="36">
        <f>ABS(IF(Z3_Blinder2&lt;L44,EX_3/SIN(RADIANS(L45)),ER_3*SIN(RADIANS(Slope))/SIN(RADIANS(Slope-L45))))</f>
        <v>1.8309178575448071</v>
      </c>
      <c r="O45" s="33">
        <f>_Dir4+AngQ2E-DirDelta</f>
        <v>110</v>
      </c>
      <c r="P45" s="36">
        <f>ABS(IF(Z4_Blinder2&lt;O44,EX_4/SIN(RADIANS(O45)),ER_4*SIN(RADIANS(Slope))/SIN(RADIANS(Slope-O45))))</f>
        <v>45.083891330942016</v>
      </c>
      <c r="Q45" s="3"/>
      <c r="R45" s="33">
        <f>_Dir5+AngQ2E-DirDelta</f>
        <v>290</v>
      </c>
      <c r="S45" s="36">
        <f>ABS(IF(Z5_Blinder2&lt;R44,EX_5/SIN(RADIANS(R45)),ER_5*SIN(RADIANS(Slope))/SIN(RADIANS(Slope-R45))))</f>
        <v>52.742246670564924</v>
      </c>
      <c r="T45" s="3"/>
      <c r="U45" s="287" t="str">
        <f t="shared" si="40"/>
        <v/>
      </c>
      <c r="V45" s="277" t="str">
        <f t="shared" si="41"/>
        <v/>
      </c>
      <c r="W45" s="3"/>
      <c r="X45" s="287">
        <f t="shared" si="42"/>
        <v>270</v>
      </c>
      <c r="Y45" s="277">
        <f t="shared" si="37"/>
        <v>28.046000000000003</v>
      </c>
      <c r="Z45" s="409">
        <f t="shared" si="43"/>
        <v>1.9318262853882904</v>
      </c>
      <c r="AA45" s="387">
        <f t="shared" si="49"/>
        <v>236</v>
      </c>
      <c r="AB45" s="388">
        <f t="shared" si="45"/>
        <v>-1.2545858413269126</v>
      </c>
      <c r="AC45" s="388">
        <f t="shared" si="46"/>
        <v>-1.86</v>
      </c>
      <c r="AD45" s="23"/>
      <c r="AE45" s="387">
        <f t="shared" si="50"/>
        <v>231.5</v>
      </c>
      <c r="AF45" s="388">
        <f t="shared" si="47"/>
        <v>-1.3685474946269995</v>
      </c>
      <c r="AG45" s="388">
        <f t="shared" si="48"/>
        <v>-1.7205000000000001</v>
      </c>
      <c r="AH45" s="22"/>
      <c r="AI45" s="3"/>
      <c r="AK45" s="109">
        <f>HLOOKUP($AR$27,$AO$29:$AS$53,17)</f>
        <v>61.567613084960264</v>
      </c>
      <c r="AL45" s="109">
        <f>HLOOKUP($AR$27,$AU$29:$AY$53,17)</f>
        <v>163.47024821550991</v>
      </c>
      <c r="AM45" s="111">
        <f>HLOOKUP($AV$27,$AO$29:$AS$53,17)</f>
        <v>53.605418394841379</v>
      </c>
      <c r="AN45" s="111">
        <f>HLOOKUP($AV$27,$AU$29:$AY$53,17)</f>
        <v>161.10728850878598</v>
      </c>
      <c r="AO45" s="327">
        <f t="shared" si="51"/>
        <v>53.605418394841379</v>
      </c>
      <c r="AP45" s="413">
        <f>Z1B_C</f>
        <v>61.567613084960264</v>
      </c>
      <c r="AQ45" s="421">
        <f>P18</f>
        <v>92.575245352873154</v>
      </c>
      <c r="AR45" s="327"/>
      <c r="AS45" s="327"/>
      <c r="AT45" s="350">
        <f t="shared" ref="AT45:AT51" si="53">CHOOSE(LEFT(PTTMode,1),D15,D15,G15,"")</f>
        <v>45.46</v>
      </c>
      <c r="AU45" s="327">
        <f t="shared" si="52"/>
        <v>161.10728850878598</v>
      </c>
      <c r="AV45" s="413">
        <f>Z1BE_C</f>
        <v>163.47024821550991</v>
      </c>
      <c r="AW45" s="421">
        <f>P40</f>
        <v>191.55158563800398</v>
      </c>
      <c r="AX45" s="327"/>
      <c r="AY45" s="327"/>
      <c r="AZ45" s="350">
        <f t="shared" ref="AZ45:AZ51" si="54">CHOOSE(LEFT(PTTMode,1),D37,D37,G37,"")</f>
        <v>153.53149999999999</v>
      </c>
      <c r="BA45" s="3"/>
      <c r="BB45" s="3"/>
      <c r="BC45" s="68">
        <v>45</v>
      </c>
      <c r="BD45" s="113">
        <f>S37</f>
        <v>54.831300000000006</v>
      </c>
      <c r="BE45" s="111">
        <f>BE43</f>
        <v>80.543518089181902</v>
      </c>
      <c r="BF45" s="109">
        <f>BF43</f>
        <v>161.10728850878598</v>
      </c>
      <c r="BG45" s="109">
        <f t="shared" si="0"/>
        <v>161.10728850878598</v>
      </c>
      <c r="BH45" s="3"/>
      <c r="BI45" s="40">
        <f t="shared" si="44"/>
        <v>-1.2545858413269126</v>
      </c>
      <c r="BJ45" s="40">
        <f t="shared" si="44"/>
        <v>-1.86</v>
      </c>
      <c r="BK45" s="3"/>
      <c r="BL45" s="40" t="e">
        <f>#REF!*$BM$4</f>
        <v>#REF!</v>
      </c>
      <c r="BM45" s="40" t="e">
        <f>#REF!*$BM$4</f>
        <v>#REF!</v>
      </c>
      <c r="BN45" s="3"/>
      <c r="BO45" s="3"/>
      <c r="BP45" s="3"/>
    </row>
    <row r="46" spans="1:69" ht="15.75">
      <c r="B46" s="89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T46" s="89"/>
      <c r="U46" s="287" t="str">
        <f t="shared" si="40"/>
        <v/>
      </c>
      <c r="V46" s="277" t="str">
        <f t="shared" si="41"/>
        <v/>
      </c>
      <c r="W46" s="3"/>
      <c r="X46" s="287">
        <f t="shared" si="42"/>
        <v>290</v>
      </c>
      <c r="Y46" s="277">
        <f t="shared" si="37"/>
        <v>29.845929806859434</v>
      </c>
      <c r="Z46" s="409">
        <f t="shared" si="43"/>
        <v>1.8153229050196289</v>
      </c>
      <c r="AA46" s="387">
        <f t="shared" si="49"/>
        <v>270</v>
      </c>
      <c r="AB46" s="388">
        <f t="shared" si="45"/>
        <v>-3.4181641891950501E-16</v>
      </c>
      <c r="AC46" s="388">
        <f t="shared" si="46"/>
        <v>-1.86</v>
      </c>
      <c r="AD46" s="23"/>
      <c r="AE46" s="387">
        <f t="shared" si="50"/>
        <v>270</v>
      </c>
      <c r="AF46" s="388">
        <f t="shared" si="47"/>
        <v>-3.1618018750054215E-16</v>
      </c>
      <c r="AG46" s="388">
        <f t="shared" si="48"/>
        <v>-1.7205000000000001</v>
      </c>
      <c r="AH46" s="22"/>
      <c r="AI46" s="3"/>
      <c r="AK46" s="109">
        <f>HLOOKUP($AR$27,$AO$29:$AS$53,18)</f>
        <v>33.454418502942751</v>
      </c>
      <c r="AL46" s="109">
        <f>HLOOKUP($AR$27,$AU$29:$AY$53,18)</f>
        <v>134.8938094326939</v>
      </c>
      <c r="AM46" s="111">
        <f>HLOOKUP($AV$27,$AO$29:$AS$53,18)</f>
        <v>61.567613084960264</v>
      </c>
      <c r="AN46" s="111">
        <f>HLOOKUP($AV$27,$AU$29:$AY$53,18)</f>
        <v>163.47024821550991</v>
      </c>
      <c r="AO46" s="327">
        <f t="shared" si="51"/>
        <v>61.567613084960264</v>
      </c>
      <c r="AP46" s="327">
        <f>G20</f>
        <v>33.454418502942751</v>
      </c>
      <c r="AQ46" s="420">
        <f>P20</f>
        <v>50.534708688482119</v>
      </c>
      <c r="AR46" s="327"/>
      <c r="AS46" s="327"/>
      <c r="AT46" s="350">
        <f t="shared" si="53"/>
        <v>48.450414628651245</v>
      </c>
      <c r="AU46" s="327">
        <f t="shared" si="52"/>
        <v>163.47024821550991</v>
      </c>
      <c r="AV46" s="327">
        <f>G41</f>
        <v>134.8938094326939</v>
      </c>
      <c r="AW46" s="420">
        <f>P41</f>
        <v>163.68579052294552</v>
      </c>
      <c r="AX46" s="327"/>
      <c r="AY46" s="327"/>
      <c r="AZ46" s="350">
        <f t="shared" si="54"/>
        <v>156.84519038126788</v>
      </c>
      <c r="BA46" s="3"/>
      <c r="BB46" s="3"/>
      <c r="BC46" s="68">
        <v>46</v>
      </c>
      <c r="BD46" s="113">
        <f>S39</f>
        <v>80.728968612015152</v>
      </c>
      <c r="BE46" s="111">
        <f>BE42</f>
        <v>71.62896872910197</v>
      </c>
      <c r="BF46" s="109">
        <f>BF42</f>
        <v>134.8938094326939</v>
      </c>
      <c r="BG46" s="109">
        <f t="shared" si="0"/>
        <v>134.8938094326939</v>
      </c>
      <c r="BH46" s="3"/>
      <c r="BI46" s="40">
        <f t="shared" si="44"/>
        <v>-3.4181641891950501E-16</v>
      </c>
      <c r="BJ46" s="40">
        <f t="shared" si="44"/>
        <v>-1.86</v>
      </c>
      <c r="BK46" s="3"/>
      <c r="BL46" s="40" t="e">
        <f>#REF!*$BM$4</f>
        <v>#REF!</v>
      </c>
      <c r="BM46" s="40" t="e">
        <f>#REF!*$BM$4</f>
        <v>#REF!</v>
      </c>
      <c r="BN46" s="3"/>
      <c r="BO46" s="3"/>
      <c r="BP46" s="3"/>
    </row>
    <row r="47" spans="1:69" ht="15.75">
      <c r="A47" s="224" t="s">
        <v>807</v>
      </c>
      <c r="B47" s="225"/>
      <c r="C47" s="714" t="str">
        <f>IF(AND(Settings!C16="Forward",Settings!E16="Forward",Settings!G16&lt;&gt;"Reverse",Settings!K16&lt;&gt;"Reverse",Settings!M16="Reverse"),"","WARNING !   Non-standard characteristic.")</f>
        <v/>
      </c>
      <c r="D47" s="225"/>
      <c r="E47" s="225"/>
      <c r="F47" s="225"/>
      <c r="G47" s="225"/>
      <c r="H47" s="225"/>
      <c r="I47" s="226"/>
      <c r="J47" s="226"/>
      <c r="K47" s="226"/>
      <c r="L47" s="226"/>
      <c r="M47" s="226"/>
      <c r="N47" s="226"/>
      <c r="O47" s="226"/>
      <c r="P47" s="227"/>
      <c r="Q47" s="227"/>
      <c r="R47" s="227"/>
      <c r="S47" s="227"/>
      <c r="T47" s="227"/>
      <c r="U47" s="227"/>
      <c r="V47" s="228"/>
      <c r="W47" s="3"/>
      <c r="X47" s="3"/>
      <c r="Y47" s="3"/>
      <c r="Z47" s="3"/>
      <c r="AA47" s="387">
        <f t="shared" si="49"/>
        <v>335.28753930789912</v>
      </c>
      <c r="AB47" s="388">
        <f t="shared" si="45"/>
        <v>-3.4181641891950501E-16</v>
      </c>
      <c r="AC47" s="388">
        <f t="shared" si="46"/>
        <v>-1.86</v>
      </c>
      <c r="AD47" s="23"/>
      <c r="AE47" s="387">
        <f t="shared" si="50"/>
        <v>348.31711156215658</v>
      </c>
      <c r="AF47" s="388">
        <f t="shared" si="47"/>
        <v>-3.1618018750054215E-16</v>
      </c>
      <c r="AG47" s="388">
        <f t="shared" si="48"/>
        <v>-1.7205000000000001</v>
      </c>
      <c r="AH47" s="22"/>
      <c r="AI47" s="3"/>
      <c r="AK47" s="109">
        <f>HLOOKUP($AR$27,$AO$29:$AS$53,19)</f>
        <v>30.32</v>
      </c>
      <c r="AL47" s="109">
        <f>HLOOKUP($AR$27,$AU$29:$AY$53,19)</f>
        <v>28.046000000000003</v>
      </c>
      <c r="AM47" s="111">
        <f>HLOOKUP($AV$27,$AO$29:$AS$53,19)</f>
        <v>47.169546430407706</v>
      </c>
      <c r="AN47" s="111">
        <f>HLOOKUP($AV$27,$AU$29:$AY$53,19)</f>
        <v>134.8938094326939</v>
      </c>
      <c r="AO47" s="327">
        <f t="shared" si="51"/>
        <v>47.169546430407706</v>
      </c>
      <c r="AP47" s="411">
        <f>G21</f>
        <v>30.32</v>
      </c>
      <c r="AQ47" s="419">
        <f>P21</f>
        <v>45.8</v>
      </c>
      <c r="AR47" s="327"/>
      <c r="AS47" s="327"/>
      <c r="AT47" s="350">
        <f t="shared" si="53"/>
        <v>53.605418394841379</v>
      </c>
      <c r="AU47" s="327">
        <f t="shared" si="52"/>
        <v>134.8938094326939</v>
      </c>
      <c r="AV47" s="411">
        <f>G43</f>
        <v>28.046000000000003</v>
      </c>
      <c r="AW47" s="419">
        <f>P43</f>
        <v>42.365000000000002</v>
      </c>
      <c r="AX47" s="327"/>
      <c r="AY47" s="327"/>
      <c r="AZ47" s="350">
        <f t="shared" si="54"/>
        <v>161.10728850878598</v>
      </c>
      <c r="BA47" s="3"/>
      <c r="BB47" s="3"/>
      <c r="BC47" s="68">
        <v>47</v>
      </c>
      <c r="BD47" s="113">
        <f>S41</f>
        <v>80.501220209993036</v>
      </c>
      <c r="BE47" s="111">
        <f>BE41</f>
        <v>14.892500000000002</v>
      </c>
      <c r="BF47" s="109">
        <f>BF41</f>
        <v>28.046000000000003</v>
      </c>
      <c r="BG47" s="109">
        <f t="shared" si="0"/>
        <v>28.046000000000003</v>
      </c>
      <c r="BH47" s="3"/>
      <c r="BI47" s="40">
        <f t="shared" si="44"/>
        <v>-3.4181641891950501E-16</v>
      </c>
      <c r="BJ47" s="40">
        <f t="shared" si="44"/>
        <v>-1.86</v>
      </c>
      <c r="BK47" s="3"/>
      <c r="BL47" s="40" t="e">
        <f>#REF!*$BM$4</f>
        <v>#REF!</v>
      </c>
      <c r="BM47" s="40" t="e">
        <f>#REF!*$BM$4</f>
        <v>#REF!</v>
      </c>
      <c r="BN47" s="3"/>
      <c r="BO47" s="3"/>
      <c r="BP47" s="3"/>
    </row>
    <row r="48" spans="1:69" ht="15.75">
      <c r="A48" s="231"/>
      <c r="B48" s="190"/>
      <c r="C48" s="232" t="str">
        <f>IF(C47="","","Calculate Test-points / Times manually.")</f>
        <v/>
      </c>
      <c r="D48" s="191"/>
      <c r="E48" s="191"/>
      <c r="F48" s="229"/>
      <c r="G48" s="190"/>
      <c r="H48" s="190"/>
      <c r="I48" s="190"/>
      <c r="J48" s="190"/>
      <c r="K48" s="190"/>
      <c r="L48" s="190"/>
      <c r="M48" s="190"/>
      <c r="N48" s="190"/>
      <c r="O48" s="190"/>
      <c r="P48" s="191"/>
      <c r="Q48" s="191"/>
      <c r="R48" s="191"/>
      <c r="S48" s="191"/>
      <c r="T48" s="191"/>
      <c r="U48" s="191"/>
      <c r="V48" s="230"/>
      <c r="W48" s="89"/>
      <c r="X48" s="89"/>
      <c r="Y48" s="89"/>
      <c r="Z48" s="89"/>
      <c r="AA48" s="387">
        <f t="shared" si="49"/>
        <v>292</v>
      </c>
      <c r="AB48" s="388">
        <f t="shared" si="45"/>
        <v>0.75148878005339159</v>
      </c>
      <c r="AC48" s="388">
        <f t="shared" si="46"/>
        <v>-1.86</v>
      </c>
      <c r="AD48" s="23"/>
      <c r="AE48" s="387">
        <f t="shared" si="50"/>
        <v>290</v>
      </c>
      <c r="AF48" s="388">
        <f t="shared" si="47"/>
        <v>0.62621078805500174</v>
      </c>
      <c r="AG48" s="388">
        <f t="shared" si="48"/>
        <v>-1.7205000000000001</v>
      </c>
      <c r="AH48" s="22"/>
      <c r="AI48" s="3"/>
      <c r="AK48" s="109">
        <f>HLOOKUP($AR$27,$AO$29:$AS$53,20)</f>
        <v>32.701173397984327</v>
      </c>
      <c r="AL48" s="109">
        <f>HLOOKUP($AR$27,$AU$29:$AY$53,20)</f>
        <v>29.845929806859434</v>
      </c>
      <c r="AM48" s="111">
        <f>HLOOKUP($AV$27,$AO$29:$AS$53,20)</f>
        <v>33.454418502942751</v>
      </c>
      <c r="AN48" s="111">
        <f>HLOOKUP($AV$27,$AU$29:$AY$53,20)</f>
        <v>36.088458785039776</v>
      </c>
      <c r="AO48" s="327">
        <f t="shared" si="51"/>
        <v>33.454418502942751</v>
      </c>
      <c r="AP48" s="327">
        <f>G23</f>
        <v>32.701173397984327</v>
      </c>
      <c r="AQ48" s="422">
        <f>P23</f>
        <v>49.396891214633314</v>
      </c>
      <c r="AR48" s="327"/>
      <c r="AS48" s="327"/>
      <c r="AT48" s="350">
        <f t="shared" si="53"/>
        <v>61.567613084960264</v>
      </c>
      <c r="AU48" s="327">
        <f t="shared" si="52"/>
        <v>36.088458785039776</v>
      </c>
      <c r="AV48" s="327">
        <f>G45</f>
        <v>29.845929806859434</v>
      </c>
      <c r="AW48" s="422">
        <f>P45</f>
        <v>45.083891330942016</v>
      </c>
      <c r="AX48" s="327"/>
      <c r="AY48" s="327"/>
      <c r="AZ48" s="350">
        <f t="shared" si="54"/>
        <v>163.47024821550991</v>
      </c>
      <c r="BA48" s="3"/>
      <c r="BB48" s="3"/>
      <c r="BC48" s="68">
        <v>48</v>
      </c>
      <c r="BD48" s="113">
        <f>S43</f>
        <v>49.561500000000002</v>
      </c>
      <c r="BE48" s="111">
        <f>BE40</f>
        <v>71.62896872910197</v>
      </c>
      <c r="BF48" s="109">
        <f>BF40</f>
        <v>134.8938094326939</v>
      </c>
      <c r="BG48" s="109">
        <f t="shared" si="0"/>
        <v>134.8938094326939</v>
      </c>
      <c r="BH48" s="3"/>
      <c r="BI48" s="40">
        <f t="shared" si="44"/>
        <v>0.75148878005339159</v>
      </c>
      <c r="BJ48" s="40">
        <f t="shared" si="44"/>
        <v>-1.86</v>
      </c>
      <c r="BK48" s="3"/>
      <c r="BL48" s="40" t="e">
        <f>#REF!*$BM$4</f>
        <v>#REF!</v>
      </c>
      <c r="BM48" s="40" t="e">
        <f>#REF!*$BM$4</f>
        <v>#REF!</v>
      </c>
      <c r="BN48" s="3"/>
      <c r="BO48" s="3"/>
      <c r="BP48" s="3"/>
    </row>
    <row r="49" spans="1:69" ht="15.75">
      <c r="A49" s="231"/>
      <c r="B49" s="190"/>
      <c r="C49" s="190"/>
      <c r="D49" s="232" t="str">
        <f>IF(AND(Settings!G16="Forward",G21&gt;=J21),"Note:  Zone 1B over-reaches Zone 2 !","")</f>
        <v>Note:  Zone 1B over-reaches Zone 2 !</v>
      </c>
      <c r="E49" s="190"/>
      <c r="F49" s="190"/>
      <c r="G49" s="190"/>
      <c r="H49" s="191"/>
      <c r="I49" s="191"/>
      <c r="J49" s="191"/>
      <c r="K49" s="191"/>
      <c r="L49" s="191"/>
      <c r="M49" s="191"/>
      <c r="N49" s="191"/>
      <c r="O49" s="233"/>
      <c r="P49" s="191"/>
      <c r="Q49" s="191"/>
      <c r="R49" s="191"/>
      <c r="S49" s="191"/>
      <c r="T49" s="191"/>
      <c r="U49" s="191"/>
      <c r="V49" s="230"/>
      <c r="W49" s="3"/>
      <c r="X49" s="3"/>
      <c r="Y49" s="80"/>
      <c r="Z49" s="3"/>
      <c r="AA49" s="384" t="s">
        <v>392</v>
      </c>
      <c r="AB49" s="276">
        <f>COS(RADIANS($O13))*$P13*$AB$140</f>
        <v>63.910327596712989</v>
      </c>
      <c r="AC49" s="276">
        <f>SIN(RADIANS($O13))*$P13*$AB$140</f>
        <v>-15.934634340741868</v>
      </c>
      <c r="AD49" s="23"/>
      <c r="AE49" s="384" t="s">
        <v>392</v>
      </c>
      <c r="AF49" s="276">
        <f>COS(RADIANS($O35))*$P35*$AF$140</f>
        <v>164.46860680415298</v>
      </c>
      <c r="AG49" s="276">
        <f>SIN(RADIANS($O35))*$P35*$AF$140</f>
        <v>-41.006629264879827</v>
      </c>
      <c r="AH49" s="22"/>
      <c r="AI49" s="3"/>
      <c r="AK49" s="109">
        <f>HLOOKUP($AR$27,$AO$29:$AS$53,21)</f>
        <v>48.096391802926064</v>
      </c>
      <c r="AL49" s="109">
        <f>HLOOKUP($AR$27,$AU$29:$AY$53,21)</f>
        <v>148.68565734659521</v>
      </c>
      <c r="AM49" s="111">
        <f>HLOOKUP($AV$27,$AO$29:$AS$53,21)</f>
        <v>30.32</v>
      </c>
      <c r="AN49" s="111">
        <f>HLOOKUP($AV$27,$AU$29:$AY$53,21)</f>
        <v>28.046000000000003</v>
      </c>
      <c r="AO49" s="327">
        <f t="shared" si="51"/>
        <v>30.32</v>
      </c>
      <c r="AP49" s="413">
        <f>Z1B_C2</f>
        <v>48.096391802926064</v>
      </c>
      <c r="AQ49" s="422">
        <f>S13</f>
        <v>21.949177739370572</v>
      </c>
      <c r="AR49" s="327"/>
      <c r="AS49" s="327"/>
      <c r="AT49" s="350">
        <f t="shared" si="53"/>
        <v>47.169546430407706</v>
      </c>
      <c r="AU49" s="327">
        <f t="shared" si="52"/>
        <v>28.046000000000003</v>
      </c>
      <c r="AV49" s="413">
        <f>AV42</f>
        <v>148.68565734659521</v>
      </c>
      <c r="AW49" s="422">
        <f>S35</f>
        <v>52.971036504434409</v>
      </c>
      <c r="AX49" s="327"/>
      <c r="AY49" s="327"/>
      <c r="AZ49" s="350">
        <f t="shared" si="54"/>
        <v>134.8938094326939</v>
      </c>
      <c r="BA49" s="3"/>
      <c r="BB49" s="3"/>
      <c r="BC49" s="68">
        <v>49</v>
      </c>
      <c r="BD49" s="113" t="e">
        <f>#REF!</f>
        <v>#REF!</v>
      </c>
      <c r="BE49" s="111">
        <f>BE39</f>
        <v>80.543518089181902</v>
      </c>
      <c r="BF49" s="109">
        <f>BF39</f>
        <v>161.10728850878598</v>
      </c>
      <c r="BG49" s="109">
        <f t="shared" si="0"/>
        <v>161.10728850878598</v>
      </c>
      <c r="BH49" s="3"/>
      <c r="BI49" s="40">
        <f t="shared" si="44"/>
        <v>63.910327596712989</v>
      </c>
      <c r="BJ49" s="40">
        <f t="shared" si="44"/>
        <v>-15.934634340741868</v>
      </c>
      <c r="BK49" s="3"/>
      <c r="BL49" s="40" t="e">
        <f>#REF!*$BM$4</f>
        <v>#REF!</v>
      </c>
      <c r="BM49" s="40" t="e">
        <f>#REF!*$BM$4</f>
        <v>#REF!</v>
      </c>
      <c r="BN49" s="3"/>
      <c r="BO49" s="3"/>
      <c r="BP49" s="3"/>
      <c r="BQ49" s="3"/>
    </row>
    <row r="50" spans="1:69" ht="13.5">
      <c r="A50" s="234"/>
      <c r="B50" s="192" t="str">
        <f>"Forward,   [A]    " &amp; IF(Settings!C8="Busbar"," 90","270") &amp;"º"</f>
        <v>Forward,   [A]     90º</v>
      </c>
      <c r="C50" s="193"/>
      <c r="D50" s="194"/>
      <c r="E50" s="195" t="s">
        <v>45</v>
      </c>
      <c r="F50" s="196"/>
      <c r="G50" s="191"/>
      <c r="H50" s="197" t="s">
        <v>59</v>
      </c>
      <c r="I50" s="198"/>
      <c r="J50" s="198"/>
      <c r="K50" s="198"/>
      <c r="L50" s="199"/>
      <c r="M50" s="191"/>
      <c r="N50" s="191"/>
      <c r="O50" s="190"/>
      <c r="P50" s="191"/>
      <c r="Q50" s="191"/>
      <c r="R50" s="200" t="s">
        <v>96</v>
      </c>
      <c r="S50" s="201"/>
      <c r="T50" s="202"/>
      <c r="U50" s="191"/>
      <c r="V50" s="230"/>
      <c r="W50" s="22"/>
      <c r="Y50" s="22"/>
      <c r="Z50" s="22"/>
      <c r="AA50" s="384">
        <f>O14</f>
        <v>-39.324472910204427</v>
      </c>
      <c r="AB50" s="276">
        <f t="shared" ref="AB50:AB59" si="55">IF($P14="",AB49,COS(RADIANS($O14))*$P14)*$AB$140</f>
        <v>63.910327596712989</v>
      </c>
      <c r="AC50" s="276">
        <f t="shared" ref="AC50:AC59" si="56">IF($P14="",AC49,SIN(RADIANS($O14))*$P14)*$AB$140</f>
        <v>-15.934634340741868</v>
      </c>
      <c r="AD50" s="23"/>
      <c r="AE50" s="384">
        <f>O36</f>
        <v>-14.475340752524936</v>
      </c>
      <c r="AF50" s="276">
        <f t="shared" ref="AF50:AF59" si="57">IF($P36="",AF49,COS(RADIANS($O36))*$P36)*$AF$140</f>
        <v>164.46860680415298</v>
      </c>
      <c r="AG50" s="276">
        <f t="shared" ref="AG50:AG59" si="58">IF($P36="",AG49,SIN(RADIANS($O36))*$P36)*$AF$140</f>
        <v>-41.006629264879827</v>
      </c>
      <c r="AH50" s="22"/>
      <c r="AI50" s="3"/>
      <c r="AK50" s="109">
        <f>HLOOKUP($AR$27,$AO$29:$AS$53,22)</f>
        <v>45.46</v>
      </c>
      <c r="AL50" s="109">
        <f>HLOOKUP($AR$27,$AU$29:$AY$53,22)</f>
        <v>153.53149999999999</v>
      </c>
      <c r="AM50" s="111">
        <f>HLOOKUP($AV$27,$AO$29:$AS$53,22)</f>
        <v>32.701173397984327</v>
      </c>
      <c r="AN50" s="111">
        <f>HLOOKUP($AV$27,$AU$29:$AY$53,22)</f>
        <v>29.845929806859434</v>
      </c>
      <c r="AO50" s="327">
        <f>G23</f>
        <v>32.701173397984327</v>
      </c>
      <c r="AP50" s="411">
        <f>AP43</f>
        <v>45.46</v>
      </c>
      <c r="AQ50" s="423">
        <f>S15</f>
        <v>22.72</v>
      </c>
      <c r="AR50" s="327"/>
      <c r="AS50" s="327"/>
      <c r="AT50" s="350">
        <f t="shared" si="53"/>
        <v>33.454418502942751</v>
      </c>
      <c r="AU50" s="327">
        <f>G45</f>
        <v>29.845929806859434</v>
      </c>
      <c r="AV50" s="411">
        <f>AV43</f>
        <v>153.53149999999999</v>
      </c>
      <c r="AW50" s="423">
        <f>S37</f>
        <v>54.831300000000006</v>
      </c>
      <c r="AX50" s="327"/>
      <c r="AY50" s="327"/>
      <c r="AZ50" s="350">
        <f t="shared" si="54"/>
        <v>36.088458785039776</v>
      </c>
      <c r="BA50" s="3"/>
      <c r="BB50" s="3"/>
      <c r="BC50" s="3"/>
      <c r="BD50" s="3"/>
      <c r="BE50" s="3"/>
      <c r="BF50" s="3"/>
      <c r="BG50" s="3"/>
      <c r="BH50" s="3"/>
      <c r="BI50" s="40">
        <f t="shared" si="44"/>
        <v>63.910327596712989</v>
      </c>
      <c r="BJ50" s="40">
        <f t="shared" si="44"/>
        <v>-15.934634340741868</v>
      </c>
      <c r="BK50" s="3"/>
      <c r="BL50" s="40" t="e">
        <f>#REF!*$BM$4</f>
        <v>#REF!</v>
      </c>
      <c r="BM50" s="40" t="e">
        <f>#REF!*$BM$4</f>
        <v>#REF!</v>
      </c>
      <c r="BN50" s="3"/>
      <c r="BO50" s="3"/>
      <c r="BP50" s="3"/>
      <c r="BQ50" s="3"/>
    </row>
    <row r="51" spans="1:69" ht="13.5">
      <c r="A51" s="231"/>
      <c r="B51" s="171"/>
      <c r="C51" s="558"/>
      <c r="D51" s="195"/>
      <c r="E51" s="195" t="s">
        <v>48</v>
      </c>
      <c r="F51" s="203"/>
      <c r="G51" s="191"/>
      <c r="H51" s="204"/>
      <c r="I51" s="198" t="s">
        <v>60</v>
      </c>
      <c r="J51" s="198"/>
      <c r="K51" s="205" t="str">
        <f>IF(Settings!C8="Busbar"," 90","270")</f>
        <v xml:space="preserve"> 90</v>
      </c>
      <c r="L51" s="260" t="str">
        <f xml:space="preserve"> "º"</f>
        <v>º</v>
      </c>
      <c r="M51" s="191"/>
      <c r="N51" s="191"/>
      <c r="O51" s="190"/>
      <c r="P51" s="191"/>
      <c r="Q51" s="191"/>
      <c r="R51" s="206" t="s">
        <v>71</v>
      </c>
      <c r="S51" s="207">
        <f>IF(P35&lt;MIN(P41,S41),0,AP91)</f>
        <v>0</v>
      </c>
      <c r="T51" s="208"/>
      <c r="U51" s="191"/>
      <c r="V51" s="230"/>
      <c r="W51" s="83"/>
      <c r="X51" s="83"/>
      <c r="Y51" s="83"/>
      <c r="Z51" s="3"/>
      <c r="AA51" s="384">
        <f t="shared" ref="AA51:AA59" si="59">O15</f>
        <v>0</v>
      </c>
      <c r="AB51" s="276">
        <f t="shared" si="55"/>
        <v>68.180000000000007</v>
      </c>
      <c r="AC51" s="276">
        <f t="shared" si="56"/>
        <v>0</v>
      </c>
      <c r="AD51" s="23"/>
      <c r="AE51" s="384">
        <f t="shared" ref="AE51:AE59" si="60">O37</f>
        <v>0</v>
      </c>
      <c r="AF51" s="276">
        <f t="shared" si="57"/>
        <v>175.4563</v>
      </c>
      <c r="AG51" s="276">
        <f t="shared" si="58"/>
        <v>0</v>
      </c>
      <c r="AH51" s="22"/>
      <c r="AK51" s="109">
        <f>HLOOKUP($AR$27,$AO$29:$AS$53,23)</f>
        <v>61.567613084960264</v>
      </c>
      <c r="AL51" s="109">
        <f>HLOOKUP($AR$27,$AU$29:$AY$53,23)</f>
        <v>163.47024821550991</v>
      </c>
      <c r="AM51" s="111">
        <f>HLOOKUP($AV$27,$AO$29:$AS$53,23)</f>
        <v>0</v>
      </c>
      <c r="AN51" s="111">
        <f>HLOOKUP($AV$27,$AU$29:$AY$53,23)</f>
        <v>0</v>
      </c>
      <c r="AO51" s="327"/>
      <c r="AP51" s="413">
        <f>Z1B_C</f>
        <v>61.567613084960264</v>
      </c>
      <c r="AQ51" s="421">
        <f>S18</f>
        <v>65.157496864629266</v>
      </c>
      <c r="AR51" s="327"/>
      <c r="AS51" s="327"/>
      <c r="AT51" s="350">
        <f t="shared" si="53"/>
        <v>30.32</v>
      </c>
      <c r="AU51" s="327"/>
      <c r="AV51" s="413">
        <f>AV45</f>
        <v>163.47024821550991</v>
      </c>
      <c r="AW51" s="421">
        <f>S40</f>
        <v>84.234711089891007</v>
      </c>
      <c r="AX51" s="327"/>
      <c r="AY51" s="327"/>
      <c r="AZ51" s="350">
        <f t="shared" si="54"/>
        <v>28.046000000000003</v>
      </c>
      <c r="BA51" s="3"/>
      <c r="BB51" s="3"/>
      <c r="BC51" s="3"/>
      <c r="BD51" s="3"/>
      <c r="BE51" s="3"/>
      <c r="BF51" s="3"/>
      <c r="BG51" s="3"/>
      <c r="BH51" s="3"/>
      <c r="BI51" s="40">
        <f t="shared" si="44"/>
        <v>68.180000000000007</v>
      </c>
      <c r="BJ51" s="40">
        <f t="shared" si="44"/>
        <v>0</v>
      </c>
      <c r="BK51" s="3"/>
      <c r="BL51" s="40" t="e">
        <f>#REF!*$BM$4</f>
        <v>#REF!</v>
      </c>
      <c r="BM51" s="40" t="e">
        <f>#REF!*$BM$4</f>
        <v>#REF!</v>
      </c>
      <c r="BN51" s="3"/>
      <c r="BO51" s="3"/>
      <c r="BP51" s="3"/>
      <c r="BQ51" s="3"/>
    </row>
    <row r="52" spans="1:69" ht="13.5">
      <c r="A52" s="231"/>
      <c r="B52" s="209" t="s">
        <v>49</v>
      </c>
      <c r="C52" s="699">
        <f>MIN(TimesTestV/$D21*2.5,30)*I_Nom</f>
        <v>1.7068322981366457</v>
      </c>
      <c r="D52" s="700">
        <f>MIN(TimesTestV_E/$D43*2.5,30)*I_Nom</f>
        <v>1.7068322981366457</v>
      </c>
      <c r="E52" s="210">
        <f>T_1*1000+OpTime</f>
        <v>30</v>
      </c>
      <c r="F52" s="262"/>
      <c r="G52" s="191"/>
      <c r="H52" s="211"/>
      <c r="I52" s="212" t="s">
        <v>61</v>
      </c>
      <c r="J52" s="212"/>
      <c r="K52" s="213" t="str">
        <f>IF(Settings!C8="Busbar"," 270","90")</f>
        <v xml:space="preserve"> 270</v>
      </c>
      <c r="L52" s="261" t="str">
        <f>"º"</f>
        <v>º</v>
      </c>
      <c r="M52" s="191"/>
      <c r="N52" s="191"/>
      <c r="O52" s="190"/>
      <c r="P52" s="191"/>
      <c r="Q52" s="191"/>
      <c r="R52" s="214" t="s">
        <v>98</v>
      </c>
      <c r="S52" s="215" t="s">
        <v>97</v>
      </c>
      <c r="T52" s="216"/>
      <c r="U52" s="191"/>
      <c r="V52" s="230"/>
      <c r="AA52" s="384">
        <f t="shared" si="59"/>
        <v>10</v>
      </c>
      <c r="AB52" s="276">
        <f t="shared" si="55"/>
        <v>71.561020048263472</v>
      </c>
      <c r="AC52" s="276">
        <f t="shared" si="56"/>
        <v>12.618138601528226</v>
      </c>
      <c r="AD52" s="23"/>
      <c r="AE52" s="384">
        <f t="shared" si="60"/>
        <v>5.5</v>
      </c>
      <c r="AF52" s="276">
        <f t="shared" si="57"/>
        <v>180.10306214928426</v>
      </c>
      <c r="AG52" s="276">
        <f t="shared" si="58"/>
        <v>17.341952431816722</v>
      </c>
      <c r="AH52" s="22"/>
      <c r="AK52" s="109">
        <f>HLOOKUP($AR$27,$AO$29:$AS$53,24)</f>
        <v>30.32</v>
      </c>
      <c r="AL52" s="109">
        <f>HLOOKUP($AR$27,$AU$29:$AY$53,24)</f>
        <v>28.046000000000003</v>
      </c>
      <c r="AM52" s="111">
        <f>HLOOKUP($AV$27,$AO$29:$AS$53,24)</f>
        <v>0</v>
      </c>
      <c r="AN52" s="111">
        <f>HLOOKUP($AV$27,$AU$29:$AY$53,24)</f>
        <v>0</v>
      </c>
      <c r="AO52" s="327"/>
      <c r="AP52" s="411">
        <f>AP47</f>
        <v>30.32</v>
      </c>
      <c r="AQ52" s="423">
        <f>S21</f>
        <v>53.58</v>
      </c>
      <c r="AR52" s="327"/>
      <c r="AS52" s="327"/>
      <c r="AT52" s="350">
        <f>CHOOSE(LEFT(PTTMode,1),D23,D23,G23,"")</f>
        <v>32.701173397984327</v>
      </c>
      <c r="AU52" s="327"/>
      <c r="AV52" s="411">
        <f>AV47</f>
        <v>28.046000000000003</v>
      </c>
      <c r="AW52" s="423">
        <f>S43</f>
        <v>49.561500000000002</v>
      </c>
      <c r="AX52" s="327"/>
      <c r="AY52" s="327"/>
      <c r="AZ52" s="350">
        <f>CHOOSE(LEFT(PTTMode,1),D45,D45,G45,"")</f>
        <v>29.845929806859434</v>
      </c>
      <c r="BA52" s="3"/>
      <c r="BB52" s="3"/>
      <c r="BC52" s="3"/>
      <c r="BD52" s="3"/>
      <c r="BE52" s="3"/>
      <c r="BF52" s="3"/>
      <c r="BG52" s="3"/>
      <c r="BH52" s="3"/>
      <c r="BI52" s="40">
        <f t="shared" si="44"/>
        <v>71.561020048263472</v>
      </c>
      <c r="BJ52" s="40">
        <f t="shared" si="44"/>
        <v>12.618138601528226</v>
      </c>
      <c r="BK52" s="3"/>
      <c r="BL52" s="40" t="e">
        <f>#REF!*$BM$4</f>
        <v>#REF!</v>
      </c>
      <c r="BM52" s="40" t="e">
        <f>#REF!*$BM$4</f>
        <v>#REF!</v>
      </c>
      <c r="BN52" s="3"/>
      <c r="BO52" s="3"/>
      <c r="BP52" s="3"/>
      <c r="BQ52" s="3"/>
    </row>
    <row r="53" spans="1:69" ht="14.25" thickBot="1">
      <c r="A53" s="231"/>
      <c r="B53" s="217" t="s">
        <v>823</v>
      </c>
      <c r="C53" s="699">
        <f>TimesTestV/$D21*I_Nom*(1+Delta_I)</f>
        <v>0.70321490683229804</v>
      </c>
      <c r="D53" s="700">
        <f>TimesTestV_E/$D43*I_Nom*(1+Delta_I)</f>
        <v>0.70321490683229804</v>
      </c>
      <c r="E53" s="210">
        <f>E52</f>
        <v>30</v>
      </c>
      <c r="F53" s="191"/>
      <c r="G53" s="191"/>
      <c r="H53" s="191" t="str">
        <f>IF(MAX(C52:D52)&gt;30,"Reduce test voltage to time inner Zones","")</f>
        <v/>
      </c>
      <c r="I53" s="191"/>
      <c r="J53" s="191"/>
      <c r="K53" s="191"/>
      <c r="L53" s="191"/>
      <c r="M53" s="191"/>
      <c r="N53" s="191"/>
      <c r="O53" s="190"/>
      <c r="P53" s="191"/>
      <c r="Q53" s="191"/>
      <c r="R53" s="218" t="str">
        <f>IF(AND(Settings!$R$31=TRUE,AP64&gt;$AP$78),Settings!Q38,"")</f>
        <v/>
      </c>
      <c r="S53" s="219" t="str">
        <f>IF(R53="","",Settings!R38)</f>
        <v/>
      </c>
      <c r="T53" s="216"/>
      <c r="U53" s="191"/>
      <c r="V53" s="230"/>
      <c r="W53" s="3"/>
      <c r="X53" s="3"/>
      <c r="Y53" s="3"/>
      <c r="Z53" s="3"/>
      <c r="AA53" s="384">
        <f t="shared" si="59"/>
        <v>20</v>
      </c>
      <c r="AB53" s="276">
        <f t="shared" si="55"/>
        <v>75.547843503796031</v>
      </c>
      <c r="AC53" s="276">
        <f t="shared" si="56"/>
        <v>27.497166298383032</v>
      </c>
      <c r="AD53" s="23"/>
      <c r="AE53" s="384">
        <f t="shared" si="60"/>
        <v>11</v>
      </c>
      <c r="AF53" s="276">
        <f t="shared" si="57"/>
        <v>185.0968953718089</v>
      </c>
      <c r="AG53" s="276">
        <f t="shared" si="58"/>
        <v>35.97919174280414</v>
      </c>
      <c r="AH53" s="22"/>
      <c r="AK53" s="109">
        <f>HLOOKUP($AR$27,$AO$29:$AS$53,25)</f>
        <v>32.701173397984327</v>
      </c>
      <c r="AL53" s="109">
        <f>HLOOKUP($AR$27,$AU$29:$AY$53,25)</f>
        <v>29.845929806859434</v>
      </c>
      <c r="AM53" s="111">
        <f>HLOOKUP($AV$27,$AO$29:$AS$53,25)</f>
        <v>0</v>
      </c>
      <c r="AN53" s="111">
        <f>HLOOKUP($AV$27,$AU$29:$AY$53,25)</f>
        <v>0</v>
      </c>
      <c r="AO53" s="327"/>
      <c r="AP53" s="327">
        <f>AP48</f>
        <v>32.701173397984327</v>
      </c>
      <c r="AQ53" s="422">
        <f>S23</f>
        <v>36.466079989736357</v>
      </c>
      <c r="AR53" s="327"/>
      <c r="AS53" s="327"/>
      <c r="AT53" s="350"/>
      <c r="AU53" s="327"/>
      <c r="AV53" s="327">
        <f>AV48</f>
        <v>29.845929806859434</v>
      </c>
      <c r="AW53" s="422">
        <f>S45</f>
        <v>52.742246670564924</v>
      </c>
      <c r="AX53" s="327"/>
      <c r="AY53" s="327"/>
      <c r="AZ53" s="121"/>
      <c r="BA53" s="3"/>
      <c r="BB53" s="3"/>
      <c r="BC53" s="3"/>
      <c r="BD53" s="3"/>
      <c r="BE53" s="3"/>
      <c r="BF53" s="3"/>
      <c r="BG53" s="3"/>
      <c r="BH53" s="3"/>
      <c r="BI53" s="40">
        <f t="shared" si="44"/>
        <v>75.547843503796031</v>
      </c>
      <c r="BJ53" s="40">
        <f t="shared" si="44"/>
        <v>27.497166298383032</v>
      </c>
      <c r="BK53" s="3"/>
      <c r="BL53" s="40" t="e">
        <f>#REF!*$BM$4</f>
        <v>#REF!</v>
      </c>
      <c r="BM53" s="40" t="e">
        <f>#REF!*$BM$4</f>
        <v>#REF!</v>
      </c>
      <c r="BN53" s="3"/>
      <c r="BO53" s="3"/>
      <c r="BP53" s="3"/>
      <c r="BQ53" s="3"/>
    </row>
    <row r="54" spans="1:69" ht="13.5">
      <c r="A54" s="231"/>
      <c r="B54" s="209" t="s">
        <v>50</v>
      </c>
      <c r="C54" s="699" t="str">
        <f>IF($AJ$57="No","",ROUND(TimesTestV/$D21*I_Nom*(1-Delta_I),3))</f>
        <v/>
      </c>
      <c r="D54" s="700" t="str">
        <f>IF($AJ$57="No","",ROUND(TimesTestV_E/$D43*I_Nom*(1-Delta_I),3))</f>
        <v/>
      </c>
      <c r="E54" s="210" t="str">
        <f>IF(C54="","",T_1B*1000+OpTime)</f>
        <v/>
      </c>
      <c r="F54" s="191"/>
      <c r="G54" s="191"/>
      <c r="H54" s="1178" t="s">
        <v>704</v>
      </c>
      <c r="I54" s="1179"/>
      <c r="J54" s="1179"/>
      <c r="K54" s="1179"/>
      <c r="L54" s="1179"/>
      <c r="M54" s="1179"/>
      <c r="N54" s="1180"/>
      <c r="O54" s="190"/>
      <c r="P54" s="191"/>
      <c r="Q54" s="191"/>
      <c r="R54" s="218" t="str">
        <f>IF(AND(Settings!$R$31=TRUE,AP65&gt;$AP$78),Settings!Q39,"")</f>
        <v/>
      </c>
      <c r="S54" s="219" t="str">
        <f>IF(R54="","",Settings!R39)</f>
        <v/>
      </c>
      <c r="T54" s="216"/>
      <c r="U54" s="191"/>
      <c r="V54" s="230"/>
      <c r="W54" s="3"/>
      <c r="X54" s="80"/>
      <c r="Y54" s="3"/>
      <c r="Z54" s="3"/>
      <c r="AA54" s="384">
        <f t="shared" si="59"/>
        <v>29.652125045045725</v>
      </c>
      <c r="AB54" s="276">
        <f t="shared" si="55"/>
        <v>80.452073013345426</v>
      </c>
      <c r="AC54" s="276">
        <f t="shared" si="56"/>
        <v>45.8</v>
      </c>
      <c r="AD54" s="23"/>
      <c r="AE54" s="384">
        <f t="shared" si="60"/>
        <v>12.777619637797585</v>
      </c>
      <c r="AF54" s="276">
        <f t="shared" si="57"/>
        <v>186.80796753734455</v>
      </c>
      <c r="AG54" s="276">
        <f t="shared" si="58"/>
        <v>42.365000000000009</v>
      </c>
      <c r="AH54" s="22"/>
      <c r="AI54" s="654" t="s">
        <v>836</v>
      </c>
      <c r="AJ54" s="654"/>
      <c r="AN54" s="3"/>
      <c r="BA54" s="3"/>
      <c r="BB54" s="3"/>
      <c r="BC54" s="3"/>
      <c r="BD54" s="3"/>
      <c r="BE54" s="3"/>
      <c r="BF54" s="3"/>
      <c r="BG54" s="3"/>
      <c r="BH54" s="3"/>
      <c r="BI54" s="40">
        <f t="shared" si="44"/>
        <v>80.452073013345426</v>
      </c>
      <c r="BJ54" s="40">
        <f t="shared" si="44"/>
        <v>45.8</v>
      </c>
      <c r="BK54" s="3"/>
      <c r="BL54" s="40" t="e">
        <f>#REF!*$BM$4</f>
        <v>#REF!</v>
      </c>
      <c r="BM54" s="40" t="e">
        <f>#REF!*$BM$4</f>
        <v>#REF!</v>
      </c>
      <c r="BN54" s="3"/>
      <c r="BO54" s="3"/>
      <c r="BP54" s="3"/>
      <c r="BQ54" s="3"/>
    </row>
    <row r="55" spans="1:69" ht="13.5">
      <c r="A55" s="234"/>
      <c r="B55" s="217" t="str">
        <f>IF(OR(G21&lt;D21,G43&lt;D43),"Not Testable","t1B")</f>
        <v>t1B</v>
      </c>
      <c r="C55" s="699" t="str">
        <f>IF(C54="","",TimesTestV/$G21*I_Nom*(1+Delta_I))</f>
        <v/>
      </c>
      <c r="D55" s="700" t="str">
        <f>IF(D54="","",TimesTestV_E/$G43*I_Nom*(1+Delta_I))</f>
        <v/>
      </c>
      <c r="E55" s="210" t="str">
        <f>E54</f>
        <v/>
      </c>
      <c r="F55" s="191"/>
      <c r="G55" s="191"/>
      <c r="H55" s="579"/>
      <c r="I55" s="223"/>
      <c r="J55" s="223"/>
      <c r="K55" s="223"/>
      <c r="L55" s="223"/>
      <c r="M55" s="223"/>
      <c r="N55" s="580"/>
      <c r="O55" s="190"/>
      <c r="P55" s="191"/>
      <c r="Q55" s="191"/>
      <c r="R55" s="218" t="str">
        <f>IF(AND(Settings!$R$31=TRUE,AP66&gt;$AP$78),Settings!Q40,"")</f>
        <v/>
      </c>
      <c r="S55" s="219" t="str">
        <f>IF(R55="","",Settings!R40)</f>
        <v/>
      </c>
      <c r="T55" s="216"/>
      <c r="U55" s="191"/>
      <c r="V55" s="230"/>
      <c r="W55" s="3"/>
      <c r="Z55" s="3"/>
      <c r="AA55" s="384">
        <f t="shared" si="59"/>
        <v>40</v>
      </c>
      <c r="AB55" s="276">
        <f t="shared" si="55"/>
        <v>54.582314540814821</v>
      </c>
      <c r="AC55" s="276">
        <f t="shared" si="56"/>
        <v>45.800000000000004</v>
      </c>
      <c r="AD55" s="23"/>
      <c r="AE55" s="384">
        <f t="shared" si="60"/>
        <v>15</v>
      </c>
      <c r="AF55" s="276">
        <f t="shared" si="57"/>
        <v>158.10833246265551</v>
      </c>
      <c r="AG55" s="276">
        <f t="shared" si="58"/>
        <v>42.365000000000002</v>
      </c>
      <c r="AH55" s="22"/>
      <c r="AI55" s="654" t="s">
        <v>837</v>
      </c>
      <c r="AJ55" s="654" t="b">
        <f>AND(T_1&lt;=(T_1B+0.1),OR(G15/D15&lt;(1+Delta_I*2),G18/D18&lt;(1+Delta_I*2),G21/D21&lt;(1+Delta_I*2),G37/D37&lt;(1+Delta_I*2),G40/D40&lt;(1+Delta_I*2),G43/D43&lt;(1+Delta_I*2)))</f>
        <v>0</v>
      </c>
      <c r="AK55" s="713" t="s">
        <v>730</v>
      </c>
      <c r="AL55" s="628" t="str">
        <f>IF(MIN(Z13:Z24)&lt;J_*1.05,"Block","OK")</f>
        <v>OK</v>
      </c>
      <c r="AN55" s="3"/>
      <c r="AZ55" s="3"/>
      <c r="BA55" s="3"/>
      <c r="BB55" s="3"/>
      <c r="BC55" s="3"/>
      <c r="BD55" s="3"/>
      <c r="BE55" s="3"/>
      <c r="BF55" s="3"/>
      <c r="BG55" s="3"/>
      <c r="BH55" s="3"/>
      <c r="BI55" s="40">
        <f t="shared" si="44"/>
        <v>54.582314540814821</v>
      </c>
      <c r="BJ55" s="40">
        <f t="shared" si="44"/>
        <v>45.800000000000004</v>
      </c>
      <c r="BK55" s="3"/>
      <c r="BL55" s="40" t="e">
        <f>#REF!*$BM$4</f>
        <v>#REF!</v>
      </c>
      <c r="BM55" s="40" t="e">
        <f>#REF!*$BM$4</f>
        <v>#REF!</v>
      </c>
      <c r="BN55" s="3"/>
      <c r="BO55" s="3"/>
      <c r="BP55" s="3"/>
      <c r="BQ55" s="3"/>
    </row>
    <row r="56" spans="1:69" ht="13.5">
      <c r="A56" s="231"/>
      <c r="B56" s="209" t="s">
        <v>51</v>
      </c>
      <c r="C56" s="699">
        <f>IF(OR(AND($AL$26&lt;&gt;"No Overreach",$G21&gt;=$J21),Settings!$G16&lt;&gt;"Forward"),"",IF($AL$26="No Overreach",1/$D21,1/$G21)*TimesTestV*I_Nom*(1-Delta_I))</f>
        <v>0.66225093167701854</v>
      </c>
      <c r="D56" s="700">
        <f>IF(OR(AND($AL$26&lt;&gt;"No Overreach",$G43&gt;=$J43),Settings!$G16&lt;&gt;"Forward"),"",IF($AL$26="No Overreach",1/$D43,1/$G43)*TimesTestV_E*I_Nom*(1-Delta_I))</f>
        <v>0.66225093167701854</v>
      </c>
      <c r="E56" s="210">
        <f>IF(C56="","",T_2*1000+OpTime)</f>
        <v>430</v>
      </c>
      <c r="F56" s="191"/>
      <c r="G56" s="191"/>
      <c r="H56" s="579"/>
      <c r="I56" s="223"/>
      <c r="J56" s="223"/>
      <c r="K56" s="223"/>
      <c r="L56" s="223"/>
      <c r="M56" s="223"/>
      <c r="N56" s="580"/>
      <c r="O56" s="190"/>
      <c r="P56" s="191"/>
      <c r="Q56" s="191"/>
      <c r="R56" s="218" t="str">
        <f>IF(AND(Settings!$R$31=TRUE,AP67&gt;$AP$78),Settings!Q41,"")</f>
        <v/>
      </c>
      <c r="S56" s="219" t="str">
        <f>IF(R56="","",Settings!R41)</f>
        <v/>
      </c>
      <c r="T56" s="216"/>
      <c r="U56" s="191"/>
      <c r="V56" s="230"/>
      <c r="W56" s="3"/>
      <c r="Z56" s="3"/>
      <c r="AA56" s="384">
        <f t="shared" si="59"/>
        <v>65</v>
      </c>
      <c r="AB56" s="276">
        <f t="shared" si="55"/>
        <v>21.356890743498933</v>
      </c>
      <c r="AC56" s="276">
        <f t="shared" si="56"/>
        <v>45.8</v>
      </c>
      <c r="AD56" s="23"/>
      <c r="AE56" s="384">
        <f t="shared" si="60"/>
        <v>52.5</v>
      </c>
      <c r="AF56" s="276">
        <f t="shared" si="57"/>
        <v>32.507807845728657</v>
      </c>
      <c r="AG56" s="276">
        <f t="shared" si="58"/>
        <v>42.365000000000002</v>
      </c>
      <c r="AH56" s="22"/>
      <c r="AI56" s="654" t="s">
        <v>838</v>
      </c>
      <c r="AJ56" s="993" t="str">
        <f>IF(T_1&lt;&gt;T_1B,"Message","")</f>
        <v/>
      </c>
      <c r="AK56" s="449" t="s">
        <v>731</v>
      </c>
      <c r="AL56" s="628" t="str">
        <f>IF(MIN(Z35:Z46)&lt;Je_*1.05,"Block","OK")</f>
        <v>OK</v>
      </c>
      <c r="AN56" s="3"/>
      <c r="AZ56" s="3"/>
      <c r="BA56" s="3"/>
      <c r="BB56" s="3"/>
      <c r="BC56" s="3"/>
      <c r="BD56" s="3"/>
      <c r="BE56" s="3"/>
      <c r="BF56" s="3"/>
      <c r="BG56" s="3"/>
      <c r="BH56" s="3"/>
      <c r="BI56" s="40">
        <f t="shared" si="44"/>
        <v>21.356890743498933</v>
      </c>
      <c r="BJ56" s="40">
        <f t="shared" si="44"/>
        <v>45.8</v>
      </c>
      <c r="BK56" s="3"/>
      <c r="BL56" s="40" t="e">
        <f>#REF!*$BM$4</f>
        <v>#REF!</v>
      </c>
      <c r="BM56" s="40" t="e">
        <f>#REF!*$BM$4</f>
        <v>#REF!</v>
      </c>
      <c r="BN56" s="3"/>
      <c r="BO56" s="3"/>
      <c r="BP56" s="3"/>
      <c r="BQ56" s="3"/>
    </row>
    <row r="57" spans="1:69" ht="13.5">
      <c r="A57" s="235"/>
      <c r="B57" s="217" t="str">
        <f>IF(C56&lt;C57,"Not Testable","t2")</f>
        <v>t2</v>
      </c>
      <c r="C57" s="699">
        <f>IF(C56="","",TimesTestV/$J21*I_Nom*(1+Delta_I))</f>
        <v>0.46553289473684206</v>
      </c>
      <c r="D57" s="700">
        <f>IF(D56="","",TimesTestV_E/$J43*I_Nom*(1+Delta_I))</f>
        <v>0.46553289473684212</v>
      </c>
      <c r="E57" s="210">
        <f>E56</f>
        <v>430</v>
      </c>
      <c r="F57" s="191"/>
      <c r="G57" s="191"/>
      <c r="H57" s="572" t="s">
        <v>85</v>
      </c>
      <c r="I57" s="555">
        <f>VLOOKUP(VLOOKUP(AW25,$AJ$3:$AM$5,2),$AJ$22:$AX$24,14)</f>
        <v>30.499278942296328</v>
      </c>
      <c r="J57" s="556">
        <f>VLOOKUP(VLOOKUP(AW25,$AJ$3:$AM$5,2),$AJ$22:$AX$24,15)</f>
        <v>100.38146662373659</v>
      </c>
      <c r="K57" s="220"/>
      <c r="L57" s="667">
        <f>IF(AN4=TRUE,60,AL75)</f>
        <v>30.681260667710507</v>
      </c>
      <c r="M57" s="668">
        <f>IF(AN4=TRUE,270,IF(AN5=TRUE,90-AL74,90+AL74))</f>
        <v>102.09663524742002</v>
      </c>
      <c r="N57" s="573"/>
      <c r="O57" s="190"/>
      <c r="P57" s="191"/>
      <c r="Q57" s="191"/>
      <c r="R57" s="218" t="str">
        <f>IF(AND(Settings!$R$31=TRUE,AP68&gt;$AP$78),Settings!Q42,"")</f>
        <v/>
      </c>
      <c r="S57" s="219" t="str">
        <f>IF(R57="","",Settings!R42)</f>
        <v/>
      </c>
      <c r="T57" s="216"/>
      <c r="U57" s="191"/>
      <c r="V57" s="230"/>
      <c r="W57" s="3"/>
      <c r="Z57" s="3"/>
      <c r="AA57" s="384">
        <f t="shared" si="59"/>
        <v>90</v>
      </c>
      <c r="AB57" s="276">
        <f t="shared" si="55"/>
        <v>2.8055899617407398E-15</v>
      </c>
      <c r="AC57" s="276">
        <f t="shared" si="56"/>
        <v>45.8</v>
      </c>
      <c r="AD57" s="23"/>
      <c r="AE57" s="384">
        <f t="shared" si="60"/>
        <v>90</v>
      </c>
      <c r="AF57" s="276">
        <f t="shared" si="57"/>
        <v>2.5951707146101846E-15</v>
      </c>
      <c r="AG57" s="276">
        <f t="shared" si="58"/>
        <v>42.365000000000002</v>
      </c>
      <c r="AH57" s="22"/>
      <c r="AI57" s="957" t="s">
        <v>819</v>
      </c>
      <c r="AJ57" s="994" t="str">
        <f>IF(AL26="Z1B Released","Yes","No")</f>
        <v>No</v>
      </c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40">
        <f t="shared" si="44"/>
        <v>2.8055899617407398E-15</v>
      </c>
      <c r="BJ57" s="40">
        <f t="shared" si="44"/>
        <v>45.8</v>
      </c>
      <c r="BK57" s="3"/>
      <c r="BL57" s="40" t="e">
        <f>#REF!*$BM$4</f>
        <v>#REF!</v>
      </c>
      <c r="BM57" s="40" t="e">
        <f>#REF!*$BM$4</f>
        <v>#REF!</v>
      </c>
      <c r="BN57" s="3"/>
      <c r="BO57" s="3"/>
      <c r="BP57" s="3"/>
      <c r="BQ57" s="3"/>
    </row>
    <row r="58" spans="1:69" ht="15.75">
      <c r="A58" s="231"/>
      <c r="B58" s="209" t="s">
        <v>820</v>
      </c>
      <c r="C58" s="699" t="str">
        <f>IF(Settings!$I16&lt;&gt;"Forward","",MIN(C53:C57)*(1-Delta_I)^2)</f>
        <v/>
      </c>
      <c r="D58" s="700" t="str">
        <f>IF(Settings!$I16&lt;&gt;"Forward","",MIN(D53:D57)*(1-Delta_I)^2)</f>
        <v/>
      </c>
      <c r="E58" s="210" t="str">
        <f>IF(C58="","",T_3*1000+OpTime)</f>
        <v/>
      </c>
      <c r="F58" s="191"/>
      <c r="G58" s="191"/>
      <c r="H58" s="572" t="s">
        <v>86</v>
      </c>
      <c r="I58" s="581">
        <f>VLOOKUP(VLOOKUP(AW25,$AJ$3:$AM$5,3),$AJ$22:$AX$24,14)</f>
        <v>30.499278942296328</v>
      </c>
      <c r="J58" s="582">
        <f>VLOOKUP(VLOOKUP(AW25,$AJ$3:$AM$5,3),$AJ$22:$AX$24,15)</f>
        <v>79.618533376263414</v>
      </c>
      <c r="K58" s="220"/>
      <c r="L58" s="665">
        <f>IF(AN5=TRUE,60,AL75)</f>
        <v>30.681260667710507</v>
      </c>
      <c r="M58" s="666">
        <f>IF(AN5=TRUE,270,IF(AN3=TRUE,90-AL74,90+AL74))</f>
        <v>77.903364752579975</v>
      </c>
      <c r="N58" s="573"/>
      <c r="O58" s="223"/>
      <c r="P58" s="191"/>
      <c r="Q58" s="191"/>
      <c r="R58" s="218" t="str">
        <f>IF(AND(Settings!$R$31=TRUE,AP69&gt;$AP$78),Settings!Q43,"")</f>
        <v/>
      </c>
      <c r="S58" s="219" t="str">
        <f>IF(R58="","",Settings!R43)</f>
        <v/>
      </c>
      <c r="T58" s="216"/>
      <c r="U58" s="191"/>
      <c r="V58" s="230"/>
      <c r="W58" s="3"/>
      <c r="Z58" s="3"/>
      <c r="AA58" s="384">
        <f t="shared" si="59"/>
        <v>140.67552708979557</v>
      </c>
      <c r="AB58" s="276">
        <f t="shared" si="55"/>
        <v>2.8055899617407398E-15</v>
      </c>
      <c r="AC58" s="276">
        <f t="shared" si="56"/>
        <v>45.8</v>
      </c>
      <c r="AD58" s="23"/>
      <c r="AE58" s="384">
        <f t="shared" si="60"/>
        <v>165.52465924747506</v>
      </c>
      <c r="AF58" s="276">
        <f t="shared" si="57"/>
        <v>2.5951707146101846E-15</v>
      </c>
      <c r="AG58" s="276">
        <f t="shared" si="58"/>
        <v>42.365000000000002</v>
      </c>
      <c r="AH58" s="22"/>
      <c r="AI58" s="594" t="s">
        <v>13</v>
      </c>
      <c r="AJ58" s="594" t="str">
        <f>Settings!G16</f>
        <v>Forward</v>
      </c>
      <c r="AM58" s="268" t="e">
        <f>IF(#REF!/AM31&lt;SOTF_Isc,AM31,#REF!/SOTF_Isc)</f>
        <v>#REF!</v>
      </c>
      <c r="AN58" s="3"/>
      <c r="AO58" s="3"/>
      <c r="AP58" s="3"/>
      <c r="AQ58" s="3"/>
      <c r="AR58" s="3"/>
      <c r="AS58" s="268">
        <f t="shared" ref="AS58:AS69" si="61">IF($Y$32/AN30&lt;SOTF_Isc,AN30,$Y$32/SOTF_Isc)</f>
        <v>-14</v>
      </c>
      <c r="AT58" s="3"/>
      <c r="AU58" s="278"/>
      <c r="AV58" s="275" t="e">
        <f>HLOOKUP(#REF!,$AO$29:$AT$41,2)</f>
        <v>#REF!</v>
      </c>
      <c r="AW58" s="268" t="e">
        <f>IF(AV58="","",ROUND(HLOOKUP(#REF!&amp;"a",$AO$29:$AT$41,2),2))</f>
        <v>#REF!</v>
      </c>
      <c r="AX58" s="275" t="e">
        <f>HLOOKUP(#REF!,$AU$29:$AZ$41,2)</f>
        <v>#REF!</v>
      </c>
      <c r="AY58" s="268" t="e">
        <f>IF(AX58="","",ROUND(HLOOKUP(#REF!&amp;"a",$AU$29:$AZ$41,2),2))</f>
        <v>#REF!</v>
      </c>
      <c r="AZ58" s="3"/>
      <c r="BA58" s="3"/>
      <c r="BB58" s="3"/>
      <c r="BC58" s="3"/>
      <c r="BD58" s="3"/>
      <c r="BE58" s="3"/>
      <c r="BF58" s="3"/>
      <c r="BG58" s="3"/>
      <c r="BH58" s="3"/>
      <c r="BI58" s="40">
        <f t="shared" si="44"/>
        <v>2.8055899617407398E-15</v>
      </c>
      <c r="BJ58" s="40">
        <f t="shared" si="44"/>
        <v>45.8</v>
      </c>
      <c r="BK58" s="3"/>
      <c r="BL58" s="40" t="e">
        <f>#REF!*$BM$4</f>
        <v>#REF!</v>
      </c>
      <c r="BM58" s="40" t="e">
        <f>#REF!*$BM$4</f>
        <v>#REF!</v>
      </c>
      <c r="BN58" s="3"/>
      <c r="BO58" s="3"/>
      <c r="BP58" s="3"/>
      <c r="BQ58" s="3"/>
    </row>
    <row r="59" spans="1:69" ht="14.25" thickBot="1">
      <c r="A59" s="231"/>
      <c r="B59" s="217" t="str">
        <f>IF(C58&lt;C59,"Not Testable","t3")</f>
        <v>t3</v>
      </c>
      <c r="C59" s="699" t="str">
        <f>IF(C58="","",TimesTestV/$M21*I_Nom*(1+Delta_I))</f>
        <v/>
      </c>
      <c r="D59" s="700" t="str">
        <f>IF(D58="","",TimesTestV_E/$M43*I_Nom*(1+Delta_I))</f>
        <v/>
      </c>
      <c r="E59" s="210" t="str">
        <f>E58</f>
        <v/>
      </c>
      <c r="F59" s="191"/>
      <c r="G59" s="190"/>
      <c r="H59" s="574" t="s">
        <v>87</v>
      </c>
      <c r="I59" s="575">
        <f>VLOOKUP(VLOOKUP(AW25,$AJ$3:$AM$5,4),$AJ$22:$AX$24,14)</f>
        <v>60</v>
      </c>
      <c r="J59" s="576">
        <f>VLOOKUP(VLOOKUP(AW25,$AJ$3:$AM$5,4),$AJ$22:$AX$24,15)</f>
        <v>270</v>
      </c>
      <c r="K59" s="577"/>
      <c r="L59" s="669">
        <f>IF(AN3=TRUE,60,AL75)</f>
        <v>60</v>
      </c>
      <c r="M59" s="670">
        <f>IF(AN3=TRUE,270,IF(AN4=TRUE,90-AL74,90+AL74))</f>
        <v>270</v>
      </c>
      <c r="N59" s="578"/>
      <c r="O59" s="190"/>
      <c r="P59" s="191"/>
      <c r="Q59" s="191"/>
      <c r="R59" s="218" t="str">
        <f>IF(AND(Settings!$R$31=TRUE,AP70&gt;$AP$78),Settings!Q44,"")</f>
        <v/>
      </c>
      <c r="S59" s="219" t="str">
        <f>IF(R59="","",Settings!R44)</f>
        <v/>
      </c>
      <c r="T59" s="216"/>
      <c r="U59" s="191"/>
      <c r="V59" s="230"/>
      <c r="W59" s="3"/>
      <c r="Z59" s="3"/>
      <c r="AA59" s="384">
        <f t="shared" si="59"/>
        <v>112</v>
      </c>
      <c r="AB59" s="276">
        <f t="shared" si="55"/>
        <v>-18.504401143250181</v>
      </c>
      <c r="AC59" s="276">
        <f t="shared" si="56"/>
        <v>45.8</v>
      </c>
      <c r="AD59" s="23"/>
      <c r="AE59" s="384">
        <f t="shared" si="60"/>
        <v>110</v>
      </c>
      <c r="AF59" s="276">
        <f t="shared" si="57"/>
        <v>-15.419598974687661</v>
      </c>
      <c r="AG59" s="276">
        <f t="shared" si="58"/>
        <v>42.365000000000002</v>
      </c>
      <c r="AH59" s="22"/>
      <c r="AI59" s="957" t="s">
        <v>74</v>
      </c>
      <c r="AJ59" s="725" t="str">
        <f>IF(OR(Settings!G16="Inactive",AI60+AJ60=2),"No","Yes")</f>
        <v>Yes</v>
      </c>
      <c r="AM59" s="268" t="e">
        <f>IF(#REF!/AM32&lt;SOTF_Isc,AM32,#REF!/SOTF_Isc)</f>
        <v>#REF!</v>
      </c>
      <c r="AN59" s="3"/>
      <c r="AO59" s="3"/>
      <c r="AP59" s="3"/>
      <c r="AQ59" s="3"/>
      <c r="AR59" s="3"/>
      <c r="AS59" s="268" t="e">
        <f t="shared" si="61"/>
        <v>#DIV/0!</v>
      </c>
      <c r="AT59" s="3"/>
      <c r="AU59" s="3"/>
      <c r="AV59" s="275" t="e">
        <f>HLOOKUP(#REF!,$AO$29:$AT$41,3)</f>
        <v>#REF!</v>
      </c>
      <c r="AW59" s="268" t="e">
        <f>IF(AV59="","",ROUND(HLOOKUP(#REF!&amp;"a",$AO$29:$AT$41,3),2))</f>
        <v>#REF!</v>
      </c>
      <c r="AX59" s="275" t="e">
        <f>HLOOKUP(#REF!,$AU$29:$AZ$41,3)</f>
        <v>#REF!</v>
      </c>
      <c r="AY59" s="268" t="e">
        <f>IF(AX59="","",ROUND(HLOOKUP(#REF!&amp;"a",$AU$29:$AZ$41,3),2))</f>
        <v>#REF!</v>
      </c>
      <c r="AZ59" s="3"/>
      <c r="BA59" s="3"/>
      <c r="BB59" s="3"/>
      <c r="BC59" s="3"/>
      <c r="BD59" s="3"/>
      <c r="BE59" s="3"/>
      <c r="BF59" s="3"/>
      <c r="BG59" s="3"/>
      <c r="BH59" s="3"/>
      <c r="BI59" s="40">
        <f t="shared" si="44"/>
        <v>-18.504401143250181</v>
      </c>
      <c r="BJ59" s="40">
        <f t="shared" si="44"/>
        <v>45.8</v>
      </c>
      <c r="BK59" s="3"/>
      <c r="BL59" s="40" t="e">
        <f>#REF!*$BM$4</f>
        <v>#REF!</v>
      </c>
      <c r="BM59" s="40" t="e">
        <f>#REF!*$BM$4</f>
        <v>#REF!</v>
      </c>
      <c r="BN59" s="3"/>
      <c r="BO59" s="3"/>
      <c r="BP59" s="3"/>
      <c r="BQ59" s="3"/>
    </row>
    <row r="60" spans="1:69" ht="14.25" thickBot="1">
      <c r="A60" s="231"/>
      <c r="B60" s="209" t="s">
        <v>392</v>
      </c>
      <c r="C60" s="699">
        <f>IF(Settings!$K16&lt;&gt;"Forward","",MIN(C53:C59)*(1-Delta_I)^2)</f>
        <v>0.4380199006578947</v>
      </c>
      <c r="D60" s="700">
        <f>IF(Settings!$K16&lt;&gt;"Forward","",MIN(D53:D59)*(1-Delta_I)^2)</f>
        <v>0.43801990065789476</v>
      </c>
      <c r="E60" s="210">
        <f>IF(C60="","",T_4*1000+OpTime)</f>
        <v>930</v>
      </c>
      <c r="F60" s="191"/>
      <c r="G60" s="190"/>
      <c r="H60" s="323"/>
      <c r="I60" s="323"/>
      <c r="J60" s="323"/>
      <c r="K60" s="323"/>
      <c r="L60" s="323"/>
      <c r="M60" s="323"/>
      <c r="N60" s="323"/>
      <c r="O60" s="190"/>
      <c r="P60" s="191"/>
      <c r="Q60" s="191"/>
      <c r="R60" s="218" t="str">
        <f>IF(AND(Settings!$R$31=TRUE,AP71&gt;$AP$78),Settings!Q45,"")</f>
        <v/>
      </c>
      <c r="S60" s="219"/>
      <c r="T60" s="216"/>
      <c r="U60" s="191"/>
      <c r="V60" s="230"/>
      <c r="W60" s="3"/>
      <c r="Y60" s="3"/>
      <c r="Z60" s="3"/>
      <c r="AA60" s="387" t="s">
        <v>393</v>
      </c>
      <c r="AB60" s="388">
        <f>COS(RADIANS($R13))*$S13*$AB$139</f>
        <v>-21.297193355783506</v>
      </c>
      <c r="AC60" s="388">
        <f>SIN(RADIANS($R13))*$S13*$AB$139</f>
        <v>5.3099866855625582</v>
      </c>
      <c r="AD60" s="23"/>
      <c r="AE60" s="387" t="s">
        <v>393</v>
      </c>
      <c r="AF60" s="388">
        <f>COS(RADIANS($R35))*$S35*$AF$139</f>
        <v>-51.397570336662504</v>
      </c>
      <c r="AG60" s="388">
        <f>SIN(RADIANS($R35))*$S35*$AF$139</f>
        <v>12.814853563031969</v>
      </c>
      <c r="AH60" s="22"/>
      <c r="AI60" s="725">
        <f>IF(X_1B&gt;=X_2,1,0)</f>
        <v>1</v>
      </c>
      <c r="AJ60" s="725">
        <f>IF(AL26="Z1B Released",1,0)</f>
        <v>0</v>
      </c>
      <c r="AM60" s="268" t="e">
        <f>IF(#REF!/AM34&lt;SOTF_Isc,AM34,#REF!/SOTF_Isc)</f>
        <v>#REF!</v>
      </c>
      <c r="AN60" s="3"/>
      <c r="AO60" s="3"/>
      <c r="AP60" s="3"/>
      <c r="AQ60" s="3"/>
      <c r="AR60" s="3"/>
      <c r="AS60" s="268">
        <f t="shared" si="61"/>
        <v>27.09</v>
      </c>
      <c r="AT60" s="3"/>
      <c r="AU60" s="3"/>
      <c r="AV60" s="275" t="e">
        <f>HLOOKUP(#REF!,$AO$29:$AT$41,4)</f>
        <v>#REF!</v>
      </c>
      <c r="AW60" s="268" t="e">
        <f>IF(AV60="","",ROUND(HLOOKUP(#REF!&amp;"a",$AO$29:$AT$41,4),2))</f>
        <v>#REF!</v>
      </c>
      <c r="AX60" s="275" t="e">
        <f>HLOOKUP(#REF!,$AU$29:$AZ$41,4)</f>
        <v>#REF!</v>
      </c>
      <c r="AY60" s="268" t="e">
        <f>IF(AX60="","",ROUND(HLOOKUP(#REF!&amp;"a",$AU$29:$AZ$41,4),2))</f>
        <v>#REF!</v>
      </c>
      <c r="AZ60" s="3"/>
      <c r="BA60" s="3"/>
      <c r="BB60" s="3"/>
      <c r="BC60" s="3"/>
      <c r="BD60" s="3"/>
      <c r="BE60" s="3"/>
      <c r="BF60" s="3"/>
      <c r="BG60" s="3"/>
      <c r="BH60" s="3"/>
      <c r="BI60" s="40">
        <f t="shared" si="44"/>
        <v>-21.297193355783506</v>
      </c>
      <c r="BJ60" s="40">
        <f t="shared" si="44"/>
        <v>5.3099866855625582</v>
      </c>
      <c r="BK60" s="3"/>
      <c r="BL60" s="40" t="e">
        <f>#REF!*$BM$4</f>
        <v>#REF!</v>
      </c>
      <c r="BM60" s="40" t="e">
        <f>#REF!*$BM$4</f>
        <v>#REF!</v>
      </c>
      <c r="BN60" s="3"/>
      <c r="BO60" s="3"/>
      <c r="BP60" s="3"/>
      <c r="BQ60" s="3"/>
    </row>
    <row r="61" spans="1:69" ht="13.5">
      <c r="A61" s="231"/>
      <c r="B61" s="217" t="str">
        <f>IF(C60&lt;C61,"Not Testable","t4")</f>
        <v>t4</v>
      </c>
      <c r="C61" s="699">
        <f>IF(C60="","",TimesTestV/$P21*I_Nom*(1+Delta_I))</f>
        <v>0.2472</v>
      </c>
      <c r="D61" s="700">
        <f>IF(D60="","",TimesTestV_E/$P43*I_Nom*(1+Delta_I))</f>
        <v>0.2472</v>
      </c>
      <c r="E61" s="210">
        <f>E60</f>
        <v>930</v>
      </c>
      <c r="F61" s="191"/>
      <c r="G61" s="190"/>
      <c r="H61" s="1178" t="s">
        <v>952</v>
      </c>
      <c r="I61" s="1179"/>
      <c r="J61" s="1179"/>
      <c r="K61" s="1179"/>
      <c r="L61" s="1179"/>
      <c r="M61" s="1179"/>
      <c r="N61" s="1180"/>
      <c r="O61" s="190"/>
      <c r="P61" s="190"/>
      <c r="Q61" s="190"/>
      <c r="R61" s="190"/>
      <c r="S61" s="190"/>
      <c r="T61" s="190"/>
      <c r="U61" s="190"/>
      <c r="V61" s="230"/>
      <c r="W61" s="3"/>
      <c r="X61" s="3"/>
      <c r="Y61" s="3"/>
      <c r="Z61" s="3"/>
      <c r="AA61" s="387">
        <f>R14</f>
        <v>98.871689279458479</v>
      </c>
      <c r="AB61" s="388">
        <f t="shared" ref="AB61:AB70" si="62">IF($S14="",AB60,COS(RADIANS($R14))*$S14)*$AB$139</f>
        <v>-21.297193355783506</v>
      </c>
      <c r="AC61" s="388">
        <f t="shared" ref="AC61:AC70" si="63">IF($S14="",AC60,SIN(RADIANS($R14))*$S14)*$AB$139</f>
        <v>5.3099866855625582</v>
      </c>
      <c r="AD61" s="23"/>
      <c r="AE61" s="387">
        <f>R36</f>
        <v>129.97577232825859</v>
      </c>
      <c r="AF61" s="388">
        <f t="shared" ref="AF61:AF70" si="64">IF($S36="",AF60,COS(RADIANS($R36))*$S36)*$AF$139</f>
        <v>-51.397570336662504</v>
      </c>
      <c r="AG61" s="388">
        <f t="shared" ref="AG61:AG70" si="65">IF($S36="",AG60,SIN(RADIANS($R36))*$S36)*$AF$139</f>
        <v>12.814853563031969</v>
      </c>
      <c r="AH61" s="22"/>
      <c r="AI61" s="957" t="s">
        <v>817</v>
      </c>
      <c r="AJ61" s="957" t="str">
        <f>Settings!I$16</f>
        <v>Reverse</v>
      </c>
      <c r="AM61" s="268" t="e">
        <f>IF(#REF!/AM35&lt;SOTF_Isc,AM35,#REF!/SOTF_Isc)</f>
        <v>#REF!</v>
      </c>
      <c r="AN61" s="3"/>
      <c r="AO61" s="3"/>
      <c r="AP61" s="3"/>
      <c r="AQ61" s="3"/>
      <c r="AR61" s="3"/>
      <c r="AS61" s="268">
        <f t="shared" si="61"/>
        <v>27.09</v>
      </c>
      <c r="AT61" s="3"/>
      <c r="AU61" s="3"/>
      <c r="AV61" s="275" t="e">
        <f>HLOOKUP(#REF!,$AO$29:$AT$41,5)</f>
        <v>#REF!</v>
      </c>
      <c r="AW61" s="268" t="e">
        <f>IF(AV61="","",ROUND(HLOOKUP(#REF!&amp;"a",$AO$29:$AT$41,5),2))</f>
        <v>#REF!</v>
      </c>
      <c r="AX61" s="275" t="e">
        <f>HLOOKUP(#REF!,$AU$29:$AZ$41,5)</f>
        <v>#REF!</v>
      </c>
      <c r="AY61" s="268" t="e">
        <f>IF(AX61="","",ROUND(HLOOKUP(#REF!&amp;"a",$AU$29:$AZ$41,5),2))</f>
        <v>#REF!</v>
      </c>
      <c r="AZ61" s="3"/>
      <c r="BA61" s="3"/>
      <c r="BB61" s="3"/>
      <c r="BC61" s="3"/>
      <c r="BD61" s="3"/>
      <c r="BE61" s="3"/>
      <c r="BF61" s="3"/>
      <c r="BG61" s="3"/>
      <c r="BH61" s="3"/>
      <c r="BI61" s="40">
        <f t="shared" si="44"/>
        <v>-21.297193355783506</v>
      </c>
      <c r="BJ61" s="40">
        <f t="shared" si="44"/>
        <v>5.3099866855625582</v>
      </c>
      <c r="BK61" s="3"/>
      <c r="BL61" s="40" t="e">
        <f>#REF!*$BM$4</f>
        <v>#REF!</v>
      </c>
      <c r="BM61" s="40" t="e">
        <f>#REF!*$BM$4</f>
        <v>#REF!</v>
      </c>
      <c r="BN61" s="3"/>
      <c r="BO61" s="3"/>
      <c r="BP61" s="3"/>
      <c r="BQ61" s="3"/>
    </row>
    <row r="62" spans="1:69" ht="13.5">
      <c r="A62" s="231"/>
      <c r="B62" s="222" t="s">
        <v>821</v>
      </c>
      <c r="C62" s="699">
        <f>MIN(C53:C61)*(1-Delta_I)^2</f>
        <v>0.23259047999999999</v>
      </c>
      <c r="D62" s="700">
        <f>MIN(D53:D61)*(1-Delta_I)^2</f>
        <v>0.23259047999999999</v>
      </c>
      <c r="E62" s="210"/>
      <c r="F62" s="191"/>
      <c r="G62" s="190"/>
      <c r="H62" s="572"/>
      <c r="I62" s="323"/>
      <c r="J62" s="323"/>
      <c r="K62" s="323"/>
      <c r="L62" s="323"/>
      <c r="M62" s="323"/>
      <c r="N62" s="573"/>
      <c r="O62" s="190"/>
      <c r="P62" s="190"/>
      <c r="Q62" s="190"/>
      <c r="R62" s="191"/>
      <c r="S62" s="191"/>
      <c r="T62" s="191"/>
      <c r="U62" s="191"/>
      <c r="V62" s="230"/>
      <c r="W62" s="3"/>
      <c r="X62" s="3"/>
      <c r="Y62" s="3"/>
      <c r="Z62" s="3"/>
      <c r="AA62" s="387">
        <f t="shared" ref="AA62:AA70" si="66">R15</f>
        <v>180</v>
      </c>
      <c r="AB62" s="388">
        <f t="shared" si="62"/>
        <v>-22.72</v>
      </c>
      <c r="AC62" s="388">
        <f t="shared" si="63"/>
        <v>2.7835372895523845E-15</v>
      </c>
      <c r="AD62" s="23"/>
      <c r="AE62" s="387">
        <f t="shared" ref="AE62:AE70" si="67">R37</f>
        <v>180</v>
      </c>
      <c r="AF62" s="388">
        <f t="shared" si="64"/>
        <v>-54.831300000000006</v>
      </c>
      <c r="AG62" s="388">
        <f t="shared" si="65"/>
        <v>6.7176482475631023E-15</v>
      </c>
      <c r="AH62" s="22"/>
      <c r="AI62" s="957" t="s">
        <v>818</v>
      </c>
      <c r="AJ62" s="957" t="str">
        <f>Settings!K$16</f>
        <v>Forward</v>
      </c>
      <c r="AM62" s="268" t="e">
        <f>IF(#REF!/AM36&lt;SOTF_Isc,AM36,#REF!/SOTF_Isc)</f>
        <v>#REF!</v>
      </c>
      <c r="AN62" s="3"/>
      <c r="AO62" s="122" t="s">
        <v>96</v>
      </c>
      <c r="AP62" s="123"/>
      <c r="AQ62" s="3"/>
      <c r="AR62" s="3"/>
      <c r="AS62" s="268">
        <f t="shared" si="61"/>
        <v>27.09</v>
      </c>
      <c r="AT62" s="3"/>
      <c r="AU62" s="3"/>
      <c r="AV62" s="275" t="e">
        <f>HLOOKUP(#REF!,$AO$29:$AT$41,6)</f>
        <v>#REF!</v>
      </c>
      <c r="AW62" s="268" t="e">
        <f>IF(AV62="","",ROUND(HLOOKUP(#REF!&amp;"a",$AO$29:$AT$41,6),2))</f>
        <v>#REF!</v>
      </c>
      <c r="AX62" s="275" t="e">
        <f>HLOOKUP(#REF!,$AU$29:$AZ$41,6)</f>
        <v>#REF!</v>
      </c>
      <c r="AY62" s="268" t="e">
        <f>IF(AX62="","",ROUND(HLOOKUP(#REF!&amp;"a",$AU$29:$AZ$41,6),2))</f>
        <v>#REF!</v>
      </c>
      <c r="AZ62" s="3"/>
      <c r="BA62" s="3"/>
      <c r="BB62" s="3"/>
      <c r="BC62" s="3"/>
      <c r="BD62" s="3"/>
      <c r="BE62" s="3"/>
      <c r="BF62" s="3"/>
      <c r="BG62" s="3"/>
      <c r="BH62" s="3"/>
      <c r="BI62" s="40">
        <f t="shared" si="44"/>
        <v>-22.72</v>
      </c>
      <c r="BJ62" s="40">
        <f t="shared" si="44"/>
        <v>2.7835372895523845E-15</v>
      </c>
      <c r="BK62" s="3"/>
      <c r="BL62" s="40" t="e">
        <f>#REF!*$BM$4</f>
        <v>#REF!</v>
      </c>
      <c r="BM62" s="40" t="e">
        <f>#REF!*$BM$4</f>
        <v>#REF!</v>
      </c>
      <c r="BN62" s="3"/>
      <c r="BO62" s="3"/>
      <c r="BP62" s="3"/>
      <c r="BQ62" s="3"/>
    </row>
    <row r="63" spans="1:69" ht="13.5">
      <c r="A63" s="231"/>
      <c r="B63" s="557" t="s">
        <v>68</v>
      </c>
      <c r="C63" s="701">
        <f>TimesTestV</f>
        <v>10.991999999999999</v>
      </c>
      <c r="D63" s="700">
        <f>ROUND(TimesTestV_E,2)</f>
        <v>10.17</v>
      </c>
      <c r="E63" s="222"/>
      <c r="F63" s="191"/>
      <c r="G63" s="190"/>
      <c r="H63" s="572"/>
      <c r="I63" s="323"/>
      <c r="J63" s="323"/>
      <c r="K63" s="323"/>
      <c r="L63" s="323"/>
      <c r="M63" s="323"/>
      <c r="N63" s="573"/>
      <c r="O63" s="190"/>
      <c r="P63" s="190"/>
      <c r="Q63" s="190"/>
      <c r="R63" s="191"/>
      <c r="S63" s="191"/>
      <c r="T63" s="191"/>
      <c r="U63" s="191"/>
      <c r="V63" s="230"/>
      <c r="W63" s="3"/>
      <c r="X63" s="724"/>
      <c r="Y63" s="3"/>
      <c r="Z63" s="3"/>
      <c r="AA63" s="387">
        <f t="shared" si="66"/>
        <v>206.5</v>
      </c>
      <c r="AB63" s="388">
        <f t="shared" si="62"/>
        <v>-26.223288089668991</v>
      </c>
      <c r="AC63" s="388">
        <f t="shared" si="63"/>
        <v>-13.074449144195562</v>
      </c>
      <c r="AD63" s="23"/>
      <c r="AE63" s="387">
        <f t="shared" si="67"/>
        <v>197</v>
      </c>
      <c r="AF63" s="388">
        <f t="shared" si="64"/>
        <v>-59.723899085099326</v>
      </c>
      <c r="AG63" s="388">
        <f t="shared" si="65"/>
        <v>-18.259428366655683</v>
      </c>
      <c r="AH63" s="22"/>
      <c r="AI63" s="594"/>
      <c r="AJ63" s="594"/>
      <c r="AM63" s="268" t="e">
        <f>IF(#REF!/AM37&lt;SOTF_Isc,AM37,#REF!/SOTF_Isc)</f>
        <v>#REF!</v>
      </c>
      <c r="AN63" s="3"/>
      <c r="AO63" s="124"/>
      <c r="AP63" s="273" t="s">
        <v>287</v>
      </c>
      <c r="AQ63" s="3"/>
      <c r="AR63" s="3"/>
      <c r="AS63" s="268">
        <f t="shared" si="61"/>
        <v>27.09</v>
      </c>
      <c r="AT63" s="3"/>
      <c r="AU63" s="3"/>
      <c r="AV63" s="275" t="e">
        <f>HLOOKUP(#REF!,$AO$29:$AT$41,7)</f>
        <v>#REF!</v>
      </c>
      <c r="AW63" s="268" t="e">
        <f>IF(AV63="","",ROUND(HLOOKUP(#REF!&amp;"a",$AO$29:$AT$41,7),2))</f>
        <v>#REF!</v>
      </c>
      <c r="AX63" s="275" t="e">
        <f>HLOOKUP(#REF!,$AU$29:$AZ$41,7)</f>
        <v>#REF!</v>
      </c>
      <c r="AY63" s="268" t="e">
        <f>IF(AX63="","",ROUND(HLOOKUP(#REF!&amp;"a",$AU$29:$AZ$41,7),2))</f>
        <v>#REF!</v>
      </c>
      <c r="AZ63" s="3"/>
      <c r="BA63" s="3"/>
      <c r="BB63" s="3"/>
      <c r="BC63" s="3"/>
      <c r="BD63" s="3"/>
      <c r="BE63" s="3"/>
      <c r="BF63" s="3"/>
      <c r="BG63" s="3"/>
      <c r="BH63" s="3"/>
      <c r="BI63" s="40">
        <f t="shared" si="44"/>
        <v>-26.223288089668991</v>
      </c>
      <c r="BJ63" s="40">
        <f t="shared" si="44"/>
        <v>-13.074449144195562</v>
      </c>
      <c r="BK63" s="3"/>
      <c r="BL63" s="40" t="e">
        <f>#REF!*$BM$4</f>
        <v>#REF!</v>
      </c>
      <c r="BM63" s="40" t="e">
        <f>#REF!*$BM$4</f>
        <v>#REF!</v>
      </c>
      <c r="BN63" s="3"/>
      <c r="BO63" s="3"/>
      <c r="BP63" s="3"/>
      <c r="BQ63" s="3"/>
    </row>
    <row r="64" spans="1:69" ht="13.5">
      <c r="A64" s="231"/>
      <c r="B64" s="559" t="str">
        <f>IF(AI70&gt;4,"Increase Voltage to test outer Zones","")</f>
        <v/>
      </c>
      <c r="C64" s="559"/>
      <c r="D64" s="559"/>
      <c r="E64" s="559"/>
      <c r="F64" s="223"/>
      <c r="G64" s="220"/>
      <c r="H64" s="572" t="s">
        <v>85</v>
      </c>
      <c r="I64" s="974">
        <f>AP95</f>
        <v>10.17</v>
      </c>
      <c r="J64" s="975">
        <f>IF(Settings!$Q$6="7SA612",AR95,AS95)</f>
        <v>0</v>
      </c>
      <c r="K64" s="323"/>
      <c r="L64" s="979">
        <f>AQ95</f>
        <v>9.5158079999999998</v>
      </c>
      <c r="M64" s="980">
        <f>IF(Settings!$Q$6="7SA612",AR95,AT95)</f>
        <v>0</v>
      </c>
      <c r="N64" s="573"/>
      <c r="O64" s="191"/>
      <c r="P64" s="191"/>
      <c r="Q64" s="191"/>
      <c r="R64" s="191"/>
      <c r="S64" s="191"/>
      <c r="T64" s="191"/>
      <c r="U64" s="191"/>
      <c r="V64" s="230"/>
      <c r="W64" s="3"/>
      <c r="X64" s="3"/>
      <c r="Y64" s="3"/>
      <c r="Z64" s="3"/>
      <c r="AA64" s="387">
        <f t="shared" si="66"/>
        <v>233</v>
      </c>
      <c r="AB64" s="388">
        <f t="shared" si="62"/>
        <v>-35.256541914395768</v>
      </c>
      <c r="AC64" s="388">
        <f t="shared" si="63"/>
        <v>-46.787011375741841</v>
      </c>
      <c r="AD64" s="23"/>
      <c r="AE64" s="387">
        <f t="shared" si="67"/>
        <v>214</v>
      </c>
      <c r="AF64" s="388">
        <f t="shared" si="64"/>
        <v>-66.927348172977204</v>
      </c>
      <c r="AG64" s="388">
        <f t="shared" si="65"/>
        <v>-45.143066352351525</v>
      </c>
      <c r="AH64" s="22"/>
      <c r="AI64" s="957" t="s">
        <v>959</v>
      </c>
      <c r="AJ64" s="725">
        <f>IF(MAX(C52:C62)&gt;15,2,3)</f>
        <v>3</v>
      </c>
      <c r="AM64" s="268" t="e">
        <f>IF(#REF!/AM38&lt;SOTF_Isc,AM38,#REF!/SOTF_Isc)</f>
        <v>#REF!</v>
      </c>
      <c r="AN64" s="3"/>
      <c r="AO64" s="125"/>
      <c r="AP64" s="116">
        <f>70/(3*(Settings!Q38/In))</f>
        <v>350</v>
      </c>
      <c r="AQ64" s="270"/>
      <c r="AR64" s="3"/>
      <c r="AS64" s="268">
        <f t="shared" si="61"/>
        <v>51</v>
      </c>
      <c r="AT64" s="3"/>
      <c r="AU64" s="3"/>
      <c r="AV64" s="275" t="e">
        <f>HLOOKUP(#REF!,$AO$29:$AT$41,8)</f>
        <v>#REF!</v>
      </c>
      <c r="AW64" s="268" t="e">
        <f>IF(AV64="","",ROUND(HLOOKUP(#REF!&amp;"a",$AO$29:$AT$41,8),2))</f>
        <v>#REF!</v>
      </c>
      <c r="AX64" s="275" t="e">
        <f>HLOOKUP(#REF!,$AU$29:$AZ$41,8)</f>
        <v>#REF!</v>
      </c>
      <c r="AY64" s="268" t="e">
        <f>IF(AX64="","",ROUND(HLOOKUP(#REF!&amp;"a",$AU$29:$AZ$41,8),2))</f>
        <v>#REF!</v>
      </c>
      <c r="AZ64" s="3"/>
      <c r="BA64" s="3"/>
      <c r="BB64" s="3"/>
      <c r="BC64" s="3"/>
      <c r="BD64" s="3"/>
      <c r="BE64" s="3"/>
      <c r="BF64" s="3"/>
      <c r="BG64" s="3"/>
      <c r="BH64" s="3"/>
      <c r="BI64" s="40">
        <f t="shared" si="44"/>
        <v>-35.256541914395768</v>
      </c>
      <c r="BJ64" s="40">
        <f t="shared" si="44"/>
        <v>-46.787011375741841</v>
      </c>
      <c r="BK64" s="3"/>
      <c r="BL64" s="40" t="e">
        <f>#REF!*$BM$4</f>
        <v>#REF!</v>
      </c>
      <c r="BM64" s="40" t="e">
        <f>#REF!*$BM$4</f>
        <v>#REF!</v>
      </c>
      <c r="BN64" s="3"/>
      <c r="BO64" s="3"/>
      <c r="BP64" s="3"/>
      <c r="BQ64" s="3"/>
    </row>
    <row r="65" spans="1:69" ht="13.5">
      <c r="A65" s="231"/>
      <c r="B65" s="192" t="str">
        <f>"Reverse,   [A]      " &amp; IF(Settings!C8="Busbar","270"," 90") &amp;"º"</f>
        <v>Reverse,   [A]      270º</v>
      </c>
      <c r="C65" s="192"/>
      <c r="D65" s="192"/>
      <c r="E65" s="195" t="s">
        <v>45</v>
      </c>
      <c r="F65" s="191"/>
      <c r="G65" s="190"/>
      <c r="H65" s="572" t="s">
        <v>86</v>
      </c>
      <c r="I65" s="974">
        <f>AP96</f>
        <v>60</v>
      </c>
      <c r="J65" s="975">
        <f>IF(Settings!$Q$6="7SA612",AR96,AS96)</f>
        <v>-120</v>
      </c>
      <c r="K65" s="323"/>
      <c r="L65" s="979">
        <f>AQ96</f>
        <v>60</v>
      </c>
      <c r="M65" s="980">
        <f>IF(Settings!$Q$6="7SA612",AR96,AT96)</f>
        <v>-120</v>
      </c>
      <c r="N65" s="573"/>
      <c r="O65" s="223"/>
      <c r="P65" s="191"/>
      <c r="Q65" s="190"/>
      <c r="R65" s="190"/>
      <c r="S65" s="190"/>
      <c r="T65" s="190"/>
      <c r="U65" s="190"/>
      <c r="V65" s="236"/>
      <c r="W65" s="3"/>
      <c r="X65" s="3"/>
      <c r="Y65" s="3"/>
      <c r="Z65" s="3"/>
      <c r="AA65" s="387">
        <f t="shared" si="66"/>
        <v>235.31723012767432</v>
      </c>
      <c r="AB65" s="388">
        <f t="shared" si="62"/>
        <v>-37.076717730459528</v>
      </c>
      <c r="AC65" s="388">
        <f t="shared" si="63"/>
        <v>-53.580000000000005</v>
      </c>
      <c r="AD65" s="23"/>
      <c r="AE65" s="387">
        <f t="shared" si="67"/>
        <v>216.04169532027706</v>
      </c>
      <c r="AF65" s="388">
        <f t="shared" si="64"/>
        <v>-68.111263900675098</v>
      </c>
      <c r="AG65" s="388">
        <f t="shared" si="65"/>
        <v>-49.561500000000002</v>
      </c>
      <c r="AH65" s="22"/>
      <c r="AI65" s="994" t="s">
        <v>960</v>
      </c>
      <c r="AJ65" s="957">
        <f>IF(MAX(D52:D62)&gt;15,2,3)</f>
        <v>3</v>
      </c>
      <c r="AK65" s="3"/>
      <c r="AL65" s="3"/>
      <c r="AM65" s="268" t="e">
        <f>IF(#REF!/AM39&lt;SOTF_Isc,AM39,#REF!/SOTF_Isc)</f>
        <v>#REF!</v>
      </c>
      <c r="AN65" s="3"/>
      <c r="AO65" s="125"/>
      <c r="AP65" s="116">
        <f>70/(3*(Settings!Q39/In))</f>
        <v>700</v>
      </c>
      <c r="AQ65" s="270"/>
      <c r="AR65" s="3"/>
      <c r="AS65" s="268">
        <f t="shared" si="61"/>
        <v>90</v>
      </c>
      <c r="AT65" s="3"/>
      <c r="AU65" s="3"/>
      <c r="AV65" s="275" t="e">
        <f>HLOOKUP(#REF!,$AO$29:$AT$41,9)</f>
        <v>#REF!</v>
      </c>
      <c r="AW65" s="268" t="e">
        <f>IF(AV65="","",ROUND(HLOOKUP(#REF!&amp;"a",$AO$29:$AT$41,9),2))</f>
        <v>#REF!</v>
      </c>
      <c r="AX65" s="275" t="e">
        <f>HLOOKUP(#REF!,$AU$29:$AZ$41,9)</f>
        <v>#REF!</v>
      </c>
      <c r="AY65" s="268" t="e">
        <f>IF(AX65="","",ROUND(HLOOKUP(#REF!&amp;"a",$AU$29:$AZ$41,9),2))</f>
        <v>#REF!</v>
      </c>
      <c r="AZ65" s="3"/>
      <c r="BA65" s="3"/>
      <c r="BB65" s="3"/>
      <c r="BC65" s="3"/>
      <c r="BD65" s="3"/>
      <c r="BE65" s="3"/>
      <c r="BF65" s="3"/>
      <c r="BG65" s="3"/>
      <c r="BH65" s="3"/>
      <c r="BI65" s="40">
        <f t="shared" si="44"/>
        <v>-37.076717730459528</v>
      </c>
      <c r="BJ65" s="40">
        <f t="shared" si="44"/>
        <v>-53.580000000000005</v>
      </c>
      <c r="BK65" s="3"/>
      <c r="BL65" s="40" t="e">
        <f>#REF!*$BM$4</f>
        <v>#REF!</v>
      </c>
      <c r="BM65" s="40" t="e">
        <f>#REF!*$BM$4</f>
        <v>#REF!</v>
      </c>
      <c r="BN65" s="3"/>
      <c r="BO65" s="3"/>
      <c r="BP65" s="3"/>
      <c r="BQ65" s="3"/>
    </row>
    <row r="66" spans="1:69" ht="14.25" thickBot="1">
      <c r="A66" s="231"/>
      <c r="B66" s="171"/>
      <c r="C66" s="195"/>
      <c r="D66" s="195"/>
      <c r="E66" s="195" t="s">
        <v>48</v>
      </c>
      <c r="F66" s="191"/>
      <c r="G66" s="190"/>
      <c r="H66" s="574" t="s">
        <v>87</v>
      </c>
      <c r="I66" s="976">
        <f>AP97</f>
        <v>60</v>
      </c>
      <c r="J66" s="977">
        <f>IF(Settings!$Q$6="7SA612",AR97,AS97)</f>
        <v>120</v>
      </c>
      <c r="K66" s="577"/>
      <c r="L66" s="981">
        <f>AQ97</f>
        <v>60</v>
      </c>
      <c r="M66" s="982">
        <f>IF(Settings!$Q$6="7SA612",AR97,AT97)</f>
        <v>120</v>
      </c>
      <c r="N66" s="978"/>
      <c r="O66" s="191"/>
      <c r="P66" s="191"/>
      <c r="Q66" s="190"/>
      <c r="R66" s="190"/>
      <c r="S66" s="190"/>
      <c r="T66" s="190"/>
      <c r="U66" s="190"/>
      <c r="V66" s="236"/>
      <c r="W66" s="3"/>
      <c r="X66" s="3"/>
      <c r="Y66" s="3"/>
      <c r="Z66" s="3"/>
      <c r="AA66" s="387">
        <f t="shared" si="66"/>
        <v>237</v>
      </c>
      <c r="AB66" s="388">
        <f t="shared" si="62"/>
        <v>-34.795258843522603</v>
      </c>
      <c r="AC66" s="388">
        <f t="shared" si="63"/>
        <v>-53.58</v>
      </c>
      <c r="AD66" s="23"/>
      <c r="AE66" s="387">
        <f t="shared" si="67"/>
        <v>218</v>
      </c>
      <c r="AF66" s="388">
        <f t="shared" si="64"/>
        <v>-63.435827203937293</v>
      </c>
      <c r="AG66" s="388">
        <f t="shared" si="65"/>
        <v>-49.561500000000002</v>
      </c>
      <c r="AH66" s="22"/>
      <c r="AI66" s="957" t="s">
        <v>961</v>
      </c>
      <c r="AJ66" s="725">
        <f>IF(MAX(C67:C71)&gt;15,2,3)</f>
        <v>3</v>
      </c>
      <c r="AM66" s="268" t="e">
        <f>IF(#REF!/AM40&lt;SOTF_Isc,AM40,#REF!/SOTF_Isc)</f>
        <v>#REF!</v>
      </c>
      <c r="AN66" s="3"/>
      <c r="AO66" s="125"/>
      <c r="AP66" s="116">
        <f>70/(3*(Settings!Q40/In))</f>
        <v>875.00000000000011</v>
      </c>
      <c r="AQ66" s="270"/>
      <c r="AR66" s="3"/>
      <c r="AS66" s="268">
        <f t="shared" si="61"/>
        <v>110</v>
      </c>
      <c r="AT66" s="3"/>
      <c r="AU66" s="3"/>
      <c r="AV66" s="275" t="e">
        <f>HLOOKUP(#REF!,$AO$29:$AT$41,10)</f>
        <v>#REF!</v>
      </c>
      <c r="AW66" s="268" t="e">
        <f>IF(AV66="","",ROUND(HLOOKUP(#REF!&amp;"a",$AO$29:$AT$41,10),2))</f>
        <v>#REF!</v>
      </c>
      <c r="AX66" s="275" t="e">
        <f>HLOOKUP(#REF!,$AU$29:$AZ$41,10)</f>
        <v>#REF!</v>
      </c>
      <c r="AY66" s="268" t="e">
        <f>IF(AX66="","",ROUND(HLOOKUP(#REF!&amp;"a",$AU$29:$AZ$41,10),2))</f>
        <v>#REF!</v>
      </c>
      <c r="AZ66" s="3"/>
      <c r="BA66" s="3"/>
      <c r="BB66" s="3"/>
      <c r="BC66" s="3"/>
      <c r="BD66" s="3"/>
      <c r="BE66" s="3"/>
      <c r="BF66" s="3"/>
      <c r="BG66" s="3"/>
      <c r="BH66" s="3"/>
      <c r="BI66" s="40">
        <f t="shared" si="44"/>
        <v>-34.795258843522603</v>
      </c>
      <c r="BJ66" s="40">
        <f t="shared" si="44"/>
        <v>-53.58</v>
      </c>
      <c r="BK66" s="3"/>
      <c r="BL66" s="276" t="e">
        <f>#REF!*$BM$4</f>
        <v>#REF!</v>
      </c>
      <c r="BM66" s="276" t="e">
        <f>#REF!*$BM$4</f>
        <v>#REF!</v>
      </c>
      <c r="BN66" s="3"/>
      <c r="BO66" s="3"/>
      <c r="BP66" s="3"/>
      <c r="BQ66" s="3"/>
    </row>
    <row r="67" spans="1:69" ht="13.5">
      <c r="A67" s="231"/>
      <c r="B67" s="209" t="s">
        <v>820</v>
      </c>
      <c r="C67" s="702">
        <f>IF(Settings!$I16&lt;&gt;"Reverse","",MIN(TimesTest_R_V/$M21*2.5,5)*I_Nom)</f>
        <v>5</v>
      </c>
      <c r="D67" s="703">
        <f>IF(Settings!$I16&lt;&gt;"Reverse","",MIN(TimesTest_R_V_E/$M43*2.5,5)*I_Nom)</f>
        <v>5</v>
      </c>
      <c r="E67" s="210">
        <f>IF(C67="","",T_3*1000+OpTime)</f>
        <v>430</v>
      </c>
      <c r="F67" s="191"/>
      <c r="G67" s="191"/>
      <c r="H67" s="323"/>
      <c r="I67" s="323"/>
      <c r="J67" s="323"/>
      <c r="K67" s="323"/>
      <c r="L67" s="323"/>
      <c r="M67" s="323"/>
      <c r="N67" s="191"/>
      <c r="O67" s="191"/>
      <c r="P67" s="190"/>
      <c r="Q67" s="190"/>
      <c r="R67" s="190"/>
      <c r="S67" s="190"/>
      <c r="T67" s="190"/>
      <c r="U67" s="190"/>
      <c r="V67" s="236"/>
      <c r="W67" s="3"/>
      <c r="X67" s="3"/>
      <c r="Y67" s="3"/>
      <c r="Z67" s="3"/>
      <c r="AA67" s="387">
        <f t="shared" si="66"/>
        <v>253.5</v>
      </c>
      <c r="AB67" s="388">
        <f t="shared" si="62"/>
        <v>-15.871119060068262</v>
      </c>
      <c r="AC67" s="388">
        <f t="shared" si="63"/>
        <v>-53.58</v>
      </c>
      <c r="AD67" s="23"/>
      <c r="AE67" s="387">
        <f t="shared" si="67"/>
        <v>244</v>
      </c>
      <c r="AF67" s="388">
        <f t="shared" si="64"/>
        <v>-24.172758688206965</v>
      </c>
      <c r="AG67" s="388">
        <f t="shared" si="65"/>
        <v>-49.561500000000002</v>
      </c>
      <c r="AH67" s="22"/>
      <c r="AI67" s="994" t="s">
        <v>962</v>
      </c>
      <c r="AJ67" s="957">
        <f>IF(MAX(D67:D71)&gt;15,2,3)</f>
        <v>3</v>
      </c>
      <c r="AM67" s="268" t="e">
        <f>IF(#REF!/AM41&lt;SOTF_Isc,AM41,#REF!/SOTF_Isc)</f>
        <v>#REF!</v>
      </c>
      <c r="AN67" s="3"/>
      <c r="AO67" s="125"/>
      <c r="AP67" s="116">
        <f>70/(3*(Settings!Q41/In))</f>
        <v>1166.6666666666667</v>
      </c>
      <c r="AQ67" s="270"/>
      <c r="AR67" s="3"/>
      <c r="AS67" s="268" t="e">
        <f t="shared" si="61"/>
        <v>#DIV/0!</v>
      </c>
      <c r="AT67" s="3"/>
      <c r="AU67" s="3"/>
      <c r="AV67" s="275" t="e">
        <f>HLOOKUP(#REF!,$AO$29:$AT$41,11)</f>
        <v>#REF!</v>
      </c>
      <c r="AW67" s="268" t="e">
        <f>IF(AV67="","",ROUND(HLOOKUP(#REF!&amp;"a",$AO$29:$AT$41,11),2))</f>
        <v>#REF!</v>
      </c>
      <c r="AX67" s="275" t="e">
        <f>HLOOKUP(#REF!,$AU$29:$AZ$41,11)</f>
        <v>#REF!</v>
      </c>
      <c r="AY67" s="268" t="e">
        <f>IF(AX67="","",ROUND(HLOOKUP(#REF!&amp;"a",$AU$29:$AZ$41,11),2))</f>
        <v>#REF!</v>
      </c>
      <c r="AZ67" s="3"/>
      <c r="BA67" s="3"/>
      <c r="BB67" s="3"/>
      <c r="BC67" s="3"/>
      <c r="BD67" s="3"/>
      <c r="BE67" s="3"/>
      <c r="BF67" s="3"/>
      <c r="BG67" s="3"/>
      <c r="BH67" s="3"/>
      <c r="BI67" s="40">
        <f t="shared" si="44"/>
        <v>-15.871119060068262</v>
      </c>
      <c r="BJ67" s="40">
        <f t="shared" si="44"/>
        <v>-53.58</v>
      </c>
      <c r="BK67" s="3"/>
      <c r="BL67" s="276" t="e">
        <f>#REF!*$BM$4</f>
        <v>#REF!</v>
      </c>
      <c r="BM67" s="276" t="e">
        <f>#REF!*$BM$4</f>
        <v>#REF!</v>
      </c>
      <c r="BN67" s="3"/>
      <c r="BO67" s="3"/>
      <c r="BP67" s="3"/>
      <c r="BQ67" s="3"/>
    </row>
    <row r="68" spans="1:69" ht="13.5">
      <c r="A68" s="722"/>
      <c r="B68" s="217" t="str">
        <f>IF(C67&lt;C68,"Not Testable","t3")</f>
        <v>Not Testable</v>
      </c>
      <c r="C68" s="702">
        <f>IF(C67="","",TimesTest_R_V/$M21*I_Nom*(1+Delta_I))</f>
        <v>7.1209548387096762</v>
      </c>
      <c r="D68" s="703">
        <f>IF(D67="","",TimesTest_R_V_E/$M43*I_Nom*(1+Delta_I))</f>
        <v>5.6967638709677422</v>
      </c>
      <c r="E68" s="210">
        <f>E67</f>
        <v>430</v>
      </c>
      <c r="F68" s="191"/>
      <c r="G68" s="191"/>
      <c r="H68" s="191"/>
      <c r="I68" s="237" t="s">
        <v>114</v>
      </c>
      <c r="J68" s="191"/>
      <c r="K68" s="223"/>
      <c r="L68" s="191"/>
      <c r="M68" s="191"/>
      <c r="N68" s="191"/>
      <c r="O68" s="191"/>
      <c r="P68" s="190"/>
      <c r="Q68" s="190"/>
      <c r="R68" s="190"/>
      <c r="S68" s="190"/>
      <c r="T68" s="190"/>
      <c r="U68" s="190"/>
      <c r="V68" s="236"/>
      <c r="W68" s="3"/>
      <c r="X68" s="3"/>
      <c r="Y68" s="3"/>
      <c r="Z68" s="3"/>
      <c r="AA68" s="387">
        <f t="shared" si="66"/>
        <v>270</v>
      </c>
      <c r="AB68" s="388">
        <f t="shared" si="62"/>
        <v>-9.8465181321005781E-15</v>
      </c>
      <c r="AC68" s="388">
        <f t="shared" si="63"/>
        <v>-53.58</v>
      </c>
      <c r="AD68" s="23"/>
      <c r="AE68" s="387">
        <f t="shared" si="67"/>
        <v>270</v>
      </c>
      <c r="AF68" s="388">
        <f t="shared" si="64"/>
        <v>-9.1080292721930364E-15</v>
      </c>
      <c r="AG68" s="388">
        <f t="shared" si="65"/>
        <v>-49.561500000000002</v>
      </c>
      <c r="AH68" s="22"/>
      <c r="AI68" s="994" t="s">
        <v>963</v>
      </c>
      <c r="AJ68" s="957" t="str">
        <f>IF(R_Load_E&lt;99999,"Warning","OK")</f>
        <v>OK</v>
      </c>
      <c r="AM68" s="268" t="e">
        <f>IF(#REF!/#REF!&lt;SOTF_Isc,#REF!,#REF!/SOTF_Isc)</f>
        <v>#REF!</v>
      </c>
      <c r="AN68" s="3"/>
      <c r="AO68" s="125"/>
      <c r="AP68" s="116">
        <f>70/(3*(Settings!Q42/In))</f>
        <v>1750.0000000000002</v>
      </c>
      <c r="AQ68" s="270"/>
      <c r="AR68" s="3"/>
      <c r="AS68" s="268" t="e">
        <f t="shared" si="61"/>
        <v>#DIV/0!</v>
      </c>
      <c r="AT68" s="3"/>
      <c r="AU68" s="3"/>
      <c r="AV68" s="275" t="e">
        <f>HLOOKUP(#REF!,$AO$29:$AT$41,12)</f>
        <v>#REF!</v>
      </c>
      <c r="AW68" s="268" t="e">
        <f>IF(AV68="","",ROUND(HLOOKUP(#REF!&amp;"a",$AO$29:$AT$41,12),2))</f>
        <v>#REF!</v>
      </c>
      <c r="AX68" s="275" t="e">
        <f>HLOOKUP(#REF!,$AU$29:$AZ$41,12)</f>
        <v>#REF!</v>
      </c>
      <c r="AY68" s="268" t="e">
        <f>IF(AX68="","",ROUND(HLOOKUP(#REF!&amp;"a",$AU$29:$AZ$41,12),2))</f>
        <v>#REF!</v>
      </c>
      <c r="AZ68" s="3"/>
      <c r="BA68" s="3"/>
      <c r="BB68" s="3"/>
      <c r="BC68" s="3"/>
      <c r="BD68" s="3"/>
      <c r="BE68" s="3"/>
      <c r="BF68" s="3"/>
      <c r="BG68" s="3"/>
      <c r="BH68" s="3"/>
      <c r="BI68" s="40">
        <f t="shared" si="44"/>
        <v>-9.8465181321005781E-15</v>
      </c>
      <c r="BJ68" s="40">
        <f t="shared" si="44"/>
        <v>-53.58</v>
      </c>
      <c r="BK68" s="3"/>
      <c r="BL68" s="276" t="e">
        <f>#REF!*$BM$4</f>
        <v>#REF!</v>
      </c>
      <c r="BM68" s="276" t="e">
        <f>#REF!*$BM$4</f>
        <v>#REF!</v>
      </c>
      <c r="BN68" s="3"/>
      <c r="BO68" s="3"/>
      <c r="BP68" s="3"/>
      <c r="BQ68" s="3"/>
    </row>
    <row r="69" spans="1:69" ht="14.25" thickBot="1">
      <c r="A69" s="231"/>
      <c r="B69" s="209" t="s">
        <v>822</v>
      </c>
      <c r="C69" s="702">
        <f>IF(C67="",MIN(TimesTest_R_V/$S21*2.5,5)*I_Nom,C68*(1-Delta_I)^2)</f>
        <v>6.7001064077419343</v>
      </c>
      <c r="D69" s="703">
        <f>IF(D67="",MIN(TimesTest_R_V_E/$S43*2.5,5)*I_Nom,D68*(1-Delta_I)^2)</f>
        <v>5.3600851261935487</v>
      </c>
      <c r="E69" s="210">
        <f>IF(C69="","",T_5*1000+OpTime)</f>
        <v>1130</v>
      </c>
      <c r="F69" s="191"/>
      <c r="G69" s="191"/>
      <c r="H69" s="191"/>
      <c r="I69" s="191"/>
      <c r="J69" s="191"/>
      <c r="K69" s="223"/>
      <c r="L69" s="191"/>
      <c r="M69" s="191"/>
      <c r="N69" s="191"/>
      <c r="O69" s="191"/>
      <c r="P69" s="190"/>
      <c r="Q69" s="190"/>
      <c r="R69" s="190"/>
      <c r="S69" s="190"/>
      <c r="T69" s="190"/>
      <c r="U69" s="190"/>
      <c r="V69" s="236"/>
      <c r="W69" s="3"/>
      <c r="X69" s="3"/>
      <c r="Y69" s="3"/>
      <c r="Z69" s="3"/>
      <c r="AA69" s="387">
        <f t="shared" si="66"/>
        <v>278.87168927945845</v>
      </c>
      <c r="AB69" s="388">
        <f t="shared" si="62"/>
        <v>8.3632822695404005</v>
      </c>
      <c r="AC69" s="388">
        <f t="shared" si="63"/>
        <v>-53.580000000000005</v>
      </c>
      <c r="AD69" s="23"/>
      <c r="AE69" s="387">
        <f t="shared" si="67"/>
        <v>309.97577232825859</v>
      </c>
      <c r="AF69" s="388">
        <f t="shared" si="64"/>
        <v>-9.1080292721930364E-15</v>
      </c>
      <c r="AG69" s="388">
        <f t="shared" si="65"/>
        <v>-49.561500000000002</v>
      </c>
      <c r="AH69" s="22"/>
      <c r="AM69" s="3"/>
      <c r="AN69" s="3"/>
      <c r="AO69" s="125"/>
      <c r="AP69" s="116">
        <f>70/(3*(Settings!Q43/In))</f>
        <v>3500.0000000000005</v>
      </c>
      <c r="AQ69" s="270"/>
      <c r="AR69" s="3"/>
      <c r="AS69" s="268" t="e">
        <f t="shared" si="61"/>
        <v>#DIV/0!</v>
      </c>
      <c r="AT69" s="3"/>
      <c r="AU69" s="3"/>
      <c r="AV69" s="275" t="e">
        <f>HLOOKUP(#REF!,$AO$29:$AT$41,13)</f>
        <v>#REF!</v>
      </c>
      <c r="AW69" s="268" t="e">
        <f>IF(AV69="","",ROUND(HLOOKUP(#REF!&amp;"a",$AO$29:$AT$41,13),2))</f>
        <v>#REF!</v>
      </c>
      <c r="AX69" s="275" t="e">
        <f>HLOOKUP(#REF!,$AU$29:$AZ$41,13)</f>
        <v>#REF!</v>
      </c>
      <c r="AY69" s="268" t="e">
        <f>IF(AX69="","",ROUND(HLOOKUP(#REF!&amp;"a",$AU$29:$AZ$41,13),2))</f>
        <v>#REF!</v>
      </c>
      <c r="AZ69" s="3"/>
      <c r="BA69" s="3"/>
      <c r="BB69" s="3"/>
      <c r="BC69" s="3"/>
      <c r="BD69" s="3"/>
      <c r="BE69" s="3"/>
      <c r="BF69" s="3"/>
      <c r="BG69" s="3"/>
      <c r="BH69" s="3"/>
      <c r="BI69" s="40">
        <f t="shared" ref="BI69:BJ81" si="68">AB69*$BM$4</f>
        <v>8.3632822695404005</v>
      </c>
      <c r="BJ69" s="40">
        <f t="shared" si="68"/>
        <v>-53.580000000000005</v>
      </c>
      <c r="BK69" s="3"/>
      <c r="BL69" s="276" t="e">
        <f>#REF!*$BM$4</f>
        <v>#REF!</v>
      </c>
      <c r="BM69" s="276" t="e">
        <f>#REF!*$BM$4</f>
        <v>#REF!</v>
      </c>
      <c r="BN69" s="3"/>
      <c r="BO69" s="3"/>
      <c r="BP69" s="3"/>
      <c r="BQ69" s="3"/>
    </row>
    <row r="70" spans="1:69" ht="13.5">
      <c r="A70" s="235"/>
      <c r="B70" s="217" t="str">
        <f>IF(C69&lt;C70,"Not Testable","t5")</f>
        <v>t5</v>
      </c>
      <c r="C70" s="702">
        <f>TimesTest_R_V/$S21*I_Nom*(1+Delta_I)</f>
        <v>0.24719999999999998</v>
      </c>
      <c r="D70" s="703">
        <f>TimesTest_R_V_E/$S43*I_Nom*(1+Delta_I)</f>
        <v>0.19775999999999999</v>
      </c>
      <c r="E70" s="210">
        <f>E69</f>
        <v>1130</v>
      </c>
      <c r="F70" s="191"/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  <c r="S70" s="191"/>
      <c r="T70" s="191"/>
      <c r="U70" s="191"/>
      <c r="V70" s="230"/>
      <c r="W70" s="3"/>
      <c r="X70" s="80"/>
      <c r="Y70" s="3"/>
      <c r="Z70" s="3"/>
      <c r="AA70" s="387">
        <f t="shared" si="66"/>
        <v>292</v>
      </c>
      <c r="AB70" s="388">
        <f t="shared" si="62"/>
        <v>13.660434000187291</v>
      </c>
      <c r="AC70" s="388">
        <f t="shared" si="63"/>
        <v>-33.810760605824555</v>
      </c>
      <c r="AD70" s="23"/>
      <c r="AE70" s="387">
        <f t="shared" si="67"/>
        <v>290</v>
      </c>
      <c r="AF70" s="388">
        <f t="shared" si="64"/>
        <v>18.038910765584404</v>
      </c>
      <c r="AG70" s="388">
        <f t="shared" si="65"/>
        <v>-49.561500000000002</v>
      </c>
      <c r="AH70" s="22"/>
      <c r="AI70" s="569">
        <f>SUM(AJ72:AM72)</f>
        <v>4</v>
      </c>
      <c r="AJ70" s="1191" t="s">
        <v>52</v>
      </c>
      <c r="AK70" s="1191"/>
      <c r="AL70" s="1191"/>
      <c r="AM70" s="1192"/>
      <c r="AN70" s="3"/>
      <c r="AO70" s="125"/>
      <c r="AP70" s="116">
        <f>70/(3*(Settings!Q44/In))</f>
        <v>4666.666666666667</v>
      </c>
      <c r="AQ70" s="270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40">
        <f t="shared" si="68"/>
        <v>13.660434000187291</v>
      </c>
      <c r="BJ70" s="40">
        <f t="shared" si="68"/>
        <v>-33.810760605824555</v>
      </c>
      <c r="BK70" s="3"/>
      <c r="BL70" s="276" t="e">
        <f>#REF!*$BM$4</f>
        <v>#REF!</v>
      </c>
      <c r="BM70" s="276" t="e">
        <f>#REF!*$BM$4</f>
        <v>#REF!</v>
      </c>
      <c r="BN70" s="3"/>
      <c r="BO70" s="3"/>
      <c r="BP70" s="3"/>
      <c r="BQ70" s="3"/>
    </row>
    <row r="71" spans="1:69" ht="13.5">
      <c r="A71" s="235"/>
      <c r="B71" s="222" t="s">
        <v>821</v>
      </c>
      <c r="C71" s="702">
        <f>C70*(1-Delta_I)^2</f>
        <v>0.23259047999999996</v>
      </c>
      <c r="D71" s="703">
        <f>D70*(1-Delta_I)^2</f>
        <v>0.18607238399999998</v>
      </c>
      <c r="E71" s="222"/>
      <c r="F71" s="191"/>
      <c r="G71" s="191"/>
      <c r="H71" s="191"/>
      <c r="I71" s="191"/>
      <c r="J71" s="191"/>
      <c r="K71" s="191"/>
      <c r="L71" s="191"/>
      <c r="M71" s="191"/>
      <c r="N71" s="223"/>
      <c r="O71" s="223"/>
      <c r="P71" s="223"/>
      <c r="Q71" s="223"/>
      <c r="R71" s="223"/>
      <c r="S71" s="223"/>
      <c r="T71" s="223"/>
      <c r="U71" s="223"/>
      <c r="V71" s="238"/>
      <c r="AA71" s="382" t="s">
        <v>399</v>
      </c>
      <c r="AB71" s="383">
        <f>COS(RADIANS($U13))*$V13</f>
        <v>42.613134240929483</v>
      </c>
      <c r="AC71" s="383">
        <f>SIN(RADIANS($U13))*$V13</f>
        <v>-10.624647655179308</v>
      </c>
      <c r="AD71" s="23"/>
      <c r="AE71" s="382" t="s">
        <v>399</v>
      </c>
      <c r="AF71" s="383">
        <f>COS(RADIANS($U35))*$V35</f>
        <v>112.48636206194631</v>
      </c>
      <c r="AG71" s="383">
        <f>SIN(RADIANS($U35))*$V35</f>
        <v>-28.046000000000003</v>
      </c>
      <c r="AH71" s="22"/>
      <c r="AI71" s="565" t="s">
        <v>69</v>
      </c>
      <c r="AJ71" s="87">
        <v>50</v>
      </c>
      <c r="AK71" s="561">
        <v>50</v>
      </c>
      <c r="AL71" s="570">
        <v>50</v>
      </c>
      <c r="AM71" s="571">
        <v>50</v>
      </c>
      <c r="AN71" s="3"/>
      <c r="AO71" s="271"/>
      <c r="AP71" s="272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40">
        <f t="shared" si="68"/>
        <v>42.613134240929483</v>
      </c>
      <c r="BJ71" s="40">
        <f t="shared" si="68"/>
        <v>-10.624647655179308</v>
      </c>
      <c r="BK71" s="3"/>
      <c r="BL71" s="276">
        <f t="shared" ref="BL71:BL81" si="69">AF71*$BM$4</f>
        <v>112.48636206194631</v>
      </c>
      <c r="BM71" s="276">
        <f t="shared" ref="BM71:BM81" si="70">AG71*$BM$4</f>
        <v>-28.046000000000003</v>
      </c>
      <c r="BN71" s="3"/>
      <c r="BO71" s="3"/>
      <c r="BP71" s="3"/>
      <c r="BQ71" s="3"/>
    </row>
    <row r="72" spans="1:69" ht="13.5">
      <c r="A72" s="235"/>
      <c r="B72" s="256" t="s">
        <v>68</v>
      </c>
      <c r="C72" s="268">
        <f>TimesTest_R_V</f>
        <v>12.859199999999998</v>
      </c>
      <c r="D72" s="704">
        <f>TimesTest_R_V_E</f>
        <v>9.5158079999999998</v>
      </c>
      <c r="E72" s="222"/>
      <c r="F72" s="223"/>
      <c r="G72" s="223"/>
      <c r="H72" s="191"/>
      <c r="I72" s="237" t="s">
        <v>125</v>
      </c>
      <c r="J72" s="191"/>
      <c r="K72" s="223"/>
      <c r="L72" s="223"/>
      <c r="M72" s="223"/>
      <c r="N72" s="220"/>
      <c r="O72" s="220"/>
      <c r="P72" s="220"/>
      <c r="Q72" s="220"/>
      <c r="R72" s="220"/>
      <c r="S72" s="220"/>
      <c r="T72" s="220"/>
      <c r="U72" s="220"/>
      <c r="V72" s="239"/>
      <c r="W72" s="24"/>
      <c r="X72" s="24"/>
      <c r="Y72" s="24"/>
      <c r="Z72" s="24"/>
      <c r="AA72" s="382">
        <f>U14</f>
        <v>0</v>
      </c>
      <c r="AB72" s="383">
        <f>IF($V14="",AB71,COS(RADIANS($U14))*$V14)</f>
        <v>45.46</v>
      </c>
      <c r="AC72" s="383">
        <f>IF($V14="",AC71,SIN(RADIANS($U14))*$V14)</f>
        <v>0</v>
      </c>
      <c r="AD72" s="23"/>
      <c r="AE72" s="382">
        <f>U36</f>
        <v>0</v>
      </c>
      <c r="AF72" s="383">
        <f>IF($V36="",AF71,COS(RADIANS($U36))*$V36)</f>
        <v>153.53149999999999</v>
      </c>
      <c r="AG72" s="383">
        <f>IF($V36="",AG71,SIN(RADIANS($U36))*$V36)</f>
        <v>0</v>
      </c>
      <c r="AH72" s="22"/>
      <c r="AI72" s="565" t="s">
        <v>70</v>
      </c>
      <c r="AJ72" s="87">
        <f>51-AJ71</f>
        <v>1</v>
      </c>
      <c r="AK72" s="561">
        <f>51-AK71</f>
        <v>1</v>
      </c>
      <c r="AL72" s="179">
        <f>51-AL71</f>
        <v>1</v>
      </c>
      <c r="AM72" s="567">
        <f>51-AM71</f>
        <v>1</v>
      </c>
      <c r="AN72" s="3"/>
      <c r="AO72" s="117" t="s">
        <v>32</v>
      </c>
      <c r="AP72" s="117" t="s">
        <v>124</v>
      </c>
      <c r="AQ72" s="117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40">
        <f t="shared" si="68"/>
        <v>45.46</v>
      </c>
      <c r="BJ72" s="40">
        <f t="shared" si="68"/>
        <v>0</v>
      </c>
      <c r="BK72" s="3"/>
      <c r="BL72" s="276">
        <f t="shared" si="69"/>
        <v>153.53149999999999</v>
      </c>
      <c r="BM72" s="276">
        <f t="shared" si="70"/>
        <v>0</v>
      </c>
      <c r="BN72" s="3"/>
      <c r="BO72" s="3"/>
      <c r="BP72" s="3"/>
      <c r="BQ72" s="3"/>
    </row>
    <row r="73" spans="1:69" ht="13.5">
      <c r="A73" s="235"/>
      <c r="B73" s="223"/>
      <c r="C73" s="223"/>
      <c r="D73" s="223"/>
      <c r="E73" s="223"/>
      <c r="F73" s="223"/>
      <c r="G73" s="223"/>
      <c r="H73" s="223"/>
      <c r="I73" s="191"/>
      <c r="J73" s="191"/>
      <c r="K73" s="223"/>
      <c r="L73" s="223"/>
      <c r="M73" s="220"/>
      <c r="N73" s="190"/>
      <c r="O73" s="190"/>
      <c r="P73" s="190"/>
      <c r="Q73" s="190"/>
      <c r="R73" s="190"/>
      <c r="S73" s="190"/>
      <c r="T73" s="190"/>
      <c r="U73" s="190"/>
      <c r="V73" s="236"/>
      <c r="W73" s="22"/>
      <c r="X73" s="22"/>
      <c r="Y73" s="22"/>
      <c r="Z73" s="22"/>
      <c r="AA73" s="382">
        <f t="shared" ref="AA73:AA81" si="71">U15</f>
        <v>10</v>
      </c>
      <c r="AB73" s="383">
        <f t="shared" ref="AB73:AB81" si="72">IF($V15="",AB72,COS(RADIANS($U15))*$V15)</f>
        <v>47.714343962951844</v>
      </c>
      <c r="AC73" s="383">
        <f t="shared" ref="AC73:AC81" si="73">IF($V15="",AC72,SIN(RADIANS($U15))*$V15)</f>
        <v>8.4133262074724726</v>
      </c>
      <c r="AD73" s="23"/>
      <c r="AE73" s="382">
        <f t="shared" ref="AE73:AE81" si="74">U37</f>
        <v>4</v>
      </c>
      <c r="AF73" s="383">
        <f t="shared" ref="AF73:AF81" si="75">IF($V37="",AF72,COS(RADIANS($U37))*$V37)</f>
        <v>156.46312338051081</v>
      </c>
      <c r="AG73" s="383">
        <f t="shared" ref="AG73:AG81" si="76">IF($V37="",AG72,SIN(RADIANS($U37))*$V37)</f>
        <v>10.940967404723247</v>
      </c>
      <c r="AH73" s="22"/>
      <c r="AI73" s="565" t="s">
        <v>826</v>
      </c>
      <c r="AJ73" s="51">
        <f>IF(AJ76/D21&lt;4,1.5,1.2)*(AJ76*J_)/AJ72</f>
        <v>10.991999999999999</v>
      </c>
      <c r="AK73" s="560">
        <f>MIN(IF(AK76/D43&lt;4,1.5,1.2)*(AK76*Je_),65)/V_Scaler_E</f>
        <v>10.1676</v>
      </c>
      <c r="AL73" s="256">
        <f>MAX(IF(Settings!I16&lt;&gt;"Reverse",1.5,0),IF(AL76/D21&lt;4,1.5,1.2)*(AL76*J_)/AL72)</f>
        <v>12.859199999999998</v>
      </c>
      <c r="AM73" s="567">
        <f>MAX(IF(Settings!I16&lt;&gt;"Reverse",1.5,0),IF(AM76/M43&lt;4,1.5,1.2)*(AM76*Je_)/AM72)</f>
        <v>9.5158079999999998</v>
      </c>
      <c r="AO73" s="118">
        <v>0</v>
      </c>
      <c r="AP73" s="119"/>
      <c r="AQ73" s="119"/>
      <c r="AR73" s="3"/>
      <c r="AW73" s="3"/>
      <c r="AX73" s="3"/>
      <c r="AY73" s="3"/>
      <c r="BI73" s="40">
        <f t="shared" si="68"/>
        <v>47.714343962951844</v>
      </c>
      <c r="BJ73" s="40">
        <f t="shared" si="68"/>
        <v>8.4133262074724726</v>
      </c>
      <c r="BL73" s="276">
        <f t="shared" si="69"/>
        <v>156.46312338051081</v>
      </c>
      <c r="BM73" s="276">
        <f t="shared" si="70"/>
        <v>10.940967404723247</v>
      </c>
    </row>
    <row r="74" spans="1:69" ht="13.5">
      <c r="A74" s="235"/>
      <c r="B74" s="223"/>
      <c r="C74" s="223"/>
      <c r="D74" s="223"/>
      <c r="E74" s="223"/>
      <c r="F74" s="223"/>
      <c r="G74" s="223"/>
      <c r="H74" s="223"/>
      <c r="I74" s="223"/>
      <c r="J74" s="223"/>
      <c r="K74" s="223"/>
      <c r="L74" s="223"/>
      <c r="M74" s="190"/>
      <c r="N74" s="190"/>
      <c r="O74" s="190"/>
      <c r="P74" s="190"/>
      <c r="Q74" s="190"/>
      <c r="R74" s="190"/>
      <c r="S74" s="190"/>
      <c r="T74" s="190"/>
      <c r="U74" s="190"/>
      <c r="V74" s="236"/>
      <c r="W74" s="22"/>
      <c r="X74" s="22"/>
      <c r="Y74" s="22"/>
      <c r="Z74" s="22"/>
      <c r="AA74" s="382">
        <f t="shared" si="71"/>
        <v>20</v>
      </c>
      <c r="AB74" s="383">
        <f t="shared" si="72"/>
        <v>50.372616099773637</v>
      </c>
      <c r="AC74" s="383">
        <f t="shared" si="73"/>
        <v>18.334132882436087</v>
      </c>
      <c r="AD74" s="23"/>
      <c r="AE74" s="382">
        <f t="shared" si="74"/>
        <v>8</v>
      </c>
      <c r="AF74" s="383">
        <f t="shared" si="75"/>
        <v>159.53940345178648</v>
      </c>
      <c r="AG74" s="383">
        <f t="shared" si="76"/>
        <v>22.421800929035662</v>
      </c>
      <c r="AH74" s="22"/>
      <c r="AI74" s="565" t="s">
        <v>53</v>
      </c>
      <c r="AJ74" s="51">
        <f>DEGREES(ATAN(TimesTestV/60))</f>
        <v>10.381466623736582</v>
      </c>
      <c r="AK74" s="560"/>
      <c r="AL74" s="179">
        <f>DEGREES(ATAN(TimesTest_R_V/60))</f>
        <v>12.096635247420025</v>
      </c>
      <c r="AM74" s="567"/>
      <c r="AO74" s="120">
        <v>90</v>
      </c>
      <c r="AP74" s="119"/>
      <c r="AQ74" s="119"/>
      <c r="AR74" s="3"/>
      <c r="AW74" s="3"/>
      <c r="AX74" s="3"/>
      <c r="AY74" s="3"/>
      <c r="BI74" s="40">
        <f t="shared" si="68"/>
        <v>50.372616099773637</v>
      </c>
      <c r="BJ74" s="40">
        <f t="shared" si="68"/>
        <v>18.334132882436087</v>
      </c>
      <c r="BL74" s="276">
        <f t="shared" si="69"/>
        <v>159.53940345178648</v>
      </c>
      <c r="BM74" s="276">
        <f t="shared" si="70"/>
        <v>22.421800929035662</v>
      </c>
    </row>
    <row r="75" spans="1:69" ht="13.5">
      <c r="A75" s="235"/>
      <c r="B75" s="223"/>
      <c r="C75" s="223"/>
      <c r="D75" s="223"/>
      <c r="E75" s="223"/>
      <c r="F75" s="223"/>
      <c r="G75" s="223"/>
      <c r="H75" s="223"/>
      <c r="I75" s="223"/>
      <c r="J75" s="223"/>
      <c r="K75" s="223"/>
      <c r="L75" s="223"/>
      <c r="M75" s="190"/>
      <c r="N75" s="190"/>
      <c r="O75" s="190"/>
      <c r="P75" s="190"/>
      <c r="Q75" s="190"/>
      <c r="R75" s="190"/>
      <c r="S75" s="190"/>
      <c r="T75" s="190"/>
      <c r="U75" s="190"/>
      <c r="V75" s="236"/>
      <c r="W75" s="22"/>
      <c r="X75" s="22"/>
      <c r="Y75" s="22"/>
      <c r="Z75" s="22"/>
      <c r="AA75" s="382">
        <f t="shared" si="71"/>
        <v>29.502840761917749</v>
      </c>
      <c r="AB75" s="383">
        <f t="shared" si="72"/>
        <v>53.584219514511645</v>
      </c>
      <c r="AC75" s="383">
        <f t="shared" si="73"/>
        <v>30.32</v>
      </c>
      <c r="AD75" s="23"/>
      <c r="AE75" s="382">
        <f t="shared" si="74"/>
        <v>9.8789046492933696</v>
      </c>
      <c r="AF75" s="383">
        <f t="shared" si="75"/>
        <v>161.04640305092326</v>
      </c>
      <c r="AG75" s="383">
        <f t="shared" si="76"/>
        <v>28.045999999999999</v>
      </c>
      <c r="AH75" s="22"/>
      <c r="AI75" s="565" t="s">
        <v>54</v>
      </c>
      <c r="AJ75" s="51">
        <f>TimesTestV/2/SIN(RADIANS(AJ74))</f>
        <v>30.499278942296328</v>
      </c>
      <c r="AK75" s="560"/>
      <c r="AL75" s="179">
        <f>TimesTest_R_V/2/SIN(RADIANS(AL74))</f>
        <v>30.681260667710507</v>
      </c>
      <c r="AM75" s="567"/>
      <c r="AO75" s="118">
        <v>180</v>
      </c>
      <c r="AP75" s="121"/>
      <c r="AQ75" s="121"/>
      <c r="AR75" s="3"/>
      <c r="AW75" s="3"/>
      <c r="AX75" s="3"/>
      <c r="AY75" s="3"/>
      <c r="BI75" s="40">
        <f t="shared" si="68"/>
        <v>53.584219514511645</v>
      </c>
      <c r="BJ75" s="40">
        <f t="shared" si="68"/>
        <v>30.32</v>
      </c>
      <c r="BL75" s="276">
        <f t="shared" si="69"/>
        <v>161.04640305092326</v>
      </c>
      <c r="BM75" s="276">
        <f t="shared" si="70"/>
        <v>28.045999999999999</v>
      </c>
    </row>
    <row r="76" spans="1:69" ht="13.5">
      <c r="A76" s="240"/>
      <c r="B76" s="241"/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21"/>
      <c r="N76" s="221"/>
      <c r="O76" s="221"/>
      <c r="P76" s="221"/>
      <c r="Q76" s="221"/>
      <c r="R76" s="221"/>
      <c r="S76" s="221"/>
      <c r="T76" s="221"/>
      <c r="U76" s="221"/>
      <c r="V76" s="242"/>
      <c r="W76" s="22"/>
      <c r="X76" s="22"/>
      <c r="Y76" s="22"/>
      <c r="Z76" s="22"/>
      <c r="AA76" s="382">
        <f t="shared" si="71"/>
        <v>40</v>
      </c>
      <c r="AB76" s="383">
        <f t="shared" si="72"/>
        <v>36.133968927456451</v>
      </c>
      <c r="AC76" s="383">
        <f t="shared" si="73"/>
        <v>30.32</v>
      </c>
      <c r="AD76" s="23"/>
      <c r="AE76" s="382">
        <f t="shared" si="74"/>
        <v>12</v>
      </c>
      <c r="AF76" s="383">
        <f t="shared" si="75"/>
        <v>131.94605605043273</v>
      </c>
      <c r="AG76" s="383">
        <f t="shared" si="76"/>
        <v>28.046000000000003</v>
      </c>
      <c r="AH76" s="22"/>
      <c r="AI76" s="565" t="s">
        <v>824</v>
      </c>
      <c r="AJ76" s="51">
        <f>MAX(IF(Settings!C16="Forward",X_1,0),IF(Settings!G16="Forward",X_2,0),IF(Settings!I16="Forward",X_3,0),IF(Settings!K16="Forward",X_4,0),IF(Settings!M16="Forward",X_5,0))*2</f>
        <v>45.8</v>
      </c>
      <c r="AK76" s="560">
        <f>MAX(IF(Settings!C16="Forward",EX_1,0),IF(Settings!G16="Forward",EX_2,0),IF(Settings!I16="Forward",EX_3,0),IF(Settings!K16="Forward",EX_4,0),IF(Settings!M16="Forward",EX_5,0))</f>
        <v>42.365000000000002</v>
      </c>
      <c r="AL76" s="179">
        <f>MAX(IF(Settings!C16="Reverse",X_1,0),IF(Settings!G16="Reverse",X_2,0),IF(Settings!I16="Reverse",X_3,0),IF(Settings!K16="Reverse",X_4,0),IF(Settings!M16="Reverse",X_5,0))*2</f>
        <v>53.58</v>
      </c>
      <c r="AM76" s="567">
        <f>MAX(IF(Settings!C16="Reverse",EX_1,0),IF(Settings!G16="Reverse",EX_2,0),IF(Settings!I16="Reverse",EX_3,0),IF(Settings!K16="Reverse",EX_4,0),IF(Settings!M16="Reverse",EX_5,0))</f>
        <v>49.561500000000002</v>
      </c>
      <c r="AO76" s="163">
        <v>270</v>
      </c>
      <c r="AP76" s="164"/>
      <c r="AQ76" s="162"/>
      <c r="AR76" s="3"/>
      <c r="AS76" s="3"/>
      <c r="AT76" s="3"/>
      <c r="AU76" s="3"/>
      <c r="AV76" s="3"/>
      <c r="AW76" s="3"/>
      <c r="AX76" s="3"/>
      <c r="AY76" s="3"/>
      <c r="BI76" s="40">
        <f t="shared" si="68"/>
        <v>36.133968927456451</v>
      </c>
      <c r="BJ76" s="40">
        <f t="shared" si="68"/>
        <v>30.32</v>
      </c>
      <c r="BL76" s="276">
        <f t="shared" si="69"/>
        <v>131.94605605043273</v>
      </c>
      <c r="BM76" s="276">
        <f t="shared" si="70"/>
        <v>28.046000000000003</v>
      </c>
    </row>
    <row r="77" spans="1:69" ht="13.5">
      <c r="W77" s="22"/>
      <c r="X77" s="22"/>
      <c r="Y77" s="22"/>
      <c r="Z77" s="22"/>
      <c r="AA77" s="382">
        <f t="shared" si="71"/>
        <v>65</v>
      </c>
      <c r="AB77" s="383">
        <f t="shared" si="72"/>
        <v>14.138448195259558</v>
      </c>
      <c r="AC77" s="383">
        <f t="shared" si="73"/>
        <v>30.32</v>
      </c>
      <c r="AD77" s="23"/>
      <c r="AE77" s="382">
        <f t="shared" si="74"/>
        <v>51</v>
      </c>
      <c r="AF77" s="383">
        <f t="shared" si="75"/>
        <v>22.711202994987175</v>
      </c>
      <c r="AG77" s="383">
        <f t="shared" si="76"/>
        <v>28.046000000000006</v>
      </c>
      <c r="AH77" s="22"/>
      <c r="AI77" s="565" t="s">
        <v>825</v>
      </c>
      <c r="AJ77" s="51">
        <f>MAX(IF(Settings!C16="Forward",D15,0),IF(Settings!G16="Forward",J15,0),IF(Settings!I16="Forward",M15,0),IF(Settings!K16="Forward",P15,0),IF(Settings!M16="Forward",S15,0))</f>
        <v>68.180000000000007</v>
      </c>
      <c r="AK77" s="560">
        <f>MAX(IF(Settings!C16="Forward",D37,0),IF(Settings!G16="Forward",J37,0),IF(Settings!I16="Forward",M37,0),IF(Settings!K16="Forward",P37,0),IF(Settings!M16="Forward",S37,0))</f>
        <v>175.4563</v>
      </c>
      <c r="AL77" s="179">
        <f>MAX(IF(Settings!C16="Reverse",X_1,0),IF(Settings!G16="Reverse",X_2,0),IF(Settings!I16="Reverse",X_3,0),IF(Settings!K16="Reverse",X_4,0),IF(Settings!M16="Reverse",X_5,0))</f>
        <v>26.79</v>
      </c>
      <c r="AM77" s="567">
        <f>MAX(IF(Settings!C16="Reverse",D37,0),IF(Settings!G16="Reverse",J37,0),IF(Settings!I16="Reverse",M37,0),IF(Settings!K16="Reverse",P37,0),IF(Settings!M16="Reverse",S37,0))</f>
        <v>54.831300000000006</v>
      </c>
      <c r="AO77" s="165"/>
      <c r="AP77" s="166"/>
      <c r="AQ77" s="123"/>
      <c r="AR77" s="3"/>
      <c r="AS77" s="3"/>
      <c r="AT77" s="3"/>
      <c r="AU77" s="3"/>
      <c r="AV77" s="3"/>
      <c r="AW77" s="3"/>
      <c r="AX77" s="3"/>
      <c r="AY77" s="3"/>
      <c r="BI77" s="40">
        <f t="shared" si="68"/>
        <v>14.138448195259558</v>
      </c>
      <c r="BJ77" s="40">
        <f t="shared" si="68"/>
        <v>30.32</v>
      </c>
      <c r="BL77" s="276">
        <f t="shared" si="69"/>
        <v>22.711202994987175</v>
      </c>
      <c r="BM77" s="276">
        <f t="shared" si="70"/>
        <v>28.046000000000006</v>
      </c>
    </row>
    <row r="78" spans="1:69" ht="14.25" thickBot="1">
      <c r="W78" s="22"/>
      <c r="X78" s="22"/>
      <c r="Y78" s="22"/>
      <c r="Z78" s="22"/>
      <c r="AA78" s="382">
        <f t="shared" si="71"/>
        <v>90</v>
      </c>
      <c r="AB78" s="383">
        <f t="shared" si="72"/>
        <v>1.8573250576414679E-15</v>
      </c>
      <c r="AC78" s="383">
        <f t="shared" si="73"/>
        <v>30.32</v>
      </c>
      <c r="AD78" s="23"/>
      <c r="AE78" s="382">
        <f t="shared" si="74"/>
        <v>90</v>
      </c>
      <c r="AF78" s="383">
        <f t="shared" si="75"/>
        <v>1.718025678318358E-15</v>
      </c>
      <c r="AG78" s="383">
        <f t="shared" si="76"/>
        <v>28.046000000000003</v>
      </c>
      <c r="AH78" s="22"/>
      <c r="AI78" s="566" t="s">
        <v>827</v>
      </c>
      <c r="AJ78" s="562"/>
      <c r="AK78" s="563">
        <f>MIN(63,Je_*AK77*1.1)</f>
        <v>30.880308800000005</v>
      </c>
      <c r="AL78" s="564"/>
      <c r="AM78" s="568">
        <f>MIN(63,Je_*AM77*1.1)</f>
        <v>9.6503088000000012</v>
      </c>
      <c r="AO78" s="335" t="s">
        <v>466</v>
      </c>
      <c r="AP78" s="161">
        <f>MAX(P35:P45,S35:S45)*1.1</f>
        <v>210.70674420180441</v>
      </c>
      <c r="AQ78" s="126"/>
      <c r="AR78" s="3"/>
      <c r="AS78" s="3"/>
      <c r="AT78" s="3"/>
      <c r="AU78" s="3"/>
      <c r="AV78" s="3"/>
      <c r="AW78" s="3"/>
      <c r="AX78" s="3"/>
      <c r="AY78" s="3"/>
      <c r="BI78" s="40">
        <f t="shared" si="68"/>
        <v>1.8573250576414679E-15</v>
      </c>
      <c r="BJ78" s="40">
        <f t="shared" si="68"/>
        <v>30.32</v>
      </c>
      <c r="BL78" s="276">
        <f t="shared" si="69"/>
        <v>1.718025678318358E-15</v>
      </c>
      <c r="BM78" s="276">
        <f t="shared" si="70"/>
        <v>28.046000000000003</v>
      </c>
    </row>
    <row r="79" spans="1:69" ht="13.5"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V79" s="22"/>
      <c r="W79" s="22"/>
      <c r="X79" s="22"/>
      <c r="Y79" s="22"/>
      <c r="Z79" s="22"/>
      <c r="AA79" s="382">
        <f t="shared" si="71"/>
        <v>112</v>
      </c>
      <c r="AB79" s="383">
        <f t="shared" si="72"/>
        <v>-12.250075167321954</v>
      </c>
      <c r="AC79" s="383">
        <f t="shared" si="73"/>
        <v>30.319999999999997</v>
      </c>
      <c r="AD79" s="11"/>
      <c r="AE79" s="382">
        <f t="shared" si="74"/>
        <v>110</v>
      </c>
      <c r="AF79" s="383">
        <f t="shared" si="75"/>
        <v>-10.207909190229911</v>
      </c>
      <c r="AG79" s="383">
        <f t="shared" si="76"/>
        <v>28.046000000000003</v>
      </c>
      <c r="AO79" s="3"/>
      <c r="AP79" s="80"/>
      <c r="AQ79" s="3"/>
      <c r="AR79" s="3"/>
      <c r="AS79" s="3"/>
      <c r="AT79" s="3"/>
      <c r="AU79" s="3"/>
      <c r="AV79" s="3"/>
      <c r="AW79" s="3"/>
      <c r="AX79" s="3"/>
      <c r="AY79" s="3"/>
      <c r="BI79" s="40">
        <f t="shared" si="68"/>
        <v>-12.250075167321954</v>
      </c>
      <c r="BJ79" s="40">
        <f t="shared" si="68"/>
        <v>30.319999999999997</v>
      </c>
      <c r="BL79" s="276">
        <f t="shared" si="69"/>
        <v>-10.207909190229911</v>
      </c>
      <c r="BM79" s="276">
        <f t="shared" si="70"/>
        <v>28.046000000000003</v>
      </c>
    </row>
    <row r="80" spans="1:69" ht="14.25" thickBo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V80" s="22"/>
      <c r="W80" s="22"/>
      <c r="X80" s="22"/>
      <c r="Y80" s="22"/>
      <c r="Z80" s="22"/>
      <c r="AA80" s="382" t="str">
        <f t="shared" si="71"/>
        <v/>
      </c>
      <c r="AB80" s="383">
        <f t="shared" si="72"/>
        <v>-12.250075167321954</v>
      </c>
      <c r="AC80" s="383">
        <f t="shared" si="73"/>
        <v>30.319999999999997</v>
      </c>
      <c r="AD80" s="11"/>
      <c r="AE80" s="382" t="str">
        <f t="shared" si="74"/>
        <v/>
      </c>
      <c r="AF80" s="383">
        <f t="shared" si="75"/>
        <v>-10.207909190229911</v>
      </c>
      <c r="AG80" s="383">
        <f t="shared" si="76"/>
        <v>28.046000000000003</v>
      </c>
      <c r="BI80" s="40">
        <f t="shared" si="68"/>
        <v>-12.250075167321954</v>
      </c>
      <c r="BJ80" s="40">
        <f t="shared" si="68"/>
        <v>30.319999999999997</v>
      </c>
      <c r="BL80" s="276">
        <f t="shared" si="69"/>
        <v>-10.207909190229911</v>
      </c>
      <c r="BM80" s="276">
        <f t="shared" si="70"/>
        <v>28.046000000000003</v>
      </c>
    </row>
    <row r="81" spans="1:65" ht="13.5">
      <c r="A81" s="22"/>
      <c r="F81" s="642" t="s">
        <v>710</v>
      </c>
      <c r="G81" s="643"/>
      <c r="H81" s="643"/>
      <c r="I81" s="643"/>
      <c r="J81" s="643"/>
      <c r="K81" s="643"/>
      <c r="L81" s="643"/>
      <c r="M81" s="644"/>
      <c r="R81" s="22"/>
      <c r="V81" s="22"/>
      <c r="W81" s="22"/>
      <c r="X81" s="22"/>
      <c r="Y81" s="22"/>
      <c r="Z81" s="22"/>
      <c r="AA81" s="382" t="str">
        <f t="shared" si="71"/>
        <v/>
      </c>
      <c r="AB81" s="383">
        <f t="shared" si="72"/>
        <v>-12.250075167321954</v>
      </c>
      <c r="AC81" s="383">
        <f t="shared" si="73"/>
        <v>30.319999999999997</v>
      </c>
      <c r="AD81" s="11"/>
      <c r="AE81" s="382" t="str">
        <f t="shared" si="74"/>
        <v/>
      </c>
      <c r="AF81" s="383">
        <f t="shared" si="75"/>
        <v>-10.207909190229911</v>
      </c>
      <c r="AG81" s="383">
        <f t="shared" si="76"/>
        <v>28.046000000000003</v>
      </c>
      <c r="AI81" s="688" t="s">
        <v>806</v>
      </c>
      <c r="AJ81" s="688" t="str">
        <f>IF(OR(C53&gt;C52,D53&gt;D52),"Error","OK")</f>
        <v>OK</v>
      </c>
      <c r="AR81" s="1193" t="s">
        <v>709</v>
      </c>
      <c r="AS81" s="1194"/>
      <c r="AT81" s="1194"/>
      <c r="AU81" s="1194"/>
      <c r="AV81" s="1194"/>
      <c r="AW81" s="1194"/>
      <c r="AX81" s="1194"/>
      <c r="AY81" s="1195"/>
      <c r="BI81" s="40">
        <f t="shared" si="68"/>
        <v>-12.250075167321954</v>
      </c>
      <c r="BJ81" s="40">
        <f t="shared" si="68"/>
        <v>30.319999999999997</v>
      </c>
      <c r="BL81" s="276">
        <f t="shared" si="69"/>
        <v>-10.207909190229911</v>
      </c>
      <c r="BM81" s="276">
        <f t="shared" si="70"/>
        <v>28.046000000000003</v>
      </c>
    </row>
    <row r="82" spans="1:65" ht="13.5">
      <c r="A82" s="22"/>
      <c r="F82" s="629"/>
      <c r="G82" s="630" t="s">
        <v>708</v>
      </c>
      <c r="H82" s="647" t="s">
        <v>78</v>
      </c>
      <c r="I82" s="647" t="s">
        <v>79</v>
      </c>
      <c r="J82" s="647" t="s">
        <v>80</v>
      </c>
      <c r="K82" s="647" t="s">
        <v>81</v>
      </c>
      <c r="L82" s="647" t="s">
        <v>400</v>
      </c>
      <c r="M82" s="632" t="s">
        <v>401</v>
      </c>
      <c r="R82" s="22"/>
      <c r="V82" s="22"/>
      <c r="W82" s="22"/>
      <c r="X82" s="22"/>
      <c r="Y82" s="22"/>
      <c r="Z82" s="22"/>
      <c r="AA82" s="382" t="str">
        <f>U24</f>
        <v/>
      </c>
      <c r="AB82" s="383">
        <f>IF($V24="",AB81,COS(RADIANS($U24))*$V24)</f>
        <v>-12.250075167321954</v>
      </c>
      <c r="AC82" s="383">
        <f>IF($V24="",AC81,SIN(RADIANS($U24))*$V24)</f>
        <v>30.319999999999997</v>
      </c>
      <c r="AD82" s="11"/>
      <c r="AE82" s="382" t="str">
        <f>U46</f>
        <v/>
      </c>
      <c r="AF82" s="383">
        <f>IF($V46="",AF81,COS(RADIANS($U46))*$V46)</f>
        <v>-10.207909190229911</v>
      </c>
      <c r="AG82" s="383">
        <f>IF($V46="",AG81,SIN(RADIANS($U46))*$V46)</f>
        <v>28.046000000000003</v>
      </c>
      <c r="AI82" s="723" t="str">
        <f>IF(AND(Settings!Q6&lt;&gt;"7SA612",OR(LEFT(Feeder,2)="T1",LEFT(Feeder,2)="T4")),"NoCrosscheck","CrossCheck")</f>
        <v>CrossCheck</v>
      </c>
      <c r="AJ82" s="723" t="str">
        <f>IF(AND(open_line&lt;=Settings!M32,AI82="CrossCheck"),"Error","OK")</f>
        <v>OK</v>
      </c>
      <c r="AR82" s="629"/>
      <c r="AS82" s="630" t="s">
        <v>708</v>
      </c>
      <c r="AT82" s="631" t="s">
        <v>78</v>
      </c>
      <c r="AU82" s="631" t="s">
        <v>79</v>
      </c>
      <c r="AV82" s="631" t="s">
        <v>80</v>
      </c>
      <c r="AW82" s="631" t="s">
        <v>81</v>
      </c>
      <c r="AX82" s="631" t="s">
        <v>400</v>
      </c>
      <c r="AY82" s="632" t="s">
        <v>401</v>
      </c>
      <c r="BI82" s="40">
        <f t="shared" ref="BI82:BJ87" si="77">AB83*$BM$4</f>
        <v>71.689625801068246</v>
      </c>
      <c r="BJ82" s="40">
        <f t="shared" si="77"/>
        <v>-58.218401383981622</v>
      </c>
      <c r="BL82" s="276">
        <f t="shared" ref="BL82:BM86" si="78">AF83*$BM$4</f>
        <v>146.01659694907673</v>
      </c>
      <c r="BM82" s="276">
        <f t="shared" si="78"/>
        <v>-28.045999999999999</v>
      </c>
    </row>
    <row r="83" spans="1:65" ht="13.5">
      <c r="A83" s="22"/>
      <c r="F83" s="633">
        <v>0</v>
      </c>
      <c r="G83" s="645">
        <f>2*R_Load/COS(RADIANS(F83))</f>
        <v>144</v>
      </c>
      <c r="H83" s="646">
        <f>ABS(2*R_1*SIN(RADIANS(180-Slope))/SIN(RADIANS(Slope-$F83)))</f>
        <v>27.28</v>
      </c>
      <c r="I83" s="646">
        <f>ABS(2*R_1B*SIN(RADIANS(180-Slope))/SIN(RADIANS(Slope-$F83)))</f>
        <v>45.46</v>
      </c>
      <c r="J83" s="646">
        <f>ABS(2*R_2*SIN(RADIANS(180-Slope))/SIN(RADIANS(Slope-$F83)))</f>
        <v>34.1</v>
      </c>
      <c r="K83" s="646">
        <f>ABS(2*R_3*SIN(RADIANS(180-Slope))/SIN(RADIANS(Slope-$F83)))</f>
        <v>4.54</v>
      </c>
      <c r="L83" s="646">
        <f>ABS(2*R_4*SIN(RADIANS(180-Slope))/SIN(RADIANS(Slope-$F83)))</f>
        <v>68.180000000000007</v>
      </c>
      <c r="M83" s="646">
        <f>ABS(2*R_5*SIN(RADIANS(180-Slope))/SIN(RADIANS(Slope-$F83)))</f>
        <v>22.72</v>
      </c>
      <c r="R83" s="22"/>
      <c r="V83" s="22"/>
      <c r="W83" s="22"/>
      <c r="X83" s="22"/>
      <c r="Y83" s="22"/>
      <c r="Z83" s="22"/>
      <c r="AA83" s="389" t="s">
        <v>99</v>
      </c>
      <c r="AB83" s="390">
        <f>COS(RADIANS($X13))*$Y13</f>
        <v>71.689625801068246</v>
      </c>
      <c r="AC83" s="390">
        <f>SIN(RADIANS($X13))*$Y13</f>
        <v>-58.218401383981622</v>
      </c>
      <c r="AD83" s="11"/>
      <c r="AE83" s="389" t="s">
        <v>99</v>
      </c>
      <c r="AF83" s="390">
        <f>COS(RADIANS($X35))*$Y35</f>
        <v>146.01659694907673</v>
      </c>
      <c r="AG83" s="390">
        <f>SIN(RADIANS($X35))*$Y35</f>
        <v>-28.045999999999999</v>
      </c>
      <c r="AR83" s="633">
        <v>0</v>
      </c>
      <c r="AS83" s="634">
        <f>R_Load_E</f>
        <v>99999</v>
      </c>
      <c r="AT83" s="635">
        <f>ABS(ER_1*SIN(RADIANS(180-Slope))/SIN(RADIANS(Slope-$AR83)))</f>
        <v>76.756100000000018</v>
      </c>
      <c r="AU83" s="635">
        <f>ABS(ER_1B*SIN(RADIANS(180-Slope))/SIN(RADIANS(Slope-$AR83)))</f>
        <v>153.53149999999999</v>
      </c>
      <c r="AV83" s="635">
        <f>ABS(ER_2*SIN(RADIANS(180-Slope))/SIN(RADIANS(Slope-$AR83)))</f>
        <v>120.62500000000003</v>
      </c>
      <c r="AW83" s="635">
        <f>ABS(ER_3*SIN(RADIANS(180-Slope))/SIN(RADIANS(Slope-$AR83)))</f>
        <v>8.7815000000000012</v>
      </c>
      <c r="AX83" s="635">
        <f>ABS(ER_4*SIN(RADIANS(180-Slope))/SIN(RADIANS(Slope-$AR83)))</f>
        <v>175.4563</v>
      </c>
      <c r="AY83" s="636">
        <f>ABS(ER_5*SIN(RADIANS(180-Slope))/SIN(RADIANS(Slope-$AR83)))</f>
        <v>54.831300000000006</v>
      </c>
      <c r="BI83" s="40">
        <f t="shared" si="77"/>
        <v>92.351419627440393</v>
      </c>
      <c r="BJ83" s="40">
        <f t="shared" si="77"/>
        <v>0</v>
      </c>
      <c r="BL83" s="276">
        <f t="shared" si="78"/>
        <v>153.53149999999999</v>
      </c>
      <c r="BM83" s="276">
        <f t="shared" si="78"/>
        <v>0</v>
      </c>
    </row>
    <row r="84" spans="1:65" ht="13.5">
      <c r="A84" s="22"/>
      <c r="F84" s="633">
        <f>Settings!$I$13-3</f>
        <v>57</v>
      </c>
      <c r="G84" s="645">
        <f>2*R_Load/COS(RADIANS(F84))</f>
        <v>264.3952980638395</v>
      </c>
      <c r="H84" s="646">
        <f>ABS(2*R_1*SIN(RADIANS(180-Slope))/SIN(RADIANS(Slope-$F84)))</f>
        <v>85.271868605366464</v>
      </c>
      <c r="I84" s="646">
        <f>ABS(2*R_1B*SIN(RADIANS(180-Slope))/SIN(RADIANS(Slope-$F84)))</f>
        <v>142.0989423313768</v>
      </c>
      <c r="J84" s="646">
        <f>ABS(2*R_2*SIN(RADIANS(180-Slope))/SIN(RADIANS(Slope-$F84)))</f>
        <v>106.58983575670808</v>
      </c>
      <c r="K84" s="646">
        <f>ABS(2*R_3*SIN(RADIANS(180-Slope))/SIN(RADIANS(Slope-$F84)))</f>
        <v>14.191139423327119</v>
      </c>
      <c r="L84" s="646">
        <f>ABS(2*R_4*SIN(RADIANS(180-Slope))/SIN(RADIANS(Slope-$F84)))</f>
        <v>213.11715548071433</v>
      </c>
      <c r="M84" s="646">
        <f>ABS(2*R_5*SIN(RADIANS(180-Slope))/SIN(RADIANS(Slope-$F84)))</f>
        <v>71.01821314933747</v>
      </c>
      <c r="R84" s="22"/>
      <c r="V84" s="22"/>
      <c r="W84" s="22"/>
      <c r="X84" s="22"/>
      <c r="Y84" s="22"/>
      <c r="Z84" s="22"/>
      <c r="AA84" s="389">
        <f t="shared" ref="AA84:AA94" si="79">X14</f>
        <v>0</v>
      </c>
      <c r="AB84" s="390">
        <f t="shared" ref="AB84:AB94" si="80">IF($Y14="",AB83,COS(RADIANS($X14))*$Y14)</f>
        <v>92.351419627440393</v>
      </c>
      <c r="AC84" s="390">
        <f t="shared" ref="AC84:AC94" si="81">IF($Y14="",AC83,SIN(RADIANS($X14))*$Y14)</f>
        <v>0</v>
      </c>
      <c r="AD84" s="11"/>
      <c r="AE84" s="389">
        <f t="shared" ref="AE84:AE95" si="82">X36</f>
        <v>0</v>
      </c>
      <c r="AF84" s="390">
        <f t="shared" ref="AF84:AF95" si="83">IF($Y36="",AF83,COS(RADIANS($X36))*$Y36)</f>
        <v>153.53149999999999</v>
      </c>
      <c r="AG84" s="390">
        <f t="shared" ref="AG84:AG95" si="84">IF($Y36="",AG83,SIN(RADIANS($X36))*$Y36)</f>
        <v>0</v>
      </c>
      <c r="AJ84" s="58"/>
      <c r="AL84" t="str">
        <f>Settings!I16</f>
        <v>Reverse</v>
      </c>
      <c r="AR84" s="633">
        <f>Settings!$E$13-3</f>
        <v>57</v>
      </c>
      <c r="AS84" s="634">
        <f>R_Load_E/COS(RADIANS(AR84))</f>
        <v>183606.00979920753</v>
      </c>
      <c r="AT84" s="635">
        <f>ABS(ER_1*SIN(RADIANS(180-Slope))/SIN(RADIANS(Slope-$AR84)))</f>
        <v>239.92434288344467</v>
      </c>
      <c r="AU84" s="635">
        <f>ABS(ER_1B*SIN(RADIANS(180-Slope))/SIN(RADIANS(Slope-$AR84)))</f>
        <v>479.9090137384465</v>
      </c>
      <c r="AV84" s="635">
        <f>ABS(ER_2*SIN(RADIANS(180-Slope))/SIN(RADIANS(Slope-$AR84)))</f>
        <v>377.04982223322332</v>
      </c>
      <c r="AW84" s="635">
        <f>ABS(ER_3*SIN(RADIANS(180-Slope))/SIN(RADIANS(Slope-$AR84)))</f>
        <v>27.449227058578657</v>
      </c>
      <c r="AX84" s="635">
        <f>ABS(ER_4*SIN(RADIANS(180-Slope))/SIN(RADIANS(Slope-$AR84)))</f>
        <v>548.44158942755712</v>
      </c>
      <c r="AY84" s="636">
        <f>ABS(ER_5*SIN(RADIANS(180-Slope))/SIN(RADIANS(Slope-$AR84)))</f>
        <v>171.39176719433399</v>
      </c>
      <c r="BI84" s="40">
        <f t="shared" si="77"/>
        <v>90.948394050787101</v>
      </c>
      <c r="BJ84" s="40">
        <f t="shared" si="77"/>
        <v>16.036655723259006</v>
      </c>
      <c r="BL84" s="276">
        <f t="shared" si="78"/>
        <v>159.53940345178648</v>
      </c>
      <c r="BM84" s="276">
        <f t="shared" si="78"/>
        <v>22.421800929035662</v>
      </c>
    </row>
    <row r="85" spans="1:65" ht="13.5">
      <c r="A85" s="22"/>
      <c r="F85" s="633">
        <f>R13</f>
        <v>166</v>
      </c>
      <c r="G85" s="645">
        <f>2*R_Load/COS(RADIANS(F85))</f>
        <v>-148.40836262638533</v>
      </c>
      <c r="H85" s="646">
        <f>ABS(2*R_1*SIN(RADIANS(180-Slope))/SIN(RADIANS(Slope-$F85)))</f>
        <v>26.354470454666771</v>
      </c>
      <c r="I85" s="646">
        <f>ABS(2*R_1B*SIN(RADIANS(180-Slope))/SIN(RADIANS(Slope-$F85)))</f>
        <v>43.917676938018751</v>
      </c>
      <c r="J85" s="646">
        <f>ABS(2*R_2*SIN(RADIANS(180-Slope))/SIN(RADIANS(Slope-$F85)))</f>
        <v>32.943088068333466</v>
      </c>
      <c r="K85" s="646">
        <f>ABS(2*R_3*SIN(RADIANS(180-Slope))/SIN(RADIANS(Slope-$F85)))</f>
        <v>4.3859712560185908</v>
      </c>
      <c r="L85" s="646">
        <f>ABS(2*R_4*SIN(RADIANS(180-Slope))/SIN(RADIANS(Slope-$F85)))</f>
        <v>65.866854677389327</v>
      </c>
      <c r="M85" s="646">
        <f>ABS(2*R_5*SIN(RADIANS(180-Slope))/SIN(RADIANS(Slope-$F85)))</f>
        <v>21.949177739370569</v>
      </c>
      <c r="R85" s="22"/>
      <c r="V85" s="22"/>
      <c r="W85" s="22"/>
      <c r="X85" s="22"/>
      <c r="Y85" s="22"/>
      <c r="Z85" s="22"/>
      <c r="AA85" s="389">
        <f t="shared" si="79"/>
        <v>10</v>
      </c>
      <c r="AB85" s="390">
        <f t="shared" si="80"/>
        <v>90.948394050787101</v>
      </c>
      <c r="AC85" s="390">
        <f t="shared" si="81"/>
        <v>16.036655723259006</v>
      </c>
      <c r="AD85" s="11"/>
      <c r="AE85" s="389">
        <f t="shared" si="82"/>
        <v>8</v>
      </c>
      <c r="AF85" s="390">
        <f t="shared" si="83"/>
        <v>159.53940345178648</v>
      </c>
      <c r="AG85" s="390">
        <f t="shared" si="84"/>
        <v>22.421800929035662</v>
      </c>
      <c r="AR85" s="633">
        <f>R35</f>
        <v>166</v>
      </c>
      <c r="AS85" s="634">
        <f>R_Load_E/COS(RADIANS(AR85))</f>
        <v>-103060.33232136046</v>
      </c>
      <c r="AT85" s="635">
        <f>ABS(ER_1*SIN(RADIANS(180-Slope))/SIN(RADIANS(Slope-$AR85)))</f>
        <v>74.151993022927002</v>
      </c>
      <c r="AU85" s="635">
        <f>ABS(ER_1B*SIN(RADIANS(180-Slope))/SIN(RADIANS(Slope-$AR85)))</f>
        <v>148.32263125405686</v>
      </c>
      <c r="AV85" s="635">
        <f>ABS(ER_2*SIN(RADIANS(180-Slope))/SIN(RADIANS(Slope-$AR85)))</f>
        <v>116.5325512681151</v>
      </c>
      <c r="AW85" s="635">
        <f>ABS(ER_3*SIN(RADIANS(180-Slope))/SIN(RADIANS(Slope-$AR85)))</f>
        <v>8.4835697323187791</v>
      </c>
      <c r="AX85" s="635">
        <f>ABS(ER_4*SIN(RADIANS(180-Slope))/SIN(RADIANS(Slope-$AR85)))</f>
        <v>169.50358777254945</v>
      </c>
      <c r="AY85" s="636">
        <f>ABS(ER_5*SIN(RADIANS(180-Slope))/SIN(RADIANS(Slope-$AR85)))</f>
        <v>52.971036504434402</v>
      </c>
      <c r="BI85" s="40">
        <f t="shared" si="77"/>
        <v>80.37632927176746</v>
      </c>
      <c r="BJ85" s="40">
        <f t="shared" si="77"/>
        <v>45.48</v>
      </c>
      <c r="BL85" s="276">
        <f t="shared" si="78"/>
        <v>161.04640305092326</v>
      </c>
      <c r="BM85" s="276">
        <f t="shared" si="78"/>
        <v>28.045999999999999</v>
      </c>
    </row>
    <row r="86" spans="1:65" ht="14.25" thickBot="1">
      <c r="A86" s="22"/>
      <c r="F86" s="637"/>
      <c r="G86" s="638" t="s">
        <v>711</v>
      </c>
      <c r="H86" s="648">
        <f t="shared" ref="H86:M86" si="85">IF(H84&lt;$G84,0,1)</f>
        <v>0</v>
      </c>
      <c r="I86" s="648">
        <f t="shared" si="85"/>
        <v>0</v>
      </c>
      <c r="J86" s="648">
        <f t="shared" si="85"/>
        <v>0</v>
      </c>
      <c r="K86" s="648">
        <f t="shared" si="85"/>
        <v>0</v>
      </c>
      <c r="L86" s="648">
        <f t="shared" si="85"/>
        <v>0</v>
      </c>
      <c r="M86" s="640">
        <f t="shared" si="85"/>
        <v>0</v>
      </c>
      <c r="R86" s="22"/>
      <c r="V86" s="22"/>
      <c r="W86" s="22"/>
      <c r="X86" s="22"/>
      <c r="Y86" s="22"/>
      <c r="Z86" s="22"/>
      <c r="AA86" s="389">
        <f t="shared" si="79"/>
        <v>29.502840761917749</v>
      </c>
      <c r="AB86" s="390">
        <f t="shared" si="80"/>
        <v>80.37632927176746</v>
      </c>
      <c r="AC86" s="390">
        <f t="shared" si="81"/>
        <v>45.48</v>
      </c>
      <c r="AD86" s="11"/>
      <c r="AE86" s="389">
        <f t="shared" si="82"/>
        <v>9.8789046492933696</v>
      </c>
      <c r="AF86" s="390">
        <f t="shared" si="83"/>
        <v>161.04640305092326</v>
      </c>
      <c r="AG86" s="390">
        <f t="shared" si="84"/>
        <v>28.045999999999999</v>
      </c>
      <c r="AR86" s="637"/>
      <c r="AS86" s="638" t="s">
        <v>711</v>
      </c>
      <c r="AT86" s="639">
        <f t="shared" ref="AT86:AY86" si="86">IF(AT84&lt;$AS84,0,1)</f>
        <v>0</v>
      </c>
      <c r="AU86" s="639">
        <f t="shared" si="86"/>
        <v>0</v>
      </c>
      <c r="AV86" s="639">
        <f t="shared" si="86"/>
        <v>0</v>
      </c>
      <c r="AW86" s="639">
        <f t="shared" si="86"/>
        <v>0</v>
      </c>
      <c r="AX86" s="639">
        <f t="shared" si="86"/>
        <v>0</v>
      </c>
      <c r="AY86" s="640">
        <f t="shared" si="86"/>
        <v>0</v>
      </c>
      <c r="BI86" s="40">
        <f t="shared" si="77"/>
        <v>39.029396432234769</v>
      </c>
      <c r="BJ86" s="40">
        <f t="shared" si="77"/>
        <v>83.698810752238543</v>
      </c>
      <c r="BL86" s="276">
        <f t="shared" si="78"/>
        <v>131.94605605043273</v>
      </c>
      <c r="BM86" s="276">
        <f t="shared" si="78"/>
        <v>28.046000000000003</v>
      </c>
    </row>
    <row r="87" spans="1:65" ht="13.5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V87" s="22"/>
      <c r="W87" s="22"/>
      <c r="X87" s="22"/>
      <c r="Y87" s="22"/>
      <c r="Z87" s="22"/>
      <c r="AA87" s="389">
        <f t="shared" si="79"/>
        <v>65</v>
      </c>
      <c r="AB87" s="390">
        <f t="shared" si="80"/>
        <v>39.029396432234769</v>
      </c>
      <c r="AC87" s="390">
        <f t="shared" si="81"/>
        <v>83.698810752238543</v>
      </c>
      <c r="AD87" s="11"/>
      <c r="AE87" s="389">
        <f t="shared" si="82"/>
        <v>12</v>
      </c>
      <c r="AF87" s="390">
        <f t="shared" si="83"/>
        <v>131.94605605043273</v>
      </c>
      <c r="AG87" s="390">
        <f t="shared" si="84"/>
        <v>28.046000000000003</v>
      </c>
      <c r="BI87" s="40">
        <f t="shared" si="77"/>
        <v>5.6572099532588099E-15</v>
      </c>
      <c r="BJ87" s="40">
        <f t="shared" si="77"/>
        <v>92.351419627440393</v>
      </c>
      <c r="BL87" s="276">
        <f>AF90*$BM$4</f>
        <v>-146.0165969490767</v>
      </c>
      <c r="BM87" s="276">
        <f>AG90*$BM$4</f>
        <v>28.046000000000028</v>
      </c>
    </row>
    <row r="88" spans="1:65" ht="13.5">
      <c r="V88" s="22"/>
      <c r="W88" s="22"/>
      <c r="X88" s="22"/>
      <c r="Y88" s="22"/>
      <c r="Z88" s="22"/>
      <c r="AA88" s="389">
        <f t="shared" si="79"/>
        <v>90</v>
      </c>
      <c r="AB88" s="390">
        <f t="shared" si="80"/>
        <v>5.6572099532588099E-15</v>
      </c>
      <c r="AC88" s="390">
        <f t="shared" si="81"/>
        <v>92.351419627440393</v>
      </c>
      <c r="AD88" s="11"/>
      <c r="AE88" s="389">
        <f t="shared" si="82"/>
        <v>90</v>
      </c>
      <c r="AF88" s="390">
        <f t="shared" si="83"/>
        <v>1.718025678318358E-15</v>
      </c>
      <c r="AG88" s="390">
        <f t="shared" si="84"/>
        <v>28.046000000000003</v>
      </c>
    </row>
    <row r="89" spans="1:65" ht="13.5">
      <c r="V89" s="22"/>
      <c r="W89" s="22"/>
      <c r="X89" s="22"/>
      <c r="Y89" s="22"/>
      <c r="Z89" s="22"/>
      <c r="AA89" s="389">
        <f t="shared" si="79"/>
        <v>112</v>
      </c>
      <c r="AB89" s="390">
        <f t="shared" si="80"/>
        <v>-34.595450703758843</v>
      </c>
      <c r="AC89" s="390">
        <f t="shared" si="81"/>
        <v>85.626745224885056</v>
      </c>
      <c r="AD89" s="11"/>
      <c r="AE89" s="389">
        <f t="shared" si="82"/>
        <v>110</v>
      </c>
      <c r="AF89" s="390">
        <f t="shared" si="83"/>
        <v>-10.207909190229911</v>
      </c>
      <c r="AG89" s="390">
        <f t="shared" si="84"/>
        <v>28.046000000000003</v>
      </c>
      <c r="AL89" s="263" t="str">
        <f>IF(AND(360-O40&lt;Load_Ang_E,Settings!$C$13&lt;&gt;"oo"),"Z4E  ","")</f>
        <v/>
      </c>
    </row>
    <row r="90" spans="1:65" ht="13.5">
      <c r="V90" s="22"/>
      <c r="W90" s="22"/>
      <c r="X90" s="22"/>
      <c r="Y90" s="22"/>
      <c r="Z90" s="22"/>
      <c r="AA90" s="389">
        <f t="shared" si="79"/>
        <v>140.92030691155378</v>
      </c>
      <c r="AB90" s="390">
        <f t="shared" si="80"/>
        <v>-71.689625801068246</v>
      </c>
      <c r="AC90" s="390">
        <f t="shared" si="81"/>
        <v>58.218401383981622</v>
      </c>
      <c r="AD90" s="11"/>
      <c r="AE90" s="389">
        <f t="shared" si="82"/>
        <v>169.12738248335361</v>
      </c>
      <c r="AF90" s="390">
        <f t="shared" si="83"/>
        <v>-146.0165969490767</v>
      </c>
      <c r="AG90" s="390">
        <f t="shared" si="84"/>
        <v>28.046000000000028</v>
      </c>
      <c r="AL90" s="263" t="str">
        <f>IF(AND(R40&lt;Load_Ang_E,Settings!$C$13&lt;&gt;"oo"),"Z5E  ","")</f>
        <v/>
      </c>
    </row>
    <row r="91" spans="1:65" ht="13.5">
      <c r="V91" s="22"/>
      <c r="W91" s="22"/>
      <c r="X91" s="22"/>
      <c r="Y91" s="22"/>
      <c r="Z91" s="22"/>
      <c r="AA91" s="389">
        <f t="shared" si="79"/>
        <v>180</v>
      </c>
      <c r="AB91" s="390">
        <f t="shared" si="80"/>
        <v>-92.351419627440393</v>
      </c>
      <c r="AC91" s="390">
        <f t="shared" si="81"/>
        <v>1.131441990651762E-14</v>
      </c>
      <c r="AD91" s="11"/>
      <c r="AE91" s="389">
        <f t="shared" si="82"/>
        <v>180</v>
      </c>
      <c r="AF91" s="390">
        <f t="shared" si="83"/>
        <v>-153.53149999999999</v>
      </c>
      <c r="AG91" s="390">
        <f t="shared" si="84"/>
        <v>1.8809888000480279E-14</v>
      </c>
      <c r="AL91" s="263" t="s">
        <v>707</v>
      </c>
    </row>
    <row r="92" spans="1:65" ht="13.5">
      <c r="V92" s="22"/>
      <c r="W92" s="22"/>
      <c r="X92" s="22"/>
      <c r="Y92" s="22"/>
      <c r="Z92" s="22"/>
      <c r="AA92" s="389">
        <f t="shared" si="79"/>
        <v>209.50284076191775</v>
      </c>
      <c r="AB92" s="390">
        <f t="shared" si="80"/>
        <v>-80.37632927176746</v>
      </c>
      <c r="AC92" s="390">
        <f t="shared" si="81"/>
        <v>-45.48</v>
      </c>
      <c r="AD92" s="11"/>
      <c r="AE92" s="389">
        <f t="shared" si="82"/>
        <v>189.87890464929336</v>
      </c>
      <c r="AF92" s="390">
        <f t="shared" si="83"/>
        <v>-161.04640305092326</v>
      </c>
      <c r="AG92" s="390">
        <f t="shared" si="84"/>
        <v>-28.045999999999939</v>
      </c>
      <c r="AL92" s="263" t="str">
        <f>CONCATENATE(AL89,AL90,AL91)</f>
        <v xml:space="preserve"> settings conflict with Load Encroachment!</v>
      </c>
    </row>
    <row r="93" spans="1:65" ht="13.5">
      <c r="V93" s="22"/>
      <c r="W93" s="22"/>
      <c r="X93" s="22"/>
      <c r="Y93" s="22"/>
      <c r="Z93" s="22"/>
      <c r="AA93" s="389">
        <f t="shared" si="79"/>
        <v>270</v>
      </c>
      <c r="AB93" s="390">
        <f t="shared" si="80"/>
        <v>-1.697162985977643E-14</v>
      </c>
      <c r="AC93" s="390">
        <f t="shared" si="81"/>
        <v>-92.351419627440393</v>
      </c>
      <c r="AD93" s="11"/>
      <c r="AE93" s="389">
        <f t="shared" si="82"/>
        <v>270</v>
      </c>
      <c r="AF93" s="390">
        <f t="shared" si="83"/>
        <v>-5.1540770349550744E-15</v>
      </c>
      <c r="AG93" s="390">
        <f t="shared" si="84"/>
        <v>-28.046000000000003</v>
      </c>
      <c r="AO93" s="609" t="s">
        <v>967</v>
      </c>
      <c r="AP93" s="998">
        <f>AN100</f>
        <v>10.17</v>
      </c>
      <c r="AQ93" s="997">
        <f>AT100</f>
        <v>9.5158079999999998</v>
      </c>
    </row>
    <row r="94" spans="1:65" ht="13.5">
      <c r="V94" s="22"/>
      <c r="W94" s="22"/>
      <c r="X94" s="22"/>
      <c r="Y94" s="22"/>
      <c r="Z94" s="22"/>
      <c r="AA94" s="389">
        <f t="shared" si="79"/>
        <v>292</v>
      </c>
      <c r="AB94" s="390">
        <f t="shared" si="80"/>
        <v>34.595450703758836</v>
      </c>
      <c r="AC94" s="390">
        <f t="shared" si="81"/>
        <v>-85.626745224885056</v>
      </c>
      <c r="AD94" s="11"/>
      <c r="AE94" s="389">
        <f t="shared" si="82"/>
        <v>290</v>
      </c>
      <c r="AF94" s="390">
        <f t="shared" si="83"/>
        <v>10.20790919022992</v>
      </c>
      <c r="AG94" s="390">
        <f t="shared" si="84"/>
        <v>-28.045999999999999</v>
      </c>
      <c r="AO94" s="57" t="s">
        <v>968</v>
      </c>
      <c r="AP94" s="998">
        <f>IF(Settings!$Q$6&lt;&gt;"7SA612",AN104,60)</f>
        <v>60</v>
      </c>
      <c r="AQ94" s="997">
        <f>IF(Settings!$Q$6&lt;&gt;"7SA612",AT104,60)</f>
        <v>60</v>
      </c>
      <c r="AR94" s="101" t="s">
        <v>974</v>
      </c>
      <c r="AS94" s="101" t="s">
        <v>973</v>
      </c>
      <c r="AT94" s="653" t="s">
        <v>973</v>
      </c>
    </row>
    <row r="95" spans="1:65" ht="13.5">
      <c r="V95" s="22"/>
      <c r="W95" s="22"/>
      <c r="X95" s="22"/>
      <c r="Y95" s="22"/>
      <c r="Z95" s="22"/>
      <c r="AA95" s="389">
        <f>X24</f>
        <v>292</v>
      </c>
      <c r="AB95" s="391">
        <f>IF($Y24="",AB94,COS(RADIANS($X24))*$Y24)</f>
        <v>34.595450703758836</v>
      </c>
      <c r="AC95" s="391">
        <f>IF($Y24="",AC94,SIN(RADIANS($X24))*$Y24)</f>
        <v>-85.626745224885056</v>
      </c>
      <c r="AD95" s="11"/>
      <c r="AE95" s="389">
        <f t="shared" si="82"/>
        <v>0</v>
      </c>
      <c r="AF95" s="390">
        <f t="shared" si="83"/>
        <v>10.20790919022992</v>
      </c>
      <c r="AG95" s="390">
        <f t="shared" si="84"/>
        <v>-28.045999999999999</v>
      </c>
      <c r="AI95" s="57" t="s">
        <v>930</v>
      </c>
      <c r="AJ95" s="898">
        <v>0</v>
      </c>
      <c r="AN95" s="57" t="s">
        <v>964</v>
      </c>
      <c r="AO95" s="94" t="b">
        <v>1</v>
      </c>
      <c r="AP95" s="95">
        <f>IF(AO95=TRUE,AP$93,AP$94)</f>
        <v>10.17</v>
      </c>
      <c r="AQ95" s="997">
        <f>IF(AO95=TRUE,AQ$93,AQ$94)</f>
        <v>9.5158079999999998</v>
      </c>
      <c r="AR95" s="101">
        <f>IF($AO$95=TRUE,0,IF($AO$96=TRUE,120,-120))</f>
        <v>0</v>
      </c>
      <c r="AS95" s="101">
        <f>ROUND(IF($AO95=TRUE,$AO$100,IF($AO$96=TRUE,AO106,AO104)),1)</f>
        <v>0</v>
      </c>
      <c r="AT95" s="653">
        <f>ROUND(IF($AO95=TRUE,$AO$100,IF($AO$96=TRUE,AU106,AU104)),1)</f>
        <v>0</v>
      </c>
    </row>
    <row r="96" spans="1:65" ht="13.5">
      <c r="V96" s="22"/>
      <c r="W96" s="22"/>
      <c r="X96" s="22"/>
      <c r="Y96" s="22"/>
      <c r="Z96" s="22"/>
      <c r="AA96" s="389"/>
      <c r="AB96" s="391">
        <f>AB83</f>
        <v>71.689625801068246</v>
      </c>
      <c r="AC96" s="391">
        <f>AC83</f>
        <v>-58.218401383981622</v>
      </c>
      <c r="AD96" s="11"/>
      <c r="AE96" s="389"/>
      <c r="AF96" s="391">
        <f>AF83</f>
        <v>146.01659694907673</v>
      </c>
      <c r="AG96" s="391">
        <f>AG83</f>
        <v>-28.045999999999999</v>
      </c>
      <c r="AN96" s="57" t="s">
        <v>965</v>
      </c>
      <c r="AO96" s="94" t="b">
        <v>0</v>
      </c>
      <c r="AP96" s="95">
        <f>IF(AO96=TRUE,AP$93,AP$94)</f>
        <v>60</v>
      </c>
      <c r="AQ96" s="997">
        <f>IF(AO96=TRUE,AQ$93,AQ$94)</f>
        <v>60</v>
      </c>
      <c r="AR96" s="101">
        <f>IF($AO$96=TRUE,0,IF($AO$97=TRUE,120,-120))</f>
        <v>-120</v>
      </c>
      <c r="AS96" s="101">
        <f>ROUND(IF($AO96=TRUE,$AO$100,IF($AO$95=TRUE,AO104,AO106)),1)</f>
        <v>-146.80000000000001</v>
      </c>
      <c r="AT96" s="653">
        <f>ROUND(IF($AO96=TRUE,$AO$100,IF($AO$95=TRUE,AU104,AU106)),1)</f>
        <v>-147</v>
      </c>
    </row>
    <row r="97" spans="1:49" ht="13.5">
      <c r="V97" s="22"/>
      <c r="W97" s="22"/>
      <c r="X97" s="22"/>
      <c r="Y97" s="22"/>
      <c r="Z97" s="22"/>
      <c r="AA97" s="392">
        <v>0</v>
      </c>
      <c r="AB97" s="390">
        <f t="shared" ref="AB97:AB109" si="87">(TestVSOTF/SOTF_Isc)*COS(RADIANS(AA97))</f>
        <v>92.351419627440393</v>
      </c>
      <c r="AC97" s="390">
        <f t="shared" ref="AC97:AC109" si="88">(TestVSOTF/SOTF_Isc)*SIN(RADIANS(AA97))</f>
        <v>0</v>
      </c>
      <c r="AD97" s="11"/>
      <c r="AE97" s="389"/>
      <c r="AF97" s="390"/>
      <c r="AG97" s="390"/>
      <c r="AI97" s="1189" t="s">
        <v>119</v>
      </c>
      <c r="AJ97" s="1190"/>
      <c r="AN97" s="57" t="s">
        <v>966</v>
      </c>
      <c r="AO97" s="94" t="b">
        <v>0</v>
      </c>
      <c r="AP97" s="95">
        <f>IF(AO97=TRUE,AP$93,AP$94)</f>
        <v>60</v>
      </c>
      <c r="AQ97" s="997">
        <f>IF(AO97=TRUE,AQ$93,AQ$94)</f>
        <v>60</v>
      </c>
      <c r="AR97" s="101">
        <f>IF($AO$97=TRUE,0,IF($AO$95=TRUE,120,-120))</f>
        <v>120</v>
      </c>
      <c r="AS97" s="101">
        <f>ROUND(IF($AO97=TRUE,$AO$100,IF($AO$96=TRUE,AO104,AO106)),1)</f>
        <v>146.80000000000001</v>
      </c>
      <c r="AT97" s="653">
        <f>ROUND(IF($AO97=TRUE,$AO$100,IF($AO$96=TRUE,AU104,AU106)),1)</f>
        <v>147</v>
      </c>
    </row>
    <row r="98" spans="1:49" ht="13.5">
      <c r="V98" s="22"/>
      <c r="W98" s="22"/>
      <c r="X98" s="22"/>
      <c r="Y98" s="22"/>
      <c r="Z98" s="22"/>
      <c r="AA98" s="392">
        <v>30</v>
      </c>
      <c r="AB98" s="390">
        <f t="shared" si="87"/>
        <v>79.978675472920202</v>
      </c>
      <c r="AC98" s="390">
        <f t="shared" si="88"/>
        <v>46.175709813720189</v>
      </c>
      <c r="AD98" s="11"/>
      <c r="AE98" s="392">
        <v>60</v>
      </c>
      <c r="AF98" s="390"/>
      <c r="AG98" s="390"/>
      <c r="AI98" s="155">
        <v>0</v>
      </c>
      <c r="AJ98" s="155">
        <f>COS(RADIANS(LoadAng))*Settings!M58*Settings!M59</f>
        <v>0</v>
      </c>
    </row>
    <row r="99" spans="1:49" ht="13.5">
      <c r="V99" s="22"/>
      <c r="W99" s="22"/>
      <c r="X99" s="22"/>
      <c r="Y99" s="22"/>
      <c r="Z99" s="22"/>
      <c r="AA99" s="392">
        <v>60</v>
      </c>
      <c r="AB99" s="390">
        <f t="shared" si="87"/>
        <v>46.175709813720204</v>
      </c>
      <c r="AC99" s="390">
        <f t="shared" si="88"/>
        <v>79.978675472920187</v>
      </c>
      <c r="AD99" s="11"/>
      <c r="AE99" s="392">
        <v>90</v>
      </c>
      <c r="AF99" s="390"/>
      <c r="AG99" s="390"/>
      <c r="AI99" s="155">
        <v>0</v>
      </c>
      <c r="AJ99" s="155">
        <f>SIN(RADIANS(LoadAng))*Settings!M58*Settings!M59</f>
        <v>0</v>
      </c>
      <c r="AN99" s="983" t="s">
        <v>953</v>
      </c>
      <c r="AO99" s="983"/>
      <c r="AP99" s="983"/>
      <c r="AQ99" s="983"/>
      <c r="AT99" s="414" t="s">
        <v>954</v>
      </c>
      <c r="AU99" s="414"/>
      <c r="AV99" s="414"/>
      <c r="AW99" s="414"/>
    </row>
    <row r="100" spans="1:49" ht="13.5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V100" s="22"/>
      <c r="W100" s="22"/>
      <c r="X100" s="22"/>
      <c r="Y100" s="22"/>
      <c r="Z100" s="22"/>
      <c r="AA100" s="392">
        <v>90</v>
      </c>
      <c r="AB100" s="390">
        <f t="shared" si="87"/>
        <v>5.6572099532588099E-15</v>
      </c>
      <c r="AC100" s="390">
        <f t="shared" si="88"/>
        <v>92.351419627440393</v>
      </c>
      <c r="AD100" s="11"/>
      <c r="AE100" s="392">
        <v>120</v>
      </c>
      <c r="AF100" s="390"/>
      <c r="AG100" s="390"/>
      <c r="AI100" s="1183" t="s">
        <v>120</v>
      </c>
      <c r="AJ100" s="1183"/>
      <c r="AN100" s="610">
        <f>ROUND(TimesTestV_E,2)</f>
        <v>10.17</v>
      </c>
      <c r="AO100" s="610">
        <v>0</v>
      </c>
      <c r="AP100" s="618">
        <f>AN100*COS(RADIANS(AO100))</f>
        <v>10.17</v>
      </c>
      <c r="AQ100" s="611">
        <f>AN100*SIN(RADIANS(AO100))</f>
        <v>0</v>
      </c>
      <c r="AT100" s="610">
        <f>TimesTest_R_V_E</f>
        <v>9.5158079999999998</v>
      </c>
      <c r="AU100" s="610">
        <v>0</v>
      </c>
      <c r="AV100" s="618">
        <f>AT100*COS(RADIANS(AU100))</f>
        <v>9.5158079999999998</v>
      </c>
      <c r="AW100" s="611">
        <f>AT100*SIN(RADIANS(AU100))</f>
        <v>0</v>
      </c>
    </row>
    <row r="101" spans="1:49" ht="13.5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V101" s="22"/>
      <c r="W101" s="22"/>
      <c r="X101" s="22"/>
      <c r="Y101" s="22"/>
      <c r="Z101" s="22"/>
      <c r="AA101" s="392">
        <v>120</v>
      </c>
      <c r="AB101" s="390">
        <f t="shared" si="87"/>
        <v>-46.175709813720175</v>
      </c>
      <c r="AC101" s="390">
        <f t="shared" si="88"/>
        <v>79.978675472920202</v>
      </c>
      <c r="AD101" s="11"/>
      <c r="AE101" s="392">
        <v>150</v>
      </c>
      <c r="AF101" s="390"/>
      <c r="AG101" s="390"/>
      <c r="AI101" s="158">
        <f>COS(RADIANS(RefAng))*100</f>
        <v>100</v>
      </c>
      <c r="AJ101" s="158">
        <f>SIN(RADIANS(RefAng))*100</f>
        <v>0</v>
      </c>
      <c r="AP101" s="619">
        <f>AP100+AP108</f>
        <v>-76.432540378443875</v>
      </c>
      <c r="AQ101" s="620">
        <f>AQ100+AQ108</f>
        <v>-49.999999999999993</v>
      </c>
      <c r="AV101" s="619">
        <f>AV100+AV108</f>
        <v>-77.086732378443884</v>
      </c>
      <c r="AW101" s="620">
        <f>AW100+AW108</f>
        <v>-49.999999999999993</v>
      </c>
    </row>
    <row r="102" spans="1:49" ht="13.5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V102" s="22"/>
      <c r="W102" s="22"/>
      <c r="X102" s="22"/>
      <c r="Y102" s="22"/>
      <c r="Z102" s="22"/>
      <c r="AA102" s="392">
        <v>150</v>
      </c>
      <c r="AB102" s="390">
        <f t="shared" si="87"/>
        <v>-79.978675472920202</v>
      </c>
      <c r="AC102" s="390">
        <f t="shared" si="88"/>
        <v>46.175709813720189</v>
      </c>
      <c r="AD102" s="11"/>
      <c r="AE102" s="392">
        <v>180</v>
      </c>
      <c r="AF102" s="390"/>
      <c r="AG102" s="390"/>
      <c r="AI102" s="158">
        <v>0</v>
      </c>
      <c r="AJ102" s="158">
        <v>0</v>
      </c>
      <c r="AP102" s="619">
        <f>AP101</f>
        <v>-76.432540378443875</v>
      </c>
      <c r="AQ102" s="620">
        <f>-AQ101</f>
        <v>49.999999999999993</v>
      </c>
      <c r="AV102" s="619">
        <f>AV101</f>
        <v>-77.086732378443884</v>
      </c>
      <c r="AW102" s="620">
        <f>-AW101</f>
        <v>49.999999999999993</v>
      </c>
    </row>
    <row r="103" spans="1:49" ht="13.5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V103" s="22"/>
      <c r="W103" s="22"/>
      <c r="X103" s="22"/>
      <c r="Y103" s="22"/>
      <c r="Z103" s="22"/>
      <c r="AA103" s="392">
        <v>180</v>
      </c>
      <c r="AB103" s="390">
        <f t="shared" si="87"/>
        <v>-92.351419627440393</v>
      </c>
      <c r="AC103" s="390">
        <f t="shared" si="88"/>
        <v>1.131441990651762E-14</v>
      </c>
      <c r="AD103" s="11"/>
      <c r="AE103" s="392">
        <v>210</v>
      </c>
      <c r="AF103" s="390"/>
      <c r="AG103" s="390"/>
      <c r="AI103" s="158">
        <f>COS(RADIANS(120+RefAng))*100</f>
        <v>-49.999999999999979</v>
      </c>
      <c r="AJ103" s="158">
        <f>SIN(RADIANS(120+RefAng))*100</f>
        <v>86.602540378443877</v>
      </c>
      <c r="AP103" s="619">
        <f>AP100</f>
        <v>10.17</v>
      </c>
      <c r="AQ103" s="620">
        <f>AQ100</f>
        <v>0</v>
      </c>
      <c r="AV103" s="619">
        <f>AV100</f>
        <v>9.5158079999999998</v>
      </c>
      <c r="AW103" s="620">
        <f>AW100</f>
        <v>0</v>
      </c>
    </row>
    <row r="104" spans="1:49" ht="13.5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V104" s="22"/>
      <c r="W104" s="22"/>
      <c r="X104" s="22"/>
      <c r="Y104" s="22"/>
      <c r="Z104" s="22"/>
      <c r="AA104" s="392">
        <v>210</v>
      </c>
      <c r="AB104" s="390">
        <f t="shared" si="87"/>
        <v>-79.978675472920187</v>
      </c>
      <c r="AC104" s="390">
        <f t="shared" si="88"/>
        <v>-46.175709813720204</v>
      </c>
      <c r="AD104" s="11"/>
      <c r="AE104" s="392">
        <v>240</v>
      </c>
      <c r="AF104" s="390"/>
      <c r="AG104" s="390"/>
      <c r="AI104" s="158">
        <f>COS(RADIANS(240+RefAng))*100</f>
        <v>-50.000000000000043</v>
      </c>
      <c r="AJ104" s="158">
        <f>SIN(RADIANS(240+RefAng))*100</f>
        <v>-86.602540378443834</v>
      </c>
      <c r="AN104" s="612">
        <f>SQRT(AP104^2+AQ104^2)</f>
        <v>91.334184338080405</v>
      </c>
      <c r="AO104" s="613">
        <f>DEGREES(ATAN(AQ104/AP104))-180</f>
        <v>-146.80842648901012</v>
      </c>
      <c r="AP104" s="621">
        <f>AP101</f>
        <v>-76.432540378443875</v>
      </c>
      <c r="AQ104" s="612">
        <f>AQ101</f>
        <v>-49.999999999999993</v>
      </c>
      <c r="AT104" s="612">
        <f>SQRT(AV104^2+AW104^2)</f>
        <v>91.882339482545987</v>
      </c>
      <c r="AU104" s="613">
        <f>DEGREES(ATAN(AW104/AV104))-180</f>
        <v>-147.03174954702064</v>
      </c>
      <c r="AV104" s="621">
        <f>AV101</f>
        <v>-77.086732378443884</v>
      </c>
      <c r="AW104" s="612">
        <f>AW101</f>
        <v>-49.999999999999993</v>
      </c>
    </row>
    <row r="105" spans="1:49" ht="13.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V105" s="22"/>
      <c r="W105" s="22"/>
      <c r="X105" s="22"/>
      <c r="Y105" s="22"/>
      <c r="Z105" s="22"/>
      <c r="AA105" s="392">
        <v>240</v>
      </c>
      <c r="AB105" s="390">
        <f t="shared" si="87"/>
        <v>-46.175709813720239</v>
      </c>
      <c r="AC105" s="390">
        <f t="shared" si="88"/>
        <v>-79.978675472920173</v>
      </c>
      <c r="AD105" s="11"/>
      <c r="AE105" s="392">
        <v>270</v>
      </c>
      <c r="AF105" s="390"/>
      <c r="AG105" s="390"/>
      <c r="AI105" s="158">
        <v>0</v>
      </c>
      <c r="AJ105" s="158">
        <v>0</v>
      </c>
      <c r="AP105" s="57">
        <v>0</v>
      </c>
      <c r="AQ105" s="57">
        <v>0</v>
      </c>
      <c r="AV105" s="57">
        <v>0</v>
      </c>
      <c r="AW105" s="57">
        <v>0</v>
      </c>
    </row>
    <row r="106" spans="1:49" ht="13.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V106" s="22"/>
      <c r="W106" s="22"/>
      <c r="X106" s="22"/>
      <c r="Y106" s="22"/>
      <c r="Z106" s="22"/>
      <c r="AA106" s="392">
        <v>270</v>
      </c>
      <c r="AB106" s="390">
        <f t="shared" si="87"/>
        <v>-1.697162985977643E-14</v>
      </c>
      <c r="AC106" s="390">
        <f t="shared" si="88"/>
        <v>-92.351419627440393</v>
      </c>
      <c r="AD106" s="11"/>
      <c r="AE106" s="392">
        <v>300</v>
      </c>
      <c r="AF106" s="390"/>
      <c r="AG106" s="390"/>
      <c r="AI106" s="1184" t="s">
        <v>121</v>
      </c>
      <c r="AJ106" s="1185"/>
      <c r="AN106" s="615">
        <f>SQRT(AP106^2+AQ106^2)</f>
        <v>91.334184338080405</v>
      </c>
      <c r="AO106" s="616">
        <f>DEGREES(ATAN(AQ106/AP106))+180</f>
        <v>146.80842648901012</v>
      </c>
      <c r="AP106" s="622">
        <f>AP102</f>
        <v>-76.432540378443875</v>
      </c>
      <c r="AQ106" s="615">
        <f>AQ102</f>
        <v>49.999999999999993</v>
      </c>
      <c r="AT106" s="615">
        <f>SQRT(AV106^2+AW106^2)</f>
        <v>91.882339482545987</v>
      </c>
      <c r="AU106" s="616">
        <f>DEGREES(ATAN(AW106/AV106))+180</f>
        <v>147.03174954702064</v>
      </c>
      <c r="AV106" s="622">
        <f>AV102</f>
        <v>-77.086732378443884</v>
      </c>
      <c r="AW106" s="615">
        <f>AW102</f>
        <v>49.999999999999993</v>
      </c>
    </row>
    <row r="107" spans="1:49" ht="13.5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V107" s="22"/>
      <c r="W107" s="22"/>
      <c r="X107" s="22"/>
      <c r="Y107" s="22"/>
      <c r="Z107" s="22"/>
      <c r="AA107" s="392">
        <v>300</v>
      </c>
      <c r="AB107" s="390">
        <f t="shared" si="87"/>
        <v>46.175709813720204</v>
      </c>
      <c r="AC107" s="390">
        <f t="shared" si="88"/>
        <v>-79.978675472920187</v>
      </c>
      <c r="AD107" s="11"/>
      <c r="AE107" s="392">
        <v>330</v>
      </c>
      <c r="AF107" s="390"/>
      <c r="AG107" s="390"/>
      <c r="AI107" s="158">
        <f>COS(RADIANS(RefAng-LoadAng))*35</f>
        <v>24.748737341529164</v>
      </c>
      <c r="AJ107" s="158">
        <f>SIN(RADIANS(RefAng-LoadAng))*35</f>
        <v>-24.748737341529161</v>
      </c>
    </row>
    <row r="108" spans="1:49" ht="13.5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V108" s="22"/>
      <c r="W108" s="22"/>
      <c r="X108" s="22"/>
      <c r="Y108" s="22"/>
      <c r="Z108" s="22"/>
      <c r="AA108" s="392">
        <v>330</v>
      </c>
      <c r="AB108" s="390">
        <f t="shared" si="87"/>
        <v>79.978675472920173</v>
      </c>
      <c r="AC108" s="390">
        <f t="shared" si="88"/>
        <v>-46.175709813720239</v>
      </c>
      <c r="AE108" s="392">
        <v>360</v>
      </c>
      <c r="AF108" s="390"/>
      <c r="AG108" s="390"/>
      <c r="AI108" s="158">
        <v>0</v>
      </c>
      <c r="AJ108" s="158">
        <v>0</v>
      </c>
      <c r="AM108" s="57" t="s">
        <v>75</v>
      </c>
      <c r="AN108" s="95">
        <v>100</v>
      </c>
      <c r="AO108" s="57">
        <v>-150</v>
      </c>
      <c r="AP108" s="619">
        <f>AN108*COS(RADIANS(AO108))</f>
        <v>-86.602540378443877</v>
      </c>
      <c r="AQ108" s="620">
        <f>AN108*SIN(RADIANS(AO108))</f>
        <v>-49.999999999999993</v>
      </c>
      <c r="AS108" s="57" t="s">
        <v>75</v>
      </c>
      <c r="AT108" s="95">
        <v>100</v>
      </c>
      <c r="AU108" s="57">
        <v>-150</v>
      </c>
      <c r="AV108" s="619">
        <f>AT108*COS(RADIANS(AU108))</f>
        <v>-86.602540378443877</v>
      </c>
      <c r="AW108" s="620">
        <f>AT108*SIN(RADIANS(AU108))</f>
        <v>-49.999999999999993</v>
      </c>
    </row>
    <row r="109" spans="1:49" ht="13.5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V109" s="22"/>
      <c r="W109" s="22"/>
      <c r="X109" s="22"/>
      <c r="Y109" s="22"/>
      <c r="Z109" s="22"/>
      <c r="AA109" s="392">
        <v>360</v>
      </c>
      <c r="AB109" s="390">
        <f t="shared" si="87"/>
        <v>92.351419627440393</v>
      </c>
      <c r="AC109" s="390">
        <f t="shared" si="88"/>
        <v>-2.262883981303524E-14</v>
      </c>
      <c r="AD109" s="11"/>
      <c r="AE109" s="393" t="s">
        <v>523</v>
      </c>
      <c r="AF109" s="394">
        <f>COS(RADIANS(AngQ4E))*$AF$113</f>
        <v>155.88479826455617</v>
      </c>
      <c r="AG109" s="394">
        <f>SIN(RADIANS(AngQ4E))*$AF$113</f>
        <v>-62.981546707903426</v>
      </c>
      <c r="AI109" s="158">
        <f>COS(RADIANS(120+RefAng-LoadAng))*35</f>
        <v>9.0586665785882268</v>
      </c>
      <c r="AJ109" s="158">
        <f>SIN(RADIANS(120+RefAng-LoadAng))*35</f>
        <v>33.807403920117387</v>
      </c>
      <c r="AM109" s="57" t="s">
        <v>76</v>
      </c>
      <c r="AN109" s="95">
        <v>100</v>
      </c>
      <c r="AO109" s="57">
        <v>150</v>
      </c>
      <c r="AP109" s="619">
        <f>AN109*COS(RADIANS(AO109))</f>
        <v>-86.602540378443877</v>
      </c>
      <c r="AQ109" s="620">
        <f>AN109*SIN(RADIANS(AO109))</f>
        <v>49.999999999999993</v>
      </c>
      <c r="AS109" s="57" t="s">
        <v>76</v>
      </c>
      <c r="AT109" s="95">
        <v>100</v>
      </c>
      <c r="AU109" s="57">
        <v>150</v>
      </c>
      <c r="AV109" s="619">
        <f>AT109*COS(RADIANS(AU109))</f>
        <v>-86.602540378443877</v>
      </c>
      <c r="AW109" s="620">
        <f>AT109*SIN(RADIANS(AU109))</f>
        <v>49.999999999999993</v>
      </c>
    </row>
    <row r="110" spans="1:49" ht="13.5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V110" s="22"/>
      <c r="W110" s="22"/>
      <c r="X110" s="22"/>
      <c r="Y110" s="22"/>
      <c r="Z110" s="22"/>
      <c r="AA110" s="393" t="s">
        <v>511</v>
      </c>
      <c r="AB110" s="394">
        <f>COS(RADIANS(AngQ4))*$AB$114</f>
        <v>74.593863164402222</v>
      </c>
      <c r="AC110" s="394">
        <f>SIN(RADIANS(AngQ4))*$AB$114</f>
        <v>-30.137877004777557</v>
      </c>
      <c r="AD110" s="11"/>
      <c r="AE110" s="101"/>
      <c r="AF110" s="394">
        <f>COS(RADIANS(AngQ4E+180))*$AF$113</f>
        <v>-155.88479826455617</v>
      </c>
      <c r="AG110" s="394">
        <f>SIN(RADIANS(AngQ4E+180))*$AF$113</f>
        <v>62.981546707903469</v>
      </c>
      <c r="AI110" s="158">
        <f>COS(RADIANS(240+RefAng-LoadAng))*35</f>
        <v>-33.807403920117387</v>
      </c>
      <c r="AJ110" s="158">
        <f>SIN(RADIANS(240+RefAng-LoadAng))*35</f>
        <v>-9.0586665785882285</v>
      </c>
    </row>
    <row r="111" spans="1:49" ht="13.5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V111" s="22"/>
      <c r="W111" s="22"/>
      <c r="X111" s="22"/>
      <c r="Y111" s="22"/>
      <c r="Z111" s="22"/>
      <c r="AA111" s="101"/>
      <c r="AB111" s="394">
        <f>COS(RADIANS(AngQ4+180))*$AB$114</f>
        <v>-74.593863164402222</v>
      </c>
      <c r="AC111" s="394">
        <f>SIN(RADIANS(AngQ4+180))*$AB$114</f>
        <v>30.137877004777575</v>
      </c>
      <c r="AD111" s="11"/>
      <c r="AE111" s="395" t="s">
        <v>524</v>
      </c>
      <c r="AF111" s="396">
        <f>COS(RADIANS(AngQ2E+180))*$AF$113</f>
        <v>78.930925614551725</v>
      </c>
      <c r="AG111" s="396">
        <f>SIN(RADIANS(AngQ2E+180))*$AF$113</f>
        <v>-148.44748073757026</v>
      </c>
      <c r="AI111" s="158">
        <v>0</v>
      </c>
      <c r="AJ111" s="158">
        <v>0</v>
      </c>
    </row>
    <row r="112" spans="1:49" ht="13.5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V112" s="22"/>
      <c r="W112" s="22"/>
      <c r="X112" s="22"/>
      <c r="Y112" s="22"/>
      <c r="Z112" s="22"/>
      <c r="AA112" s="395" t="s">
        <v>512</v>
      </c>
      <c r="AB112" s="396">
        <f>COS(RADIANS(AngQ2))*$AB$114</f>
        <v>-40.226036506672692</v>
      </c>
      <c r="AC112" s="396">
        <f>SIN(RADIANS(AngQ2))*$AB$114</f>
        <v>69.673539016677623</v>
      </c>
      <c r="AD112" s="11"/>
      <c r="AE112" s="395"/>
      <c r="AF112" s="396">
        <f>COS(RADIANS(AngQ2E))*$AF$113</f>
        <v>-78.930925614551811</v>
      </c>
      <c r="AG112" s="396">
        <f>SIN(RADIANS(AngQ2E))*$AF$113</f>
        <v>148.44748073757023</v>
      </c>
      <c r="AI112" s="157" t="str">
        <f>"Current "&amp; IF(LoadAng&lt;0,"Leading by ","Lagging by ")&amp;ROUND(ABS(LoadAng),1)&amp; " Deg."</f>
        <v>Current Lagging by 45 Deg.</v>
      </c>
      <c r="AJ112" s="11"/>
    </row>
    <row r="113" spans="1:38" ht="13.5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V113" s="22"/>
      <c r="W113" s="22"/>
      <c r="X113" s="22"/>
      <c r="Y113" s="22"/>
      <c r="Z113" s="22"/>
      <c r="AA113" s="395" t="s">
        <v>513</v>
      </c>
      <c r="AB113" s="396">
        <f>COS(RADIANS(AngQ2+180))*$AB$114</f>
        <v>40.22603650667272</v>
      </c>
      <c r="AC113" s="396">
        <f>SIN(RADIANS(AngQ2+180))*$AB$114</f>
        <v>-69.673539016677609</v>
      </c>
      <c r="AD113" s="11"/>
      <c r="AE113" s="406" t="s">
        <v>514</v>
      </c>
      <c r="AF113" s="407">
        <f>MAX(MAX(AF49:AF70),ABS(MIN(AF49:AF70)),MAX(AG49:AG70),ABS(MIN(AG49:AG70)))*0.9</f>
        <v>168.1271707836101</v>
      </c>
      <c r="AG113" s="407"/>
    </row>
    <row r="114" spans="1:38" ht="13.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V114" s="22"/>
      <c r="W114" s="22"/>
      <c r="X114" s="22"/>
      <c r="Y114" s="22"/>
      <c r="Z114" s="22"/>
      <c r="AA114" s="406" t="s">
        <v>514</v>
      </c>
      <c r="AB114" s="407">
        <f>MAX(MAX(AB49:AB70),ABS(MIN(AB49:AB70)),MAX(AC49:AC70),ABS(MIN(AC49:AC70)))</f>
        <v>80.452073013345426</v>
      </c>
      <c r="AC114" s="408">
        <v>0</v>
      </c>
      <c r="AD114" s="11"/>
    </row>
    <row r="115" spans="1:38" ht="13.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V115" s="22"/>
      <c r="W115" s="22"/>
      <c r="X115" s="22"/>
      <c r="Y115" s="22"/>
      <c r="Z115" s="22"/>
      <c r="AA115" s="587" t="s">
        <v>706</v>
      </c>
      <c r="AB115" s="588">
        <f>AB116*1.5</f>
        <v>0</v>
      </c>
      <c r="AC115" s="588">
        <f>AC116*1.5</f>
        <v>0</v>
      </c>
      <c r="AD115" s="11"/>
      <c r="AE115" s="587" t="s">
        <v>706</v>
      </c>
      <c r="AF115" s="588">
        <f>AF116*1.5</f>
        <v>0</v>
      </c>
      <c r="AG115" s="588">
        <f>AG116*1.5</f>
        <v>0</v>
      </c>
    </row>
    <row r="116" spans="1:38" ht="13.5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V116" s="22"/>
      <c r="W116" s="22"/>
      <c r="X116" s="22"/>
      <c r="Y116" s="22"/>
      <c r="Z116" s="22"/>
      <c r="AA116" s="587">
        <f>Settings!$I$13</f>
        <v>60</v>
      </c>
      <c r="AB116" s="687">
        <f>AB117</f>
        <v>0</v>
      </c>
      <c r="AC116" s="588">
        <f>IF(Settings!G13="oo",0,2*R_Load*TAN(RADIANS($AA116)))*$AB$138</f>
        <v>0</v>
      </c>
      <c r="AD116" s="11"/>
      <c r="AE116" s="587">
        <f>Settings!$E$13</f>
        <v>60</v>
      </c>
      <c r="AF116" s="588">
        <f>AF117</f>
        <v>0</v>
      </c>
      <c r="AG116" s="588">
        <f>IF(Settings!C13="oo",0,R_Load_E*TAN(RADIANS($AE116)))*$AF$138</f>
        <v>0</v>
      </c>
    </row>
    <row r="117" spans="1:38" ht="13.5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V117" s="22"/>
      <c r="W117" s="22"/>
      <c r="X117" s="22"/>
      <c r="Y117" s="22"/>
      <c r="Z117" s="22"/>
      <c r="AA117" s="589">
        <v>0</v>
      </c>
      <c r="AB117" s="588">
        <f>IF(Settings!G13="oo",0,2*R_Load)*$AB$138</f>
        <v>0</v>
      </c>
      <c r="AC117" s="588">
        <v>0</v>
      </c>
      <c r="AD117" s="11"/>
      <c r="AE117" s="589">
        <v>0</v>
      </c>
      <c r="AF117" s="588">
        <f>IF(Settings!C13="oo",0,R_Load_E)*$AF$138</f>
        <v>0</v>
      </c>
      <c r="AG117" s="588">
        <v>0</v>
      </c>
    </row>
    <row r="118" spans="1:38" ht="13.5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V118" s="22"/>
      <c r="W118" s="22"/>
      <c r="X118" s="22"/>
      <c r="Y118" s="22"/>
      <c r="Z118" s="22"/>
      <c r="AA118" s="587">
        <f>-AA116</f>
        <v>-60</v>
      </c>
      <c r="AB118" s="588">
        <f>AB116</f>
        <v>0</v>
      </c>
      <c r="AC118" s="588">
        <f>-AC116</f>
        <v>0</v>
      </c>
      <c r="AD118" s="11"/>
      <c r="AE118" s="587">
        <f>-AE116</f>
        <v>-60</v>
      </c>
      <c r="AF118" s="588">
        <f>AF116</f>
        <v>0</v>
      </c>
      <c r="AG118" s="588">
        <f>-AG116</f>
        <v>0</v>
      </c>
    </row>
    <row r="119" spans="1:38" ht="13.5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V119" s="22"/>
      <c r="W119" s="22"/>
      <c r="X119" s="22"/>
      <c r="Y119" s="22"/>
      <c r="Z119" s="22"/>
      <c r="AA119" s="587"/>
      <c r="AB119" s="588">
        <f>AB115</f>
        <v>0</v>
      </c>
      <c r="AC119" s="588">
        <f>-AC115</f>
        <v>0</v>
      </c>
      <c r="AD119" s="11"/>
      <c r="AE119" s="587"/>
      <c r="AF119" s="588">
        <f>AF115</f>
        <v>0</v>
      </c>
      <c r="AG119" s="588">
        <f>-AG115</f>
        <v>0</v>
      </c>
    </row>
    <row r="120" spans="1:38" ht="13.5">
      <c r="A120" s="22"/>
      <c r="B120" s="22"/>
      <c r="C120" s="103" t="s">
        <v>105</v>
      </c>
      <c r="I120" s="103" t="s">
        <v>106</v>
      </c>
      <c r="M120" s="22"/>
      <c r="N120" s="22"/>
      <c r="O120" s="22"/>
      <c r="P120" s="22"/>
      <c r="Q120" s="22"/>
      <c r="R120" s="22"/>
      <c r="V120" s="22"/>
      <c r="W120" s="22"/>
      <c r="X120" s="22"/>
      <c r="Y120" s="22"/>
      <c r="Z120" s="22"/>
      <c r="AA120" s="587"/>
      <c r="AB120" s="588">
        <f>-AB115</f>
        <v>0</v>
      </c>
      <c r="AC120" s="588">
        <f>AC115</f>
        <v>0</v>
      </c>
      <c r="AD120" s="11"/>
      <c r="AE120" s="587"/>
      <c r="AF120" s="588">
        <f>-AF115</f>
        <v>0</v>
      </c>
      <c r="AG120" s="588">
        <f>AG115</f>
        <v>0</v>
      </c>
    </row>
    <row r="121" spans="1:38" ht="13.5">
      <c r="A121" s="22"/>
      <c r="B121" s="22"/>
      <c r="C121" s="988">
        <f>C52</f>
        <v>1.7068322981366457</v>
      </c>
      <c r="D121" s="144">
        <f t="shared" ref="D121:D130" si="89">IF(C121&gt;$D$132,E52,"")</f>
        <v>30</v>
      </c>
      <c r="E121" s="149">
        <f>IF(D121="","",MAX(1,20/E52*100))</f>
        <v>66.666666666666657</v>
      </c>
      <c r="F121" s="149">
        <f>E121</f>
        <v>66.666666666666657</v>
      </c>
      <c r="G121" s="24"/>
      <c r="H121" s="24"/>
      <c r="I121" s="148">
        <f>D52</f>
        <v>1.7068322981366457</v>
      </c>
      <c r="J121" s="144">
        <f>IF(AND(I121&gt;$J$132,E52&lt;&gt;""),E52+FD_611,"")</f>
        <v>30</v>
      </c>
      <c r="K121" s="149">
        <f>IF(J121="","",MAX(1,20/E52*100))</f>
        <v>66.666666666666657</v>
      </c>
      <c r="L121" s="149">
        <f>K121</f>
        <v>66.666666666666657</v>
      </c>
      <c r="M121" s="22"/>
      <c r="N121" s="22"/>
      <c r="O121" s="22"/>
      <c r="P121" s="22"/>
      <c r="Q121" s="22"/>
      <c r="R121" s="22"/>
      <c r="V121" s="22"/>
      <c r="W121" s="22"/>
      <c r="X121" s="22"/>
      <c r="Y121" s="22"/>
      <c r="Z121" s="22"/>
      <c r="AA121" s="587"/>
      <c r="AB121" s="588">
        <f>-AB116</f>
        <v>0</v>
      </c>
      <c r="AC121" s="588">
        <f>AC116</f>
        <v>0</v>
      </c>
      <c r="AD121" s="11"/>
      <c r="AE121" s="587"/>
      <c r="AF121" s="588">
        <f>-AF116</f>
        <v>0</v>
      </c>
      <c r="AG121" s="588">
        <f>AG116</f>
        <v>0</v>
      </c>
    </row>
    <row r="122" spans="1:38" ht="13.5">
      <c r="A122" s="22"/>
      <c r="B122" s="22"/>
      <c r="C122" s="988">
        <f>C53</f>
        <v>0.70321490683229804</v>
      </c>
      <c r="D122" s="144">
        <f t="shared" si="89"/>
        <v>30</v>
      </c>
      <c r="E122" s="149">
        <f>IF(D122="","",MAX(1,20/E53*100))</f>
        <v>66.666666666666657</v>
      </c>
      <c r="F122" s="149">
        <f t="shared" ref="F122:F130" si="90">E122</f>
        <v>66.666666666666657</v>
      </c>
      <c r="G122" s="24"/>
      <c r="H122" s="24"/>
      <c r="I122" s="148">
        <f>D53</f>
        <v>0.70321490683229804</v>
      </c>
      <c r="J122" s="144">
        <f t="shared" ref="J122:J130" si="91">IF(AND(I122&gt;$J$132,E53&lt;&gt;""),E53+FD_611,"")</f>
        <v>30</v>
      </c>
      <c r="K122" s="149">
        <f>IF(J122="","",MAX(1,20/E53*100))</f>
        <v>66.666666666666657</v>
      </c>
      <c r="L122" s="149">
        <f t="shared" ref="L122:L130" si="92">K122</f>
        <v>66.666666666666657</v>
      </c>
      <c r="M122" s="22"/>
      <c r="N122" s="22"/>
      <c r="O122" s="22"/>
      <c r="P122" s="22"/>
      <c r="Q122" s="22"/>
      <c r="R122" s="22"/>
      <c r="V122" s="22"/>
      <c r="W122" s="22"/>
      <c r="X122" s="22"/>
      <c r="Y122" s="22"/>
      <c r="Z122" s="22"/>
      <c r="AA122" s="587"/>
      <c r="AB122" s="588">
        <f>-AB117</f>
        <v>0</v>
      </c>
      <c r="AC122" s="588">
        <f>AC117</f>
        <v>0</v>
      </c>
      <c r="AD122" s="11"/>
      <c r="AE122" s="587"/>
      <c r="AF122" s="588">
        <f>-AF117</f>
        <v>0</v>
      </c>
      <c r="AG122" s="588">
        <f>AG117</f>
        <v>0</v>
      </c>
    </row>
    <row r="123" spans="1:38" ht="13.5">
      <c r="A123" s="22"/>
      <c r="B123" s="22"/>
      <c r="C123" s="988" t="str">
        <f>IF(B$55="Not Testable","",C54)</f>
        <v/>
      </c>
      <c r="D123" s="144" t="str">
        <f t="shared" si="89"/>
        <v/>
      </c>
      <c r="E123" s="149" t="str">
        <f>IF(D123="","",IF(AL26="No Overreach","",MAX(1,20/E54*100)))</f>
        <v/>
      </c>
      <c r="F123" s="149" t="str">
        <f t="shared" si="90"/>
        <v/>
      </c>
      <c r="G123" s="24"/>
      <c r="H123" s="24"/>
      <c r="I123" s="148" t="str">
        <f>IF(B$55="Not Testable","",D54)</f>
        <v/>
      </c>
      <c r="J123" s="144" t="str">
        <f t="shared" si="91"/>
        <v/>
      </c>
      <c r="K123" s="149" t="str">
        <f>IF(J123="","",IF(AL26="No Overreach","",MAX(1,20/E54*100)))</f>
        <v/>
      </c>
      <c r="L123" s="149" t="str">
        <f t="shared" si="92"/>
        <v/>
      </c>
      <c r="M123" s="22"/>
      <c r="N123" s="22"/>
      <c r="O123" s="22"/>
      <c r="P123" s="22"/>
      <c r="Q123" s="22"/>
      <c r="R123" s="22"/>
      <c r="V123" s="22"/>
      <c r="W123" s="22"/>
      <c r="X123" s="22"/>
      <c r="Y123" s="22"/>
      <c r="Z123" s="22"/>
      <c r="AA123" s="587"/>
      <c r="AB123" s="588">
        <f>-AB118</f>
        <v>0</v>
      </c>
      <c r="AC123" s="588">
        <f>AC118</f>
        <v>0</v>
      </c>
      <c r="AD123" s="11"/>
      <c r="AE123" s="587"/>
      <c r="AF123" s="588">
        <f>-AF118</f>
        <v>0</v>
      </c>
      <c r="AG123" s="588">
        <f>AG118</f>
        <v>0</v>
      </c>
    </row>
    <row r="124" spans="1:38" ht="13.5">
      <c r="A124" s="22"/>
      <c r="B124" s="22"/>
      <c r="C124" s="988" t="str">
        <f>IF(B$55="Not Testable","",C55)</f>
        <v/>
      </c>
      <c r="D124" s="144" t="str">
        <f t="shared" si="89"/>
        <v/>
      </c>
      <c r="E124" s="149" t="str">
        <f>IF(D124="","",IF(AJ37="No Overreach","",MAX(1,20/E55*100)))</f>
        <v/>
      </c>
      <c r="F124" s="149" t="str">
        <f t="shared" si="90"/>
        <v/>
      </c>
      <c r="G124" s="24"/>
      <c r="H124" s="24"/>
      <c r="I124" s="148" t="str">
        <f>IF(B$55="Not Testable","",D55)</f>
        <v/>
      </c>
      <c r="J124" s="144" t="str">
        <f t="shared" si="91"/>
        <v/>
      </c>
      <c r="K124" s="149" t="str">
        <f>IF(J124="","",IF(AL26="No Overreach","",MAX(1,20/E55*100)))</f>
        <v/>
      </c>
      <c r="L124" s="149" t="str">
        <f t="shared" si="92"/>
        <v/>
      </c>
      <c r="M124" s="22"/>
      <c r="N124" s="22"/>
      <c r="O124" s="22"/>
      <c r="P124" s="22"/>
      <c r="Q124" s="22"/>
      <c r="R124" s="22"/>
      <c r="V124" s="22"/>
      <c r="W124" s="22"/>
      <c r="X124" s="22"/>
      <c r="Y124" s="22"/>
      <c r="Z124" s="22"/>
      <c r="AA124" s="587"/>
      <c r="AB124" s="588">
        <f>-AB119</f>
        <v>0</v>
      </c>
      <c r="AC124" s="588">
        <f>AC119</f>
        <v>0</v>
      </c>
      <c r="AD124" s="11"/>
      <c r="AE124" s="587"/>
      <c r="AF124" s="588">
        <f>-AF119</f>
        <v>0</v>
      </c>
      <c r="AG124" s="588">
        <f>AG119</f>
        <v>0</v>
      </c>
    </row>
    <row r="125" spans="1:38" ht="13.5">
      <c r="A125" s="22"/>
      <c r="B125" s="22"/>
      <c r="C125" s="988">
        <f>IF(B$57="Not Testable","",C56)</f>
        <v>0.66225093167701854</v>
      </c>
      <c r="D125" s="144">
        <f t="shared" si="89"/>
        <v>430</v>
      </c>
      <c r="E125" s="149">
        <f>IF(D125="","",IF(AJ59="No","",MAX(1,20/E56*100)))</f>
        <v>4.6511627906976747</v>
      </c>
      <c r="F125" s="149">
        <f t="shared" si="90"/>
        <v>4.6511627906976747</v>
      </c>
      <c r="G125" s="24"/>
      <c r="H125" s="24"/>
      <c r="I125" s="148">
        <f>IF(B$57="Not Testable","",D56)</f>
        <v>0.66225093167701854</v>
      </c>
      <c r="J125" s="144">
        <f t="shared" si="91"/>
        <v>430</v>
      </c>
      <c r="K125" s="149">
        <f>IF(J125="","",IF(AJ59="No","",MAX(1,20/E56*100)))</f>
        <v>4.6511627906976747</v>
      </c>
      <c r="L125" s="149">
        <f t="shared" si="92"/>
        <v>4.6511627906976747</v>
      </c>
      <c r="M125" s="22"/>
      <c r="N125" s="22"/>
      <c r="O125" s="22"/>
      <c r="P125" s="22"/>
      <c r="Q125" s="22"/>
      <c r="R125" s="22"/>
      <c r="V125" s="22"/>
      <c r="W125" s="22"/>
      <c r="X125" s="22"/>
      <c r="Y125" s="22"/>
      <c r="Z125" s="22"/>
      <c r="AA125" s="591" t="s">
        <v>712</v>
      </c>
      <c r="AB125" s="592">
        <f>2*X_1*(COS(RADIANS(Slope)))</f>
        <v>4.1669866261505843</v>
      </c>
      <c r="AC125" s="593">
        <f>2*X_1</f>
        <v>16.100000000000001</v>
      </c>
      <c r="AD125" s="11"/>
      <c r="AE125" s="591" t="s">
        <v>712</v>
      </c>
      <c r="AF125" s="592">
        <f>EX_1*(COS(RADIANS(Slope)))</f>
        <v>3.8544626291892907</v>
      </c>
      <c r="AG125" s="593">
        <f>EX_1</f>
        <v>14.892500000000002</v>
      </c>
    </row>
    <row r="126" spans="1:38" ht="13.5">
      <c r="A126" s="22"/>
      <c r="B126" s="22"/>
      <c r="C126" s="988">
        <f>IF(B$57="Not Testable","",C57)</f>
        <v>0.46553289473684206</v>
      </c>
      <c r="D126" s="144">
        <f t="shared" si="89"/>
        <v>430</v>
      </c>
      <c r="E126" s="149">
        <f>IF(D126="","",IF(AJ60="No","",MAX(1,20/E57*100)))</f>
        <v>4.6511627906976747</v>
      </c>
      <c r="F126" s="149">
        <f t="shared" si="90"/>
        <v>4.6511627906976747</v>
      </c>
      <c r="G126" s="24"/>
      <c r="H126" s="24"/>
      <c r="I126" s="148">
        <f>IF(B$57="Not Testable","",D57)</f>
        <v>0.46553289473684212</v>
      </c>
      <c r="J126" s="144">
        <f t="shared" si="91"/>
        <v>430</v>
      </c>
      <c r="K126" s="149">
        <f>IF(J126="","",IF(AJ60="No","",MAX(1,20/E57*100)))</f>
        <v>4.6511627906976747</v>
      </c>
      <c r="L126" s="149">
        <f t="shared" si="92"/>
        <v>4.6511627906976747</v>
      </c>
      <c r="M126" s="22"/>
      <c r="N126" s="22"/>
      <c r="O126" s="22"/>
      <c r="P126" s="22"/>
      <c r="Q126" s="22"/>
      <c r="R126" s="22"/>
      <c r="V126" s="22"/>
      <c r="W126" s="22"/>
      <c r="X126" s="22"/>
      <c r="Y126" s="22"/>
      <c r="Z126" s="22"/>
      <c r="AA126" s="591"/>
      <c r="AB126" s="595">
        <f>AC131*COS(RADIANS(Slope))+2*R_1</f>
        <v>31.584292053873163</v>
      </c>
      <c r="AC126" s="595">
        <f>AC131*SIN(RADIANS(Slope))</f>
        <v>16.063836635669645</v>
      </c>
      <c r="AD126" s="11"/>
      <c r="AE126" s="449"/>
      <c r="AF126" s="592">
        <f>AG131*COS(RADIANS(Slope))+ER_1</f>
        <v>80.737570149832692</v>
      </c>
      <c r="AG126" s="593">
        <f>AG131*SIN(RADIANS(Slope))</f>
        <v>14.859048887994422</v>
      </c>
      <c r="AL126" s="594"/>
    </row>
    <row r="127" spans="1:38" ht="13.5">
      <c r="A127" s="22"/>
      <c r="C127" s="988" t="str">
        <f>IF(B$59="Not Testable","",C58)</f>
        <v/>
      </c>
      <c r="D127" s="144" t="str">
        <f t="shared" si="89"/>
        <v/>
      </c>
      <c r="E127" s="149" t="str">
        <f>IF(D127="","",IF(B58="","",MAX(1,20/E58*100)))</f>
        <v/>
      </c>
      <c r="F127" s="149" t="str">
        <f t="shared" si="90"/>
        <v/>
      </c>
      <c r="G127" s="24"/>
      <c r="H127" s="24"/>
      <c r="I127" s="148" t="str">
        <f>IF(B$59="Not Testable","",D58)</f>
        <v/>
      </c>
      <c r="J127" s="144" t="str">
        <f t="shared" si="91"/>
        <v/>
      </c>
      <c r="K127" s="149" t="str">
        <f>IF(J127="","",IF(B58="","",MAX(1,20/E58*100)))</f>
        <v/>
      </c>
      <c r="L127" s="149" t="str">
        <f t="shared" si="92"/>
        <v/>
      </c>
      <c r="M127" s="22"/>
      <c r="N127" s="22"/>
      <c r="O127" s="22"/>
      <c r="P127" s="22"/>
      <c r="Q127" s="22"/>
      <c r="R127" s="22"/>
      <c r="V127" s="22"/>
      <c r="W127" s="22"/>
      <c r="X127" s="22"/>
      <c r="Y127" s="22"/>
      <c r="Z127" s="22"/>
      <c r="AA127" s="153"/>
      <c r="AB127" s="11"/>
      <c r="AC127" s="11"/>
      <c r="AD127" s="11"/>
      <c r="AE127" s="20"/>
      <c r="AF127" s="11"/>
      <c r="AG127" s="11"/>
      <c r="AL127" s="594"/>
    </row>
    <row r="128" spans="1:38" ht="13.5">
      <c r="A128" s="22"/>
      <c r="B128" s="22"/>
      <c r="C128" s="988" t="str">
        <f>IF(B$59="Not Testable","",C59)</f>
        <v/>
      </c>
      <c r="D128" s="144" t="str">
        <f t="shared" si="89"/>
        <v/>
      </c>
      <c r="E128" s="149" t="str">
        <f>IF(D128="","",IF(B59="","",MAX(1,20/E59*100)))</f>
        <v/>
      </c>
      <c r="F128" s="149" t="str">
        <f t="shared" si="90"/>
        <v/>
      </c>
      <c r="G128" s="24"/>
      <c r="H128" s="24"/>
      <c r="I128" s="148" t="str">
        <f>IF(B$59="Not Testable","",D59)</f>
        <v/>
      </c>
      <c r="J128" s="144" t="str">
        <f t="shared" si="91"/>
        <v/>
      </c>
      <c r="K128" s="149" t="str">
        <f>IF(J128="","",IF(B59="","",MAX(1,20/E59*100)))</f>
        <v/>
      </c>
      <c r="L128" s="149" t="str">
        <f t="shared" si="92"/>
        <v/>
      </c>
      <c r="M128" s="22"/>
      <c r="N128" s="22"/>
      <c r="O128" s="22"/>
      <c r="P128" s="22"/>
      <c r="Q128" s="22"/>
      <c r="R128" s="22"/>
      <c r="V128" s="22"/>
      <c r="W128" s="22"/>
      <c r="X128" s="22"/>
      <c r="Y128" s="22"/>
      <c r="Z128" s="22"/>
      <c r="AA128" s="56"/>
      <c r="AB128" s="599" t="s">
        <v>712</v>
      </c>
      <c r="AC128" s="516"/>
      <c r="AE128" s="607"/>
      <c r="AF128" s="599" t="s">
        <v>712</v>
      </c>
      <c r="AG128" s="593"/>
    </row>
    <row r="129" spans="1:33">
      <c r="A129" s="22"/>
      <c r="B129" s="22"/>
      <c r="C129" s="988">
        <f>IF(B$61="Not Testable","",C60)</f>
        <v>0.4380199006578947</v>
      </c>
      <c r="D129" s="144">
        <f t="shared" si="89"/>
        <v>930</v>
      </c>
      <c r="E129" s="150">
        <f>IF(D129="","",IF(B60="No Op","",MAX(1,20/E60*100)))</f>
        <v>2.1505376344086025</v>
      </c>
      <c r="F129" s="150">
        <f t="shared" si="90"/>
        <v>2.1505376344086025</v>
      </c>
      <c r="G129" s="24"/>
      <c r="H129" s="24"/>
      <c r="I129" s="148">
        <f>IF(B$61="Not Testable","",D60)</f>
        <v>0.43801990065789476</v>
      </c>
      <c r="J129" s="144">
        <f t="shared" si="91"/>
        <v>930</v>
      </c>
      <c r="K129" s="149">
        <f>IF(J129="","",IF(B60="No Op","",MAX(1,20/E60*100)))</f>
        <v>2.1505376344086025</v>
      </c>
      <c r="L129" s="149">
        <f t="shared" si="92"/>
        <v>2.1505376344086025</v>
      </c>
      <c r="M129" s="22"/>
      <c r="N129" s="22"/>
      <c r="O129" s="22"/>
      <c r="P129" s="22"/>
      <c r="Q129" s="22"/>
      <c r="R129" s="22"/>
      <c r="V129" s="22"/>
      <c r="W129" s="22"/>
      <c r="X129" s="22"/>
      <c r="Y129" s="22"/>
      <c r="Z129" s="22"/>
      <c r="AA129" s="56"/>
      <c r="AB129" s="516" t="s">
        <v>713</v>
      </c>
      <c r="AC129" s="524">
        <f>SQRT((2*X_1*(COS(RADIANS(Slope))))^2+(2*X_1)^2)</f>
        <v>16.630507434907628</v>
      </c>
      <c r="AE129" s="607"/>
      <c r="AF129" s="516" t="s">
        <v>713</v>
      </c>
      <c r="AG129" s="524">
        <f>SQRT((EX_1*(COS(RADIANS(Slope))))^2+(EX_1)^2)</f>
        <v>15.383219377289556</v>
      </c>
    </row>
    <row r="130" spans="1:33">
      <c r="A130" s="22"/>
      <c r="B130" s="22"/>
      <c r="C130" s="988">
        <f>IF(B$61="Not Testable","",C61)</f>
        <v>0.2472</v>
      </c>
      <c r="D130" s="144">
        <f t="shared" si="89"/>
        <v>930</v>
      </c>
      <c r="E130" s="151">
        <f>IF(D130="","",IF(B61="","",MAX(1,ROUND((E61+15)/E61*100-100,0))))</f>
        <v>2</v>
      </c>
      <c r="F130" s="151">
        <f t="shared" si="90"/>
        <v>2</v>
      </c>
      <c r="G130" s="24"/>
      <c r="H130" s="24"/>
      <c r="I130" s="148">
        <f>IF(B$61="Not Testable","",D61)</f>
        <v>0.2472</v>
      </c>
      <c r="J130" s="144">
        <f t="shared" si="91"/>
        <v>930</v>
      </c>
      <c r="K130" s="149">
        <f>IF(J130="","",IF(B61="","",MAX(1,20/E61*100)))</f>
        <v>2.1505376344086025</v>
      </c>
      <c r="L130" s="149">
        <f t="shared" si="92"/>
        <v>2.1505376344086025</v>
      </c>
      <c r="M130" s="22"/>
      <c r="N130" s="22"/>
      <c r="O130" s="22"/>
      <c r="P130" s="22"/>
      <c r="Q130" s="22"/>
      <c r="R130" s="22"/>
      <c r="V130" s="22"/>
      <c r="W130" s="22"/>
      <c r="X130" s="22"/>
      <c r="Y130" s="22"/>
      <c r="Z130" s="22"/>
      <c r="AA130" s="56"/>
      <c r="AB130" s="516" t="s">
        <v>714</v>
      </c>
      <c r="AC130" s="524">
        <f>2*R_1*SIN(RADIANS(Load_Comp))/SIN(RADIANS(180-Load_Comp-Slope))</f>
        <v>0</v>
      </c>
      <c r="AE130" s="607"/>
      <c r="AF130" s="516" t="s">
        <v>714</v>
      </c>
      <c r="AG130" s="524">
        <f>ER_1*SIN(RADIANS(Load_Comp))/SIN(RADIANS(180-Load_Comp-Slope))</f>
        <v>0</v>
      </c>
    </row>
    <row r="131" spans="1:33">
      <c r="A131" s="22"/>
      <c r="B131" s="22"/>
      <c r="C131" s="988">
        <f>C62</f>
        <v>0.23259047999999999</v>
      </c>
      <c r="D131" s="144"/>
      <c r="E131" s="151"/>
      <c r="F131" s="151"/>
      <c r="G131" s="24"/>
      <c r="H131" s="24"/>
      <c r="I131" s="148">
        <f>D62</f>
        <v>0.23259047999999999</v>
      </c>
      <c r="J131" s="144"/>
      <c r="K131" s="149"/>
      <c r="L131" s="149"/>
      <c r="M131" s="22"/>
      <c r="N131" s="22"/>
      <c r="O131" s="22"/>
      <c r="P131" s="22"/>
      <c r="Q131" s="22"/>
      <c r="R131" s="22"/>
      <c r="V131" s="22"/>
      <c r="W131" s="22"/>
      <c r="X131" s="22"/>
      <c r="Y131" s="22"/>
      <c r="Z131" s="22"/>
      <c r="AA131" s="56"/>
      <c r="AB131" s="516" t="s">
        <v>715</v>
      </c>
      <c r="AC131" s="524">
        <f>(AC129-AC130)</f>
        <v>16.630507434907628</v>
      </c>
      <c r="AE131" s="607"/>
      <c r="AF131" s="516" t="s">
        <v>715</v>
      </c>
      <c r="AG131" s="524">
        <f>(AG129-AG130)</f>
        <v>15.383219377289556</v>
      </c>
    </row>
    <row r="132" spans="1:33">
      <c r="A132" s="22"/>
      <c r="B132" s="22"/>
      <c r="C132" s="3" t="s">
        <v>104</v>
      </c>
      <c r="D132" s="24">
        <f>J_</f>
        <v>0.16</v>
      </c>
      <c r="E132" s="24"/>
      <c r="F132" s="24"/>
      <c r="G132" s="24"/>
      <c r="H132" s="24"/>
      <c r="I132" s="3" t="s">
        <v>104</v>
      </c>
      <c r="J132" s="24">
        <f>MAX(Je_,J_)</f>
        <v>0.16</v>
      </c>
      <c r="K132" s="24"/>
      <c r="L132" s="24"/>
      <c r="M132" s="22"/>
      <c r="N132" s="22"/>
      <c r="O132" s="22"/>
      <c r="P132" s="22"/>
      <c r="Q132" s="22"/>
      <c r="R132" s="22"/>
      <c r="V132" s="22"/>
      <c r="W132" s="22"/>
      <c r="X132" s="22"/>
      <c r="Y132" s="22"/>
      <c r="Z132" s="22"/>
      <c r="AA132" s="56"/>
      <c r="AB132" s="516" t="s">
        <v>717</v>
      </c>
      <c r="AC132" s="600">
        <f>AC131*COS(RADIANS(Slope))+2*R_1</f>
        <v>31.584292053873163</v>
      </c>
      <c r="AE132" s="607"/>
      <c r="AF132" s="516" t="s">
        <v>717</v>
      </c>
      <c r="AG132" s="600">
        <f>AG131*COS(RADIANS(Slope))+ER_1</f>
        <v>80.737570149832692</v>
      </c>
    </row>
    <row r="133" spans="1:33">
      <c r="A133" s="22"/>
      <c r="B133" s="22"/>
      <c r="C133" s="3"/>
      <c r="D133" s="24"/>
      <c r="E133" s="24"/>
      <c r="F133" s="24"/>
      <c r="G133" s="24"/>
      <c r="H133" s="24"/>
      <c r="I133" s="24"/>
      <c r="J133" s="24"/>
      <c r="K133" s="24"/>
      <c r="L133" s="24"/>
      <c r="M133" s="22"/>
      <c r="N133" s="22"/>
      <c r="O133" s="22"/>
      <c r="P133" s="22"/>
      <c r="Q133" s="22"/>
      <c r="R133" s="22"/>
      <c r="V133" s="22"/>
      <c r="W133" s="22"/>
      <c r="X133" s="22"/>
      <c r="Y133" s="22"/>
      <c r="Z133" s="22"/>
      <c r="AA133" s="56"/>
      <c r="AB133" s="601" t="s">
        <v>716</v>
      </c>
      <c r="AC133" s="602">
        <f>AC131*SIN(RADIANS(Slope))</f>
        <v>16.063836635669645</v>
      </c>
      <c r="AE133" s="607"/>
      <c r="AF133" s="516" t="s">
        <v>716</v>
      </c>
      <c r="AG133" s="602">
        <f>AG131*SIN(RADIANS(Slope))</f>
        <v>14.859048887994422</v>
      </c>
    </row>
    <row r="134" spans="1:33">
      <c r="A134" s="22"/>
      <c r="B134" s="22"/>
      <c r="C134" s="988" t="str">
        <f>IF(B$68="Not Testable","",C67)</f>
        <v/>
      </c>
      <c r="D134" s="144">
        <f>IF(C134&gt;$D$132,E67,"")</f>
        <v>430</v>
      </c>
      <c r="E134" s="149">
        <f>IF(D134="","",IF(B67="","",MAX(1,20/E67*100)))</f>
        <v>4.6511627906976747</v>
      </c>
      <c r="F134" s="149">
        <f>E134</f>
        <v>4.6511627906976747</v>
      </c>
      <c r="G134" s="24"/>
      <c r="H134" s="24"/>
      <c r="I134" s="148" t="str">
        <f>IF(B$68="Not Testable","",D67)</f>
        <v/>
      </c>
      <c r="J134" s="144">
        <f>IF(AND(I134&gt;$J$132,E67&lt;&gt;""),E67+FD_611,"")</f>
        <v>430</v>
      </c>
      <c r="K134" s="149">
        <f>IF(J134="","",IF(B67="","",MAX(1,20/E67*100)))</f>
        <v>4.6511627906976747</v>
      </c>
      <c r="L134" s="149">
        <f>K134</f>
        <v>4.6511627906976747</v>
      </c>
      <c r="M134" s="22"/>
      <c r="N134" s="22"/>
      <c r="O134" s="22"/>
      <c r="P134" s="22"/>
      <c r="Q134" s="22"/>
      <c r="R134" s="22"/>
      <c r="V134" s="22"/>
      <c r="W134" s="22"/>
      <c r="X134" s="22"/>
      <c r="Y134" s="22"/>
      <c r="Z134" s="22"/>
      <c r="AA134" s="449" t="s">
        <v>719</v>
      </c>
      <c r="AB134" s="603">
        <f>DEGREES(ATAN(AC125/AB125))</f>
        <v>75.489181300930142</v>
      </c>
      <c r="AC134" s="604">
        <f>SQRT(AB125^2+AC125^2)</f>
        <v>16.630507434907628</v>
      </c>
      <c r="AE134" s="449" t="s">
        <v>719</v>
      </c>
      <c r="AF134" s="603">
        <f>DEGREES(ATAN(AG125/AF125))</f>
        <v>75.489181300930142</v>
      </c>
      <c r="AG134" s="604">
        <f>SQRT(AF125^2+AG125^2)</f>
        <v>15.383219377289556</v>
      </c>
    </row>
    <row r="135" spans="1:33">
      <c r="A135" s="22"/>
      <c r="B135" s="22"/>
      <c r="C135" s="988" t="str">
        <f>IF(B$68="Not Testable","",C68)</f>
        <v/>
      </c>
      <c r="D135" s="144">
        <f>IF(C135&gt;$D$132,E68,"")</f>
        <v>430</v>
      </c>
      <c r="E135" s="149">
        <f>IF(D135="","",IF(B68="","",MAX(1,20/E68*100)))</f>
        <v>4.6511627906976747</v>
      </c>
      <c r="F135" s="149">
        <f>E135</f>
        <v>4.6511627906976747</v>
      </c>
      <c r="G135" s="24"/>
      <c r="H135" s="24"/>
      <c r="I135" s="148" t="str">
        <f>IF(B$68="Not Testable","",D68)</f>
        <v/>
      </c>
      <c r="J135" s="144">
        <f>IF(AND(I135&gt;$J$132,E68&lt;&gt;""),E68+FD_611,"")</f>
        <v>430</v>
      </c>
      <c r="K135" s="149">
        <f>IF(J135="","",IF(B68="","",MAX(1,20/E68*100)))</f>
        <v>4.6511627906976747</v>
      </c>
      <c r="L135" s="149">
        <f>K135</f>
        <v>4.6511627906976747</v>
      </c>
      <c r="M135" s="22"/>
      <c r="N135" s="22"/>
      <c r="O135" s="22"/>
      <c r="P135" s="22"/>
      <c r="Q135" s="22"/>
      <c r="R135" s="22"/>
      <c r="V135" s="22"/>
      <c r="W135" s="22"/>
      <c r="X135" s="22"/>
      <c r="Y135" s="22"/>
      <c r="Z135" s="22"/>
      <c r="AA135" s="449" t="s">
        <v>720</v>
      </c>
      <c r="AB135" s="603">
        <f>(AB134+Load_Comp_Ang)/2</f>
        <v>51.223582294493035</v>
      </c>
      <c r="AC135" s="604">
        <f>(TAN(RADIANS(Load_Comp))*AB125+2*X_1)*SIN(RADIANS(90-Load_Comp))/SIN(RADIANS(Load_Comp+AB135))</f>
        <v>20.65172742044178</v>
      </c>
      <c r="AE135" s="449" t="s">
        <v>720</v>
      </c>
      <c r="AF135" s="603">
        <f>(AF134+Load_comp_Ang_E)/2</f>
        <v>42.958639838857096</v>
      </c>
      <c r="AG135" s="604">
        <f>(TAN(RADIANS(Load_Comp))*AF125+EX_1)*SIN(RADIANS(90-Load_Comp))/SIN(RADIANS(Load_Comp+AF135))</f>
        <v>21.853485506959849</v>
      </c>
    </row>
    <row r="136" spans="1:33">
      <c r="A136" s="22"/>
      <c r="B136" s="22"/>
      <c r="C136" s="988">
        <f>IF(B$70="Not Testable","",C69)</f>
        <v>6.7001064077419343</v>
      </c>
      <c r="D136" s="144">
        <f>IF(C136&gt;$D$132,E69,"")</f>
        <v>1130</v>
      </c>
      <c r="E136" s="149">
        <f>IF(D136="","",IF(B69="No Op","",MAX(1,20/E69*100)))</f>
        <v>1.7699115044247788</v>
      </c>
      <c r="F136" s="149">
        <f>E136</f>
        <v>1.7699115044247788</v>
      </c>
      <c r="G136" s="24"/>
      <c r="H136" s="24"/>
      <c r="I136" s="148">
        <f>IF(B$70="Not Testable","",D69)</f>
        <v>5.3600851261935487</v>
      </c>
      <c r="J136" s="144">
        <f>IF(AND(I136&gt;$J$132,E69&lt;&gt;""),E69+FD_611,"")</f>
        <v>1130</v>
      </c>
      <c r="K136" s="149">
        <f>IF(J136="","",IF(B69="No Op","",MAX(1,20/E69*100)))</f>
        <v>1.7699115044247788</v>
      </c>
      <c r="L136" s="149">
        <f>K136</f>
        <v>1.7699115044247788</v>
      </c>
      <c r="M136" s="22"/>
      <c r="N136" s="22"/>
      <c r="P136" s="22"/>
      <c r="Q136" s="22"/>
      <c r="R136" s="22"/>
      <c r="V136" s="22"/>
      <c r="W136" s="22"/>
      <c r="X136" s="22"/>
      <c r="Y136" s="22"/>
      <c r="Z136" s="22"/>
      <c r="AA136" s="449" t="s">
        <v>718</v>
      </c>
      <c r="AB136" s="605">
        <f>DEGREES(ATAN(AC133/AC132))</f>
        <v>26.957983288055928</v>
      </c>
      <c r="AC136" s="606">
        <f>SQRT(AC133^2+AC132^2)</f>
        <v>35.43464903172935</v>
      </c>
      <c r="AE136" s="449" t="s">
        <v>718</v>
      </c>
      <c r="AF136" s="605">
        <f>DEGREES(ATAN(AG133/AG132))</f>
        <v>10.428098376784057</v>
      </c>
      <c r="AG136" s="606">
        <f>SQRT(AG133^2+AG132^2)</f>
        <v>82.093523298461022</v>
      </c>
    </row>
    <row r="137" spans="1:33">
      <c r="A137" s="22"/>
      <c r="B137" s="22"/>
      <c r="C137" s="988">
        <f>IF(B$70="Not Testable","",C70)</f>
        <v>0.24719999999999998</v>
      </c>
      <c r="D137" s="144">
        <f>IF(C137&gt;$D$132,E70,"")</f>
        <v>1130</v>
      </c>
      <c r="E137" s="149">
        <f>IF(D137="","",IF(B70="","",MAX(1,20/E70*100)))</f>
        <v>1.7699115044247788</v>
      </c>
      <c r="F137" s="149">
        <f>E137</f>
        <v>1.7699115044247788</v>
      </c>
      <c r="G137" s="24"/>
      <c r="H137" s="24"/>
      <c r="I137" s="148">
        <f>IF(B$70="Not Testable","",D70)</f>
        <v>0.19775999999999999</v>
      </c>
      <c r="J137" s="144">
        <f>IF(AND(I137&gt;$J$132,E70&lt;&gt;""),E70+FD_611,"")</f>
        <v>1130</v>
      </c>
      <c r="K137" s="149">
        <f>IF(J137="","",IF(B70="","",MAX(1,20/E70*100)))</f>
        <v>1.7699115044247788</v>
      </c>
      <c r="L137" s="149">
        <f>K137</f>
        <v>1.7699115044247788</v>
      </c>
      <c r="M137" s="22"/>
      <c r="N137" s="22"/>
      <c r="O137" s="22"/>
      <c r="P137" s="22"/>
      <c r="Q137" s="22"/>
      <c r="R137" s="22"/>
      <c r="V137" s="22"/>
      <c r="W137" s="22"/>
      <c r="X137" s="22"/>
      <c r="Y137" s="22"/>
      <c r="Z137" s="22"/>
      <c r="AA137" s="609" t="s">
        <v>797</v>
      </c>
      <c r="AB137" s="609">
        <f>IF(Settings!T59=TRUE,1,0)</f>
        <v>0</v>
      </c>
      <c r="AC137" s="681">
        <f>110/J_</f>
        <v>687.5</v>
      </c>
      <c r="AE137" s="609" t="s">
        <v>797</v>
      </c>
      <c r="AF137" s="609">
        <f>IF(Settings!U59=TRUE,1,0)</f>
        <v>0</v>
      </c>
      <c r="AG137" s="681">
        <f>63/Je_</f>
        <v>393.75</v>
      </c>
    </row>
    <row r="138" spans="1:33">
      <c r="A138" s="22"/>
      <c r="B138" s="22"/>
      <c r="C138" s="988">
        <f>C71</f>
        <v>0.23259047999999996</v>
      </c>
      <c r="D138" s="144"/>
      <c r="E138" s="149"/>
      <c r="F138" s="149"/>
      <c r="G138" s="24"/>
      <c r="H138" s="24"/>
      <c r="I138" s="148">
        <f>D71</f>
        <v>0.18607238399999998</v>
      </c>
      <c r="J138" s="144"/>
      <c r="K138" s="149"/>
      <c r="L138" s="149"/>
      <c r="M138" s="22"/>
      <c r="N138" s="22"/>
      <c r="O138" s="22"/>
      <c r="P138" s="22"/>
      <c r="Q138" s="22"/>
      <c r="R138" s="22"/>
      <c r="V138" s="22"/>
      <c r="W138" s="22"/>
      <c r="X138" s="22"/>
      <c r="Y138" s="22"/>
      <c r="Z138" s="22"/>
      <c r="AA138" s="609" t="s">
        <v>805</v>
      </c>
      <c r="AB138" s="609">
        <f>IF(Settings!T60=TRUE,1,0)</f>
        <v>0</v>
      </c>
      <c r="AE138" s="609" t="s">
        <v>805</v>
      </c>
      <c r="AF138" s="609">
        <f>IF(Settings!U60=TRUE,1,0)</f>
        <v>0</v>
      </c>
    </row>
    <row r="139" spans="1:33">
      <c r="A139" s="22"/>
      <c r="B139" s="22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2"/>
      <c r="N139" s="22"/>
      <c r="O139" s="22"/>
      <c r="P139" s="22"/>
      <c r="Q139" s="22"/>
      <c r="R139" s="22"/>
      <c r="V139" s="22"/>
      <c r="W139" s="22"/>
      <c r="X139" s="22"/>
      <c r="Y139" s="22"/>
      <c r="Z139" s="22"/>
      <c r="AA139" s="609" t="s">
        <v>802</v>
      </c>
      <c r="AB139" s="609">
        <f>IF(Settings!T61=TRUE,1,0)</f>
        <v>1</v>
      </c>
      <c r="AE139" s="609" t="s">
        <v>802</v>
      </c>
      <c r="AF139" s="609">
        <f>IF(Settings!U61=TRUE,1,0)</f>
        <v>1</v>
      </c>
    </row>
    <row r="140" spans="1:33" ht="13.5">
      <c r="A140" s="22"/>
      <c r="B140" s="22"/>
      <c r="C140" s="22"/>
      <c r="D140" s="22"/>
      <c r="E140" s="22"/>
      <c r="F140" s="22"/>
      <c r="G140" s="22"/>
      <c r="H140" s="22"/>
      <c r="I140" s="81"/>
      <c r="J140" s="22"/>
      <c r="K140" s="22"/>
      <c r="L140" s="22"/>
      <c r="M140" s="22"/>
      <c r="N140" s="22"/>
      <c r="O140" s="22"/>
      <c r="P140" s="22"/>
      <c r="Q140" s="22"/>
      <c r="R140" s="22"/>
      <c r="V140" s="22"/>
      <c r="W140" s="22"/>
      <c r="X140" s="22"/>
      <c r="Y140" s="22"/>
      <c r="Z140" s="22"/>
      <c r="AA140" s="609" t="s">
        <v>803</v>
      </c>
      <c r="AB140" s="609">
        <f>IF(Settings!T62=TRUE,1,0)</f>
        <v>1</v>
      </c>
      <c r="AD140" s="11"/>
      <c r="AE140" s="609" t="s">
        <v>803</v>
      </c>
      <c r="AF140" s="609">
        <f>IF(Settings!U62=TRUE,1,0)</f>
        <v>1</v>
      </c>
    </row>
    <row r="141" spans="1:33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V141" s="22"/>
      <c r="W141" s="22"/>
      <c r="X141" s="22"/>
      <c r="Y141" s="22"/>
      <c r="Z141" s="22"/>
      <c r="AA141" s="609" t="s">
        <v>804</v>
      </c>
      <c r="AB141" s="609">
        <f>IF(Settings!T63=TRUE,1,0)</f>
        <v>1</v>
      </c>
      <c r="AE141" s="609" t="s">
        <v>804</v>
      </c>
      <c r="AF141" s="609">
        <f>IF(Settings!U63=TRUE,1,0)</f>
        <v>1</v>
      </c>
    </row>
    <row r="142" spans="1:33" ht="13.5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V142" s="22"/>
      <c r="W142" s="22"/>
      <c r="X142" s="22"/>
      <c r="Y142" s="22"/>
      <c r="Z142" s="22"/>
      <c r="AA142" s="682">
        <v>0</v>
      </c>
      <c r="AB142" s="608">
        <f t="shared" ref="AB142:AB166" si="93">Max_Z*COS(RADIANS($AA142))*$AB$137</f>
        <v>0</v>
      </c>
      <c r="AC142" s="608">
        <f t="shared" ref="AC142:AC166" si="94">Max_Z*SIN(RADIANS($AA142))*$AB$137</f>
        <v>0</v>
      </c>
      <c r="AD142" s="11"/>
      <c r="AE142" s="682">
        <v>0</v>
      </c>
      <c r="AF142" s="608">
        <f t="shared" ref="AF142:AF166" si="95">Max_Ze*COS(RADIANS($AE142))*$AF$137</f>
        <v>0</v>
      </c>
      <c r="AG142" s="608">
        <f t="shared" ref="AG142:AG166" si="96">Max_Ze*SIN(RADIANS($AE142))*$AF$137</f>
        <v>0</v>
      </c>
    </row>
    <row r="143" spans="1:33" ht="13.5">
      <c r="A143" s="22"/>
      <c r="B143" s="22"/>
      <c r="C143" s="138">
        <v>-14</v>
      </c>
      <c r="D143" s="139">
        <v>1.3010810750295407</v>
      </c>
      <c r="E143" s="144">
        <f>IF(D143="","",5)</f>
        <v>5</v>
      </c>
      <c r="F143" s="144">
        <f>IF(D143="","",5)</f>
        <v>5</v>
      </c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V143" s="22"/>
      <c r="W143" s="22"/>
      <c r="X143" s="22"/>
      <c r="Y143" s="22"/>
      <c r="Z143" s="22"/>
      <c r="AA143" s="682">
        <v>15</v>
      </c>
      <c r="AB143" s="608">
        <f t="shared" si="93"/>
        <v>0</v>
      </c>
      <c r="AC143" s="608">
        <f t="shared" si="94"/>
        <v>0</v>
      </c>
      <c r="AD143" s="11"/>
      <c r="AE143" s="682">
        <v>15</v>
      </c>
      <c r="AF143" s="608">
        <f t="shared" si="95"/>
        <v>0</v>
      </c>
      <c r="AG143" s="608">
        <f t="shared" si="96"/>
        <v>0</v>
      </c>
    </row>
    <row r="144" spans="1:33" ht="13.5">
      <c r="A144" s="22"/>
      <c r="B144" s="22"/>
      <c r="C144" s="138">
        <v>-7.5649981379177316</v>
      </c>
      <c r="D144" s="139">
        <v>2.39086977085746</v>
      </c>
      <c r="E144" s="144">
        <f t="shared" ref="E144:E154" si="97">IF(D144="","",5)</f>
        <v>5</v>
      </c>
      <c r="F144" s="144">
        <f t="shared" ref="F144:F154" si="98">IF(D144="","",5)</f>
        <v>5</v>
      </c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V144" s="22"/>
      <c r="W144" s="22"/>
      <c r="X144" s="22"/>
      <c r="Y144" s="22"/>
      <c r="Z144" s="22"/>
      <c r="AA144" s="683">
        <v>30</v>
      </c>
      <c r="AB144" s="608">
        <f t="shared" si="93"/>
        <v>0</v>
      </c>
      <c r="AC144" s="608">
        <f t="shared" si="94"/>
        <v>0</v>
      </c>
      <c r="AD144" s="11"/>
      <c r="AE144" s="683">
        <v>30</v>
      </c>
      <c r="AF144" s="608">
        <f t="shared" si="95"/>
        <v>0</v>
      </c>
      <c r="AG144" s="608">
        <f t="shared" si="96"/>
        <v>0</v>
      </c>
    </row>
    <row r="145" spans="1:33" ht="13.5">
      <c r="A145" s="22"/>
      <c r="B145" s="22"/>
      <c r="C145" s="138">
        <v>0</v>
      </c>
      <c r="D145" s="139">
        <v>2.3700600000000005</v>
      </c>
      <c r="E145" s="144">
        <f t="shared" si="97"/>
        <v>5</v>
      </c>
      <c r="F145" s="144">
        <f t="shared" si="98"/>
        <v>5</v>
      </c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V145" s="22"/>
      <c r="W145" s="22"/>
      <c r="X145" s="22"/>
      <c r="Y145" s="22"/>
      <c r="Z145" s="22"/>
      <c r="AA145" s="682">
        <v>45</v>
      </c>
      <c r="AB145" s="608">
        <f t="shared" si="93"/>
        <v>0</v>
      </c>
      <c r="AC145" s="608">
        <f t="shared" si="94"/>
        <v>0</v>
      </c>
      <c r="AD145" s="11"/>
      <c r="AE145" s="682">
        <v>45</v>
      </c>
      <c r="AF145" s="608">
        <f t="shared" si="95"/>
        <v>0</v>
      </c>
      <c r="AG145" s="608">
        <f t="shared" si="96"/>
        <v>0</v>
      </c>
    </row>
    <row r="146" spans="1:33" ht="13.5">
      <c r="A146" s="22"/>
      <c r="B146" s="22"/>
      <c r="C146" s="138">
        <v>3</v>
      </c>
      <c r="D146" s="139">
        <v>2.373312542355833</v>
      </c>
      <c r="E146" s="144">
        <f t="shared" si="97"/>
        <v>5</v>
      </c>
      <c r="F146" s="144">
        <f t="shared" si="98"/>
        <v>5</v>
      </c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V146" s="22"/>
      <c r="W146" s="22"/>
      <c r="X146" s="22"/>
      <c r="Y146" s="22"/>
      <c r="Z146" s="22"/>
      <c r="AA146" s="682">
        <v>60</v>
      </c>
      <c r="AB146" s="608">
        <f t="shared" si="93"/>
        <v>0</v>
      </c>
      <c r="AC146" s="608">
        <f t="shared" si="94"/>
        <v>0</v>
      </c>
      <c r="AD146" s="11"/>
      <c r="AE146" s="682">
        <v>60</v>
      </c>
      <c r="AF146" s="608">
        <f t="shared" si="95"/>
        <v>0</v>
      </c>
      <c r="AG146" s="608">
        <f t="shared" si="96"/>
        <v>0</v>
      </c>
    </row>
    <row r="147" spans="1:33" ht="13.5">
      <c r="A147" s="22"/>
      <c r="B147" s="22"/>
      <c r="C147" s="138">
        <v>6</v>
      </c>
      <c r="D147" s="139">
        <v>2.3831149530623081</v>
      </c>
      <c r="E147" s="144">
        <f t="shared" si="97"/>
        <v>5</v>
      </c>
      <c r="F147" s="144">
        <f t="shared" si="98"/>
        <v>5</v>
      </c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V147" s="22"/>
      <c r="W147" s="22"/>
      <c r="X147" s="22"/>
      <c r="Y147" s="22"/>
      <c r="Z147" s="22"/>
      <c r="AA147" s="683">
        <v>75</v>
      </c>
      <c r="AB147" s="608">
        <f t="shared" si="93"/>
        <v>0</v>
      </c>
      <c r="AC147" s="608">
        <f t="shared" si="94"/>
        <v>0</v>
      </c>
      <c r="AD147" s="11"/>
      <c r="AE147" s="683">
        <v>75</v>
      </c>
      <c r="AF147" s="608">
        <f t="shared" si="95"/>
        <v>0</v>
      </c>
      <c r="AG147" s="608">
        <f t="shared" si="96"/>
        <v>0</v>
      </c>
    </row>
    <row r="148" spans="1:33" ht="13.5">
      <c r="A148" s="22"/>
      <c r="B148" s="22"/>
      <c r="C148" s="138">
        <v>7.5649981379177316</v>
      </c>
      <c r="D148" s="139">
        <v>2.3908697708574596</v>
      </c>
      <c r="E148" s="144">
        <f t="shared" si="97"/>
        <v>5</v>
      </c>
      <c r="F148" s="144">
        <f t="shared" si="98"/>
        <v>5</v>
      </c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V148" s="22"/>
      <c r="W148" s="22"/>
      <c r="X148" s="22"/>
      <c r="Y148" s="22"/>
      <c r="Z148" s="22"/>
      <c r="AA148" s="682">
        <v>90</v>
      </c>
      <c r="AB148" s="608">
        <f t="shared" si="93"/>
        <v>0</v>
      </c>
      <c r="AC148" s="608">
        <f t="shared" si="94"/>
        <v>0</v>
      </c>
      <c r="AD148" s="11"/>
      <c r="AE148" s="682">
        <v>90</v>
      </c>
      <c r="AF148" s="608">
        <f t="shared" si="95"/>
        <v>0</v>
      </c>
      <c r="AG148" s="608">
        <f t="shared" si="96"/>
        <v>0</v>
      </c>
    </row>
    <row r="149" spans="1:33" ht="13.5">
      <c r="A149" s="22"/>
      <c r="B149" s="22"/>
      <c r="C149" s="138">
        <v>10</v>
      </c>
      <c r="D149" s="139">
        <v>1.8126305972742902</v>
      </c>
      <c r="E149" s="144">
        <f t="shared" si="97"/>
        <v>5</v>
      </c>
      <c r="F149" s="144">
        <f t="shared" si="98"/>
        <v>5</v>
      </c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V149" s="22"/>
      <c r="W149" s="22"/>
      <c r="X149" s="22"/>
      <c r="Y149" s="22"/>
      <c r="Z149" s="22"/>
      <c r="AA149" s="682">
        <v>105</v>
      </c>
      <c r="AB149" s="608">
        <f t="shared" si="93"/>
        <v>0</v>
      </c>
      <c r="AC149" s="608">
        <f t="shared" si="94"/>
        <v>0</v>
      </c>
      <c r="AD149" s="11"/>
      <c r="AE149" s="682">
        <v>105</v>
      </c>
      <c r="AF149" s="608">
        <f t="shared" si="95"/>
        <v>0</v>
      </c>
      <c r="AG149" s="608">
        <f t="shared" si="96"/>
        <v>0</v>
      </c>
    </row>
    <row r="150" spans="1:33" ht="13.5">
      <c r="A150" s="22"/>
      <c r="B150" s="22"/>
      <c r="C150" s="138">
        <v>50</v>
      </c>
      <c r="D150" s="139">
        <v>0.410889998390228</v>
      </c>
      <c r="E150" s="144">
        <f t="shared" si="97"/>
        <v>5</v>
      </c>
      <c r="F150" s="144">
        <f t="shared" si="98"/>
        <v>5</v>
      </c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V150" s="22"/>
      <c r="W150" s="22"/>
      <c r="X150" s="22"/>
      <c r="Y150" s="22"/>
      <c r="Z150" s="22"/>
      <c r="AA150" s="683">
        <v>120</v>
      </c>
      <c r="AB150" s="608">
        <f t="shared" si="93"/>
        <v>0</v>
      </c>
      <c r="AC150" s="608">
        <f t="shared" si="94"/>
        <v>0</v>
      </c>
      <c r="AD150" s="11"/>
      <c r="AE150" s="683">
        <v>120</v>
      </c>
      <c r="AF150" s="608">
        <f t="shared" si="95"/>
        <v>0</v>
      </c>
      <c r="AG150" s="608">
        <f t="shared" si="96"/>
        <v>0</v>
      </c>
    </row>
    <row r="151" spans="1:33" ht="13.5">
      <c r="A151" s="22"/>
      <c r="B151" s="22"/>
      <c r="C151" s="138">
        <v>90</v>
      </c>
      <c r="D151" s="139">
        <v>0.31475999999999998</v>
      </c>
      <c r="E151" s="144">
        <f t="shared" si="97"/>
        <v>5</v>
      </c>
      <c r="F151" s="144">
        <f t="shared" si="98"/>
        <v>5</v>
      </c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V151" s="22"/>
      <c r="W151" s="22"/>
      <c r="X151" s="22"/>
      <c r="Y151" s="22"/>
      <c r="Z151" s="22"/>
      <c r="AA151" s="682">
        <v>135</v>
      </c>
      <c r="AB151" s="608">
        <f t="shared" si="93"/>
        <v>0</v>
      </c>
      <c r="AC151" s="608">
        <f t="shared" si="94"/>
        <v>0</v>
      </c>
      <c r="AD151" s="11"/>
      <c r="AE151" s="682">
        <v>135</v>
      </c>
      <c r="AF151" s="608">
        <f t="shared" si="95"/>
        <v>0</v>
      </c>
      <c r="AG151" s="608">
        <f t="shared" si="96"/>
        <v>0</v>
      </c>
    </row>
    <row r="152" spans="1:33" ht="13.5">
      <c r="A152" s="22"/>
      <c r="B152" s="22"/>
      <c r="C152" s="138">
        <v>172.43500186208226</v>
      </c>
      <c r="D152" s="139" t="s">
        <v>64</v>
      </c>
      <c r="E152" s="144" t="str">
        <f t="shared" si="97"/>
        <v/>
      </c>
      <c r="F152" s="144" t="str">
        <f t="shared" si="98"/>
        <v/>
      </c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V152" s="22"/>
      <c r="W152" s="22"/>
      <c r="X152" s="22"/>
      <c r="Y152" s="22"/>
      <c r="Z152" s="22"/>
      <c r="AA152" s="682">
        <v>150</v>
      </c>
      <c r="AB152" s="608">
        <f t="shared" si="93"/>
        <v>0</v>
      </c>
      <c r="AC152" s="608">
        <f t="shared" si="94"/>
        <v>0</v>
      </c>
      <c r="AD152" s="11"/>
      <c r="AE152" s="682">
        <v>150</v>
      </c>
      <c r="AF152" s="608">
        <f t="shared" si="95"/>
        <v>0</v>
      </c>
      <c r="AG152" s="608">
        <f t="shared" si="96"/>
        <v>0</v>
      </c>
    </row>
    <row r="153" spans="1:33" ht="13.5">
      <c r="A153" s="22"/>
      <c r="B153" s="22"/>
      <c r="C153" s="138">
        <v>110</v>
      </c>
      <c r="D153" s="139">
        <v>0.33496059566451808</v>
      </c>
      <c r="E153" s="144">
        <f t="shared" si="97"/>
        <v>5</v>
      </c>
      <c r="F153" s="144">
        <f t="shared" si="98"/>
        <v>5</v>
      </c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V153" s="22"/>
      <c r="W153" s="22"/>
      <c r="X153" s="22"/>
      <c r="Y153" s="22"/>
      <c r="Z153" s="22"/>
      <c r="AA153" s="683">
        <v>165</v>
      </c>
      <c r="AB153" s="608">
        <f t="shared" si="93"/>
        <v>0</v>
      </c>
      <c r="AC153" s="608">
        <f t="shared" si="94"/>
        <v>0</v>
      </c>
      <c r="AD153" s="11"/>
      <c r="AE153" s="683">
        <v>165</v>
      </c>
      <c r="AF153" s="608">
        <f t="shared" si="95"/>
        <v>0</v>
      </c>
      <c r="AG153" s="608">
        <f t="shared" si="96"/>
        <v>0</v>
      </c>
    </row>
    <row r="154" spans="1:33" ht="13.5">
      <c r="A154" s="22"/>
      <c r="B154" s="22"/>
      <c r="C154" s="138"/>
      <c r="D154" s="139"/>
      <c r="E154" s="144" t="str">
        <f t="shared" si="97"/>
        <v/>
      </c>
      <c r="F154" s="144" t="str">
        <f t="shared" si="98"/>
        <v/>
      </c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V154" s="22"/>
      <c r="W154" s="22"/>
      <c r="X154" s="22"/>
      <c r="Y154" s="22"/>
      <c r="Z154" s="22"/>
      <c r="AA154" s="682">
        <v>180</v>
      </c>
      <c r="AB154" s="608">
        <f t="shared" si="93"/>
        <v>0</v>
      </c>
      <c r="AC154" s="608">
        <f t="shared" si="94"/>
        <v>0</v>
      </c>
      <c r="AD154" s="11"/>
      <c r="AE154" s="682">
        <v>180</v>
      </c>
      <c r="AF154" s="608">
        <f t="shared" si="95"/>
        <v>0</v>
      </c>
      <c r="AG154" s="608">
        <f t="shared" si="96"/>
        <v>0</v>
      </c>
    </row>
    <row r="155" spans="1:33" ht="13.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V155" s="22"/>
      <c r="W155" s="22"/>
      <c r="X155" s="22"/>
      <c r="Y155" s="22"/>
      <c r="Z155" s="22"/>
      <c r="AA155" s="682">
        <v>195</v>
      </c>
      <c r="AB155" s="608">
        <f t="shared" si="93"/>
        <v>0</v>
      </c>
      <c r="AC155" s="608">
        <f t="shared" si="94"/>
        <v>0</v>
      </c>
      <c r="AD155" s="11"/>
      <c r="AE155" s="682">
        <v>195</v>
      </c>
      <c r="AF155" s="608">
        <f t="shared" si="95"/>
        <v>0</v>
      </c>
      <c r="AG155" s="608">
        <f t="shared" si="96"/>
        <v>0</v>
      </c>
    </row>
    <row r="156" spans="1:33" ht="13.5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V156" s="22"/>
      <c r="W156" s="22"/>
      <c r="X156" s="22"/>
      <c r="Y156" s="22"/>
      <c r="Z156" s="22"/>
      <c r="AA156" s="683">
        <v>210</v>
      </c>
      <c r="AB156" s="608">
        <f t="shared" si="93"/>
        <v>0</v>
      </c>
      <c r="AC156" s="608">
        <f t="shared" si="94"/>
        <v>0</v>
      </c>
      <c r="AD156" s="11"/>
      <c r="AE156" s="683">
        <v>210</v>
      </c>
      <c r="AF156" s="608">
        <f t="shared" si="95"/>
        <v>0</v>
      </c>
      <c r="AG156" s="608">
        <f t="shared" si="96"/>
        <v>0</v>
      </c>
    </row>
    <row r="157" spans="1:33" ht="13.5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V157" s="22"/>
      <c r="W157" s="22"/>
      <c r="X157" s="22"/>
      <c r="Y157" s="22"/>
      <c r="Z157" s="22"/>
      <c r="AA157" s="682">
        <v>225</v>
      </c>
      <c r="AB157" s="608">
        <f t="shared" si="93"/>
        <v>0</v>
      </c>
      <c r="AC157" s="608">
        <f t="shared" si="94"/>
        <v>0</v>
      </c>
      <c r="AD157" s="11"/>
      <c r="AE157" s="682">
        <v>225</v>
      </c>
      <c r="AF157" s="608">
        <f t="shared" si="95"/>
        <v>0</v>
      </c>
      <c r="AG157" s="608">
        <f t="shared" si="96"/>
        <v>0</v>
      </c>
    </row>
    <row r="158" spans="1:33" ht="13.5">
      <c r="A158" s="22"/>
      <c r="B158" s="103" t="s">
        <v>108</v>
      </c>
      <c r="E158" s="3"/>
      <c r="F158" s="3"/>
      <c r="G158" s="22"/>
      <c r="H158" s="22"/>
      <c r="I158" s="103" t="s">
        <v>122</v>
      </c>
      <c r="J158" s="22"/>
      <c r="K158" s="22"/>
      <c r="L158" s="22"/>
      <c r="M158" s="22"/>
      <c r="N158" s="22"/>
      <c r="O158" s="22"/>
      <c r="P158" s="22"/>
      <c r="Q158" s="22"/>
      <c r="R158" s="22"/>
      <c r="V158" s="22"/>
      <c r="W158" s="22"/>
      <c r="X158" s="22"/>
      <c r="Y158" s="22"/>
      <c r="Z158" s="22"/>
      <c r="AA158" s="682">
        <v>240</v>
      </c>
      <c r="AB158" s="608">
        <f t="shared" si="93"/>
        <v>0</v>
      </c>
      <c r="AC158" s="608">
        <f t="shared" si="94"/>
        <v>0</v>
      </c>
      <c r="AD158" s="11"/>
      <c r="AE158" s="682">
        <v>240</v>
      </c>
      <c r="AF158" s="608">
        <f t="shared" si="95"/>
        <v>0</v>
      </c>
      <c r="AG158" s="608">
        <f t="shared" si="96"/>
        <v>0</v>
      </c>
    </row>
    <row r="159" spans="1:33" ht="13.5">
      <c r="A159" s="22"/>
      <c r="C159" s="97" t="s">
        <v>111</v>
      </c>
      <c r="D159" s="97" t="s">
        <v>48</v>
      </c>
      <c r="E159" s="142" t="s">
        <v>112</v>
      </c>
      <c r="F159" s="142" t="s">
        <v>113</v>
      </c>
      <c r="G159" s="22"/>
      <c r="H159" s="22"/>
      <c r="I159" s="97" t="s">
        <v>111</v>
      </c>
      <c r="J159" s="97" t="s">
        <v>123</v>
      </c>
      <c r="K159" s="142" t="s">
        <v>112</v>
      </c>
      <c r="L159" s="142" t="s">
        <v>113</v>
      </c>
      <c r="M159" s="22"/>
      <c r="N159" s="22"/>
      <c r="O159" s="22"/>
      <c r="P159" s="22"/>
      <c r="Q159" s="22"/>
      <c r="R159" s="22"/>
      <c r="V159" s="22"/>
      <c r="W159" s="22"/>
      <c r="X159" s="22"/>
      <c r="Y159" s="22"/>
      <c r="Z159" s="22"/>
      <c r="AA159" s="683">
        <v>255</v>
      </c>
      <c r="AB159" s="608">
        <f t="shared" si="93"/>
        <v>0</v>
      </c>
      <c r="AC159" s="608">
        <f t="shared" si="94"/>
        <v>0</v>
      </c>
      <c r="AD159" s="11"/>
      <c r="AE159" s="683">
        <v>255</v>
      </c>
      <c r="AF159" s="608">
        <f t="shared" si="95"/>
        <v>0</v>
      </c>
      <c r="AG159" s="608">
        <f t="shared" si="96"/>
        <v>0</v>
      </c>
    </row>
    <row r="160" spans="1:33" ht="13.5">
      <c r="A160" s="22"/>
      <c r="B160" s="103" t="s">
        <v>109</v>
      </c>
      <c r="C160" s="143">
        <f>IF(t_J_HS="oo","",J_HS*1.5*I_Nom)</f>
        <v>3.5999999999999996</v>
      </c>
      <c r="D160" s="141">
        <f>IF(C160="","",t_J_HS*1000+OpTime)</f>
        <v>130</v>
      </c>
      <c r="E160" s="146">
        <f>IF(D160="","",25/D160*100)</f>
        <v>19.230769230769234</v>
      </c>
      <c r="F160" s="146">
        <f t="shared" ref="F160:F171" si="99">E160</f>
        <v>19.230769230769234</v>
      </c>
      <c r="G160" s="22"/>
      <c r="H160" s="22"/>
      <c r="I160" s="160" t="str">
        <f>R53</f>
        <v/>
      </c>
      <c r="J160" s="160" t="str">
        <f>S53</f>
        <v/>
      </c>
      <c r="K160" s="74" t="str">
        <f>IF(I160="","",6)</f>
        <v/>
      </c>
      <c r="L160" s="74" t="str">
        <f>IF(I160="","",6)</f>
        <v/>
      </c>
      <c r="M160" s="22"/>
      <c r="N160" s="22"/>
      <c r="O160" s="22"/>
      <c r="P160" s="22"/>
      <c r="Q160" s="22"/>
      <c r="R160" s="22"/>
      <c r="V160" s="22"/>
      <c r="W160" s="22"/>
      <c r="X160" s="22"/>
      <c r="Y160" s="22"/>
      <c r="Z160" s="22"/>
      <c r="AA160" s="682">
        <v>270</v>
      </c>
      <c r="AB160" s="608">
        <f t="shared" si="93"/>
        <v>0</v>
      </c>
      <c r="AC160" s="608">
        <f t="shared" si="94"/>
        <v>0</v>
      </c>
      <c r="AD160" s="11"/>
      <c r="AE160" s="682">
        <v>270</v>
      </c>
      <c r="AF160" s="608">
        <f t="shared" si="95"/>
        <v>0</v>
      </c>
      <c r="AG160" s="608">
        <f t="shared" si="96"/>
        <v>0</v>
      </c>
    </row>
    <row r="161" spans="1:33" ht="13.5">
      <c r="A161" s="22"/>
      <c r="C161" s="143">
        <f>IF(t_J_HS="oo","",J_HS*1.05*I_Nom)</f>
        <v>2.52</v>
      </c>
      <c r="D161" s="141">
        <f>IF(C161="","",t_J_HS*1000+OpTime)</f>
        <v>130</v>
      </c>
      <c r="E161" s="146">
        <f t="shared" ref="E161:E171" si="100">IF(D161="","",25/D161*100)</f>
        <v>19.230769230769234</v>
      </c>
      <c r="F161" s="146">
        <f t="shared" si="99"/>
        <v>19.230769230769234</v>
      </c>
      <c r="G161" s="22"/>
      <c r="H161" s="22"/>
      <c r="I161" s="160" t="str">
        <f t="shared" ref="I161:I167" si="101">R54</f>
        <v/>
      </c>
      <c r="J161" s="160" t="str">
        <f t="shared" ref="J161:J166" si="102">S54</f>
        <v/>
      </c>
      <c r="K161" s="74" t="str">
        <f t="shared" ref="K161:K166" si="103">IF(I161="","",6)</f>
        <v/>
      </c>
      <c r="L161" s="74" t="str">
        <f t="shared" ref="L161:L166" si="104">IF(I161="","",6)</f>
        <v/>
      </c>
      <c r="M161" s="22"/>
      <c r="N161" s="22"/>
      <c r="O161" s="22"/>
      <c r="P161" s="22"/>
      <c r="Q161" s="22"/>
      <c r="R161" s="22"/>
      <c r="V161" s="22"/>
      <c r="W161" s="22"/>
      <c r="X161" s="22"/>
      <c r="Y161" s="22"/>
      <c r="Z161" s="22"/>
      <c r="AA161" s="682">
        <v>285</v>
      </c>
      <c r="AB161" s="608">
        <f t="shared" si="93"/>
        <v>0</v>
      </c>
      <c r="AC161" s="608">
        <f t="shared" si="94"/>
        <v>0</v>
      </c>
      <c r="AD161" s="11"/>
      <c r="AE161" s="682">
        <v>285</v>
      </c>
      <c r="AF161" s="608">
        <f t="shared" si="95"/>
        <v>0</v>
      </c>
      <c r="AG161" s="608">
        <f t="shared" si="96"/>
        <v>0</v>
      </c>
    </row>
    <row r="162" spans="1:33" ht="13.5">
      <c r="A162" s="22"/>
      <c r="C162" s="143">
        <f>IF(t_J_HS="oo",J_LS*3,J_HS*0.95)*I_Nom</f>
        <v>2.2799999999999998</v>
      </c>
      <c r="D162" s="141">
        <f>IF(t_J_LS="oo","",t_J_LS*1000+OpTime)</f>
        <v>930</v>
      </c>
      <c r="E162" s="146">
        <f t="shared" si="100"/>
        <v>2.6881720430107525</v>
      </c>
      <c r="F162" s="146">
        <f t="shared" si="99"/>
        <v>2.6881720430107525</v>
      </c>
      <c r="G162" s="22"/>
      <c r="H162" s="22"/>
      <c r="I162" s="160" t="str">
        <f t="shared" si="101"/>
        <v/>
      </c>
      <c r="J162" s="160" t="str">
        <f t="shared" si="102"/>
        <v/>
      </c>
      <c r="K162" s="74" t="str">
        <f t="shared" si="103"/>
        <v/>
      </c>
      <c r="L162" s="74" t="str">
        <f t="shared" si="104"/>
        <v/>
      </c>
      <c r="M162" s="22"/>
      <c r="N162" s="22"/>
      <c r="O162" s="22"/>
      <c r="P162" s="22"/>
      <c r="Q162" s="22"/>
      <c r="R162" s="22"/>
      <c r="V162" s="22"/>
      <c r="W162" s="22"/>
      <c r="X162" s="22"/>
      <c r="Y162" s="22"/>
      <c r="Z162" s="22"/>
      <c r="AA162" s="683">
        <v>300</v>
      </c>
      <c r="AB162" s="608">
        <f t="shared" si="93"/>
        <v>0</v>
      </c>
      <c r="AC162" s="608">
        <f t="shared" si="94"/>
        <v>0</v>
      </c>
      <c r="AD162" s="11"/>
      <c r="AE162" s="683">
        <v>300</v>
      </c>
      <c r="AF162" s="608">
        <f t="shared" si="95"/>
        <v>0</v>
      </c>
      <c r="AG162" s="608">
        <f t="shared" si="96"/>
        <v>0</v>
      </c>
    </row>
    <row r="163" spans="1:33" ht="13.5">
      <c r="A163" s="22"/>
      <c r="C163" s="143">
        <f>(C162+C164)/2</f>
        <v>1.9275</v>
      </c>
      <c r="D163" s="141">
        <f>IF(t_J_LS="oo","",t_J_LS*1000+OpTime)</f>
        <v>930</v>
      </c>
      <c r="E163" s="146">
        <f t="shared" si="100"/>
        <v>2.6881720430107525</v>
      </c>
      <c r="F163" s="146">
        <f t="shared" si="99"/>
        <v>2.6881720430107525</v>
      </c>
      <c r="G163" s="22"/>
      <c r="H163" s="22"/>
      <c r="I163" s="160" t="str">
        <f t="shared" si="101"/>
        <v/>
      </c>
      <c r="J163" s="160" t="str">
        <f t="shared" si="102"/>
        <v/>
      </c>
      <c r="K163" s="74" t="str">
        <f t="shared" si="103"/>
        <v/>
      </c>
      <c r="L163" s="74" t="str">
        <f t="shared" si="104"/>
        <v/>
      </c>
      <c r="M163" s="22"/>
      <c r="N163" s="22"/>
      <c r="O163" s="22"/>
      <c r="P163" s="22"/>
      <c r="Q163" s="22"/>
      <c r="R163" s="22"/>
      <c r="V163" s="22"/>
      <c r="W163" s="22"/>
      <c r="X163" s="22"/>
      <c r="Y163" s="22"/>
      <c r="Z163" s="22"/>
      <c r="AA163" s="682">
        <v>315</v>
      </c>
      <c r="AB163" s="608">
        <f t="shared" si="93"/>
        <v>0</v>
      </c>
      <c r="AC163" s="608">
        <f t="shared" si="94"/>
        <v>0</v>
      </c>
      <c r="AD163" s="11"/>
      <c r="AE163" s="682">
        <v>315</v>
      </c>
      <c r="AF163" s="608">
        <f t="shared" si="95"/>
        <v>0</v>
      </c>
      <c r="AG163" s="608">
        <f t="shared" si="96"/>
        <v>0</v>
      </c>
    </row>
    <row r="164" spans="1:33" ht="13.5">
      <c r="A164" s="22"/>
      <c r="C164" s="143">
        <f>J_LS*I_Nom*1.05</f>
        <v>1.5750000000000002</v>
      </c>
      <c r="D164" s="141">
        <f>IF(t_J_LS="oo","",t_J_LS*1000+OpTime)</f>
        <v>930</v>
      </c>
      <c r="E164" s="146">
        <f t="shared" si="100"/>
        <v>2.6881720430107525</v>
      </c>
      <c r="F164" s="146">
        <f t="shared" si="99"/>
        <v>2.6881720430107525</v>
      </c>
      <c r="G164" s="22"/>
      <c r="H164" s="22"/>
      <c r="I164" s="160" t="str">
        <f t="shared" si="101"/>
        <v/>
      </c>
      <c r="J164" s="160" t="str">
        <f t="shared" si="102"/>
        <v/>
      </c>
      <c r="K164" s="74" t="str">
        <f t="shared" si="103"/>
        <v/>
      </c>
      <c r="L164" s="74" t="str">
        <f t="shared" si="104"/>
        <v/>
      </c>
      <c r="M164" s="22"/>
      <c r="N164" s="22"/>
      <c r="O164" s="22"/>
      <c r="P164" s="22"/>
      <c r="Q164" s="22"/>
      <c r="R164" s="22"/>
      <c r="V164" s="22"/>
      <c r="W164" s="22"/>
      <c r="X164" s="22"/>
      <c r="Y164" s="22"/>
      <c r="Z164" s="22"/>
      <c r="AA164" s="682">
        <v>330</v>
      </c>
      <c r="AB164" s="608">
        <f t="shared" si="93"/>
        <v>0</v>
      </c>
      <c r="AC164" s="608">
        <f t="shared" si="94"/>
        <v>0</v>
      </c>
      <c r="AD164" s="11"/>
      <c r="AE164" s="682">
        <v>330</v>
      </c>
      <c r="AF164" s="608">
        <f t="shared" si="95"/>
        <v>0</v>
      </c>
      <c r="AG164" s="608">
        <f t="shared" si="96"/>
        <v>0</v>
      </c>
    </row>
    <row r="165" spans="1:33" ht="13.5">
      <c r="A165" s="22"/>
      <c r="C165" s="143">
        <f>J_LS*I_Nom*0.95</f>
        <v>1.4249999999999998</v>
      </c>
      <c r="D165" s="141"/>
      <c r="E165" s="146" t="str">
        <f t="shared" si="100"/>
        <v/>
      </c>
      <c r="F165" s="146" t="str">
        <f t="shared" si="99"/>
        <v/>
      </c>
      <c r="G165" s="22"/>
      <c r="H165" s="22"/>
      <c r="I165" s="160" t="str">
        <f t="shared" si="101"/>
        <v/>
      </c>
      <c r="J165" s="160" t="str">
        <f t="shared" si="102"/>
        <v/>
      </c>
      <c r="K165" s="74" t="str">
        <f t="shared" si="103"/>
        <v/>
      </c>
      <c r="L165" s="74" t="str">
        <f t="shared" si="104"/>
        <v/>
      </c>
      <c r="M165" s="22"/>
      <c r="N165" s="22"/>
      <c r="O165" s="22"/>
      <c r="P165" s="22"/>
      <c r="Q165" s="22"/>
      <c r="R165" s="22"/>
      <c r="V165" s="22"/>
      <c r="W165" s="22"/>
      <c r="X165" s="22"/>
      <c r="Y165" s="22"/>
      <c r="Z165" s="22"/>
      <c r="AA165" s="683">
        <v>345</v>
      </c>
      <c r="AB165" s="608">
        <f t="shared" si="93"/>
        <v>0</v>
      </c>
      <c r="AC165" s="608">
        <f t="shared" si="94"/>
        <v>0</v>
      </c>
      <c r="AD165" s="11"/>
      <c r="AE165" s="683">
        <v>345</v>
      </c>
      <c r="AF165" s="608">
        <f t="shared" si="95"/>
        <v>0</v>
      </c>
      <c r="AG165" s="608">
        <f t="shared" si="96"/>
        <v>0</v>
      </c>
    </row>
    <row r="166" spans="1:33" ht="13.5">
      <c r="A166" s="22"/>
      <c r="B166" s="103" t="s">
        <v>110</v>
      </c>
      <c r="C166" s="121" t="str">
        <f>IF(t_Je_HS="oo","",Je_HS*1.5*I_Nom/3)</f>
        <v/>
      </c>
      <c r="D166" s="118" t="str">
        <f>IF(C166="","",t_Je_HS*1000+OpTime)</f>
        <v/>
      </c>
      <c r="E166" s="147" t="str">
        <f t="shared" si="100"/>
        <v/>
      </c>
      <c r="F166" s="147" t="str">
        <f t="shared" si="99"/>
        <v/>
      </c>
      <c r="G166" s="22"/>
      <c r="H166" s="22"/>
      <c r="I166" s="160" t="str">
        <f t="shared" si="101"/>
        <v/>
      </c>
      <c r="J166" s="160" t="str">
        <f t="shared" si="102"/>
        <v/>
      </c>
      <c r="K166" s="74" t="str">
        <f t="shared" si="103"/>
        <v/>
      </c>
      <c r="L166" s="74" t="str">
        <f t="shared" si="104"/>
        <v/>
      </c>
      <c r="M166" s="22"/>
      <c r="N166" s="22"/>
      <c r="O166" s="22"/>
      <c r="P166" s="22"/>
      <c r="Q166" s="22"/>
      <c r="R166" s="22"/>
      <c r="V166" s="22"/>
      <c r="W166" s="22"/>
      <c r="X166" s="22"/>
      <c r="Y166" s="22"/>
      <c r="Z166" s="22"/>
      <c r="AA166" s="682">
        <v>360</v>
      </c>
      <c r="AB166" s="608">
        <f t="shared" si="93"/>
        <v>0</v>
      </c>
      <c r="AC166" s="608">
        <f t="shared" si="94"/>
        <v>0</v>
      </c>
      <c r="AD166" s="11"/>
      <c r="AE166" s="682">
        <v>360</v>
      </c>
      <c r="AF166" s="608">
        <f t="shared" si="95"/>
        <v>0</v>
      </c>
      <c r="AG166" s="608">
        <f t="shared" si="96"/>
        <v>0</v>
      </c>
    </row>
    <row r="167" spans="1:33" ht="13.5">
      <c r="A167" s="22"/>
      <c r="C167" s="121" t="str">
        <f>IF(t_Je_HS="oo","",Je_HS*1.05*I_Nom/3)</f>
        <v/>
      </c>
      <c r="D167" s="118" t="str">
        <f>IF(C167="","",t_Je_HS*1000+OpTime)</f>
        <v/>
      </c>
      <c r="E167" s="147" t="str">
        <f t="shared" si="100"/>
        <v/>
      </c>
      <c r="F167" s="147" t="str">
        <f t="shared" si="99"/>
        <v/>
      </c>
      <c r="G167" s="22"/>
      <c r="H167" s="22"/>
      <c r="I167" s="160" t="str">
        <f t="shared" si="101"/>
        <v/>
      </c>
      <c r="J167" s="160"/>
      <c r="K167" s="74"/>
      <c r="L167" s="74"/>
      <c r="M167" s="22"/>
      <c r="N167" s="22"/>
      <c r="O167" s="22"/>
      <c r="P167" s="22"/>
      <c r="Q167" s="22"/>
      <c r="R167" s="22"/>
      <c r="V167" s="22"/>
      <c r="W167" s="22"/>
      <c r="X167" s="22"/>
      <c r="Y167" s="22"/>
      <c r="Z167" s="22"/>
      <c r="AA167" s="153"/>
      <c r="AC167" s="11"/>
      <c r="AD167" s="11"/>
      <c r="AE167" s="20"/>
      <c r="AF167" s="11"/>
      <c r="AG167" s="11"/>
    </row>
    <row r="168" spans="1:33" ht="13.5">
      <c r="A168" s="22"/>
      <c r="B168" s="6"/>
      <c r="C168" s="121">
        <f>IF(t_Je_HS="oo",MIN(Je_LS,J_LS)*3,Je_HS)*0.95*I_Nom/3</f>
        <v>0.47499999999999992</v>
      </c>
      <c r="D168" s="118">
        <f>IF(t_Je_LS="oo","",t_Je_LS*1000+OpTime)</f>
        <v>930</v>
      </c>
      <c r="E168" s="147">
        <f t="shared" si="100"/>
        <v>2.6881720430107525</v>
      </c>
      <c r="F168" s="147">
        <f t="shared" si="99"/>
        <v>2.6881720430107525</v>
      </c>
      <c r="G168" s="22"/>
      <c r="H168" s="22"/>
      <c r="I168" s="159"/>
      <c r="J168" s="159"/>
      <c r="K168" s="22"/>
      <c r="L168" s="22"/>
      <c r="M168" s="22"/>
      <c r="N168" s="22"/>
      <c r="O168" s="22"/>
      <c r="P168" s="22"/>
      <c r="Q168" s="22"/>
      <c r="R168" s="22"/>
      <c r="V168" s="22"/>
      <c r="W168" s="22"/>
      <c r="X168" s="22"/>
      <c r="Y168" s="22"/>
      <c r="Z168" s="22"/>
      <c r="AA168" s="153"/>
      <c r="AC168" s="11"/>
      <c r="AD168" s="11"/>
      <c r="AE168" s="20"/>
      <c r="AF168" s="11"/>
      <c r="AG168" s="11"/>
    </row>
    <row r="169" spans="1:33" ht="13.5">
      <c r="A169" s="22"/>
      <c r="C169" s="121">
        <f>(C168+C170)/2</f>
        <v>0.32499999999999996</v>
      </c>
      <c r="D169" s="118">
        <f>IF(t_Je_LS="oo","",t_Je_LS*1000+OpTime)</f>
        <v>930</v>
      </c>
      <c r="E169" s="147">
        <f t="shared" si="100"/>
        <v>2.6881720430107525</v>
      </c>
      <c r="F169" s="147">
        <f t="shared" si="99"/>
        <v>2.6881720430107525</v>
      </c>
      <c r="G169" s="22"/>
      <c r="H169" s="22"/>
      <c r="I169" s="159"/>
      <c r="J169" s="159"/>
      <c r="K169" s="22"/>
      <c r="L169" s="22"/>
      <c r="M169" s="22"/>
      <c r="N169" s="22"/>
      <c r="O169" s="22"/>
      <c r="P169" s="22"/>
      <c r="Q169" s="22"/>
      <c r="R169" s="22"/>
      <c r="V169" s="22"/>
      <c r="W169" s="22"/>
      <c r="X169" s="22"/>
      <c r="Y169" s="22"/>
      <c r="Z169" s="22"/>
      <c r="AA169" s="153"/>
      <c r="AC169" s="11"/>
      <c r="AD169" s="11"/>
      <c r="AE169" s="20"/>
      <c r="AF169" s="11"/>
      <c r="AG169" s="11"/>
    </row>
    <row r="170" spans="1:33" ht="13.5">
      <c r="A170" s="22"/>
      <c r="C170" s="121">
        <f>Je_LS*I_Nom/3*1.05</f>
        <v>0.17499999999999999</v>
      </c>
      <c r="D170" s="118">
        <f>IF(t_Je_LS="oo","",t_Je_LS*1000+OpTime)</f>
        <v>930</v>
      </c>
      <c r="E170" s="147">
        <f t="shared" si="100"/>
        <v>2.6881720430107525</v>
      </c>
      <c r="F170" s="147">
        <f t="shared" si="99"/>
        <v>2.6881720430107525</v>
      </c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V170" s="22"/>
      <c r="W170" s="22"/>
      <c r="X170" s="22"/>
      <c r="Y170" s="22"/>
      <c r="Z170" s="22"/>
      <c r="AA170" s="153"/>
      <c r="AC170" s="11"/>
      <c r="AD170" s="11"/>
      <c r="AE170" s="20"/>
      <c r="AF170" s="11"/>
      <c r="AG170" s="11"/>
    </row>
    <row r="171" spans="1:33" ht="13.5">
      <c r="A171" s="22"/>
      <c r="C171" s="121">
        <f>Je_LS*I_Nom/3*0.95</f>
        <v>0.15833333333333333</v>
      </c>
      <c r="D171" s="118" t="str">
        <f>IF(C171&gt;C165,D164,"")</f>
        <v/>
      </c>
      <c r="E171" s="147" t="str">
        <f t="shared" si="100"/>
        <v/>
      </c>
      <c r="F171" s="147" t="str">
        <f t="shared" si="99"/>
        <v/>
      </c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V171" s="22"/>
      <c r="W171" s="22"/>
      <c r="X171" s="22"/>
      <c r="Y171" s="22"/>
      <c r="Z171" s="22"/>
      <c r="AA171" s="153"/>
      <c r="AC171" s="11"/>
      <c r="AD171" s="11"/>
      <c r="AE171" s="20"/>
      <c r="AF171" s="11"/>
      <c r="AG171" s="11"/>
    </row>
    <row r="172" spans="1:33" ht="13.5">
      <c r="A172" s="22"/>
      <c r="B172" s="22"/>
      <c r="C172" s="22"/>
      <c r="D172" s="22"/>
      <c r="E172" s="145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V172" s="22"/>
      <c r="W172" s="22"/>
      <c r="X172" s="22"/>
      <c r="Y172" s="22"/>
      <c r="Z172" s="22"/>
      <c r="AA172" s="153"/>
      <c r="AC172" s="11"/>
      <c r="AD172" s="11"/>
      <c r="AE172" s="20"/>
      <c r="AF172" s="11"/>
      <c r="AG172" s="11"/>
    </row>
    <row r="173" spans="1:33" ht="13.5">
      <c r="A173" s="22"/>
      <c r="B173" s="22"/>
      <c r="C173" s="22"/>
      <c r="D173" s="22"/>
      <c r="E173" s="145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V173" s="22"/>
      <c r="W173" s="22"/>
      <c r="X173" s="22"/>
      <c r="Y173" s="22"/>
      <c r="Z173" s="22"/>
      <c r="AA173" s="153"/>
      <c r="AC173" s="11"/>
      <c r="AD173" s="11"/>
      <c r="AE173" s="20"/>
      <c r="AF173" s="11"/>
      <c r="AG173" s="11"/>
    </row>
    <row r="174" spans="1:33" ht="13.5">
      <c r="A174" s="22"/>
      <c r="B174" s="103" t="s">
        <v>126</v>
      </c>
      <c r="E174" s="3"/>
      <c r="F174" s="3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V174" s="22"/>
      <c r="W174" s="22"/>
      <c r="X174" s="22"/>
      <c r="Y174" s="22"/>
      <c r="Z174" s="22"/>
      <c r="AA174" s="153"/>
      <c r="AC174" s="11"/>
      <c r="AD174" s="11"/>
      <c r="AE174" s="20"/>
      <c r="AF174" s="11"/>
      <c r="AG174" s="11"/>
    </row>
    <row r="175" spans="1:33" ht="13.5">
      <c r="A175" s="22"/>
      <c r="C175" s="97" t="s">
        <v>111</v>
      </c>
      <c r="D175" s="97" t="s">
        <v>48</v>
      </c>
      <c r="E175" s="142" t="s">
        <v>112</v>
      </c>
      <c r="F175" s="142" t="s">
        <v>113</v>
      </c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V175" s="22"/>
      <c r="W175" s="22"/>
      <c r="X175" s="22"/>
      <c r="Y175" s="22"/>
      <c r="Z175" s="22"/>
      <c r="AA175" s="153"/>
      <c r="AC175" s="11"/>
      <c r="AD175" s="11"/>
      <c r="AE175" s="20"/>
      <c r="AF175" s="11"/>
      <c r="AG175" s="11"/>
    </row>
    <row r="176" spans="1:33" ht="13.5">
      <c r="A176" s="22"/>
      <c r="B176" s="103" t="s">
        <v>109</v>
      </c>
      <c r="C176" s="143" t="str">
        <f>IF(Settings!N48=FALSE,"",IF(BU_t_J_HS="+","",BU_J_HS*1.5*In))</f>
        <v/>
      </c>
      <c r="D176" s="141" t="str">
        <f>IF(C176="","",IF(BU_t_J_HS="+",D178,BU_t_J_HS*1000+OpTime))</f>
        <v/>
      </c>
      <c r="E176" s="146" t="str">
        <f t="shared" ref="E176:E187" si="105">IF(D176="","",25/D176*100)</f>
        <v/>
      </c>
      <c r="F176" s="146" t="str">
        <f t="shared" ref="F176:F187" si="106">E176</f>
        <v/>
      </c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V176" s="22"/>
      <c r="W176" s="22"/>
      <c r="X176" s="22"/>
      <c r="Y176" s="22"/>
      <c r="Z176" s="22"/>
      <c r="AA176" s="153"/>
      <c r="AC176" s="11"/>
      <c r="AD176" s="11"/>
      <c r="AE176" s="20"/>
      <c r="AF176" s="11"/>
      <c r="AG176" s="11"/>
    </row>
    <row r="177" spans="1:33" ht="13.5">
      <c r="A177" s="22"/>
      <c r="C177" s="143" t="str">
        <f>IF(Settings!N48=FALSE,"",IF(BU_t_J_HS="+",C178*2,BU_J_HS*1.05*In))</f>
        <v/>
      </c>
      <c r="D177" s="141" t="str">
        <f>IF(C177="","",IF(BU_t_J_HS="+",D178,BU_t_J_HS*1000+OpTime))</f>
        <v/>
      </c>
      <c r="E177" s="146" t="str">
        <f t="shared" si="105"/>
        <v/>
      </c>
      <c r="F177" s="146" t="str">
        <f t="shared" si="106"/>
        <v/>
      </c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V177" s="22"/>
      <c r="W177" s="22"/>
      <c r="X177" s="22"/>
      <c r="Y177" s="22"/>
      <c r="Z177" s="22"/>
      <c r="AA177" s="153"/>
      <c r="AC177" s="11"/>
      <c r="AD177" s="11"/>
      <c r="AE177" s="20"/>
      <c r="AF177" s="11"/>
      <c r="AG177" s="11"/>
    </row>
    <row r="178" spans="1:33" ht="13.5">
      <c r="A178" s="22"/>
      <c r="C178" s="143" t="str">
        <f>IF(Settings!N48=FALSE,"",IF(BU_t_J_HS="+",BU_J_LS*4,BU_J_HS*0.95)*In)</f>
        <v/>
      </c>
      <c r="D178" s="141" t="str">
        <f>IF(C178="","",IF(BU_t_J_LS="+","",BU_t_J_LS*1000+OpTime))</f>
        <v/>
      </c>
      <c r="E178" s="146" t="str">
        <f t="shared" si="105"/>
        <v/>
      </c>
      <c r="F178" s="146" t="str">
        <f t="shared" si="106"/>
        <v/>
      </c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V178" s="22"/>
      <c r="W178" s="22"/>
      <c r="X178" s="22"/>
      <c r="Y178" s="22"/>
      <c r="Z178" s="22"/>
      <c r="AA178" s="153"/>
      <c r="AC178" s="11"/>
      <c r="AD178" s="11"/>
      <c r="AE178" s="20"/>
      <c r="AF178" s="11"/>
      <c r="AG178" s="11"/>
    </row>
    <row r="179" spans="1:33" ht="13.5">
      <c r="A179" s="22"/>
      <c r="C179" s="143" t="str">
        <f>IF(Settings!N48=FALSE,"",(BU_J_HS+BU_J_LS)/2*In)</f>
        <v/>
      </c>
      <c r="D179" s="141" t="str">
        <f>IF(C179="","",IF(BU_t_J_LS="+","",BU_t_J_LS*1000+OpTime))</f>
        <v/>
      </c>
      <c r="E179" s="146" t="str">
        <f t="shared" si="105"/>
        <v/>
      </c>
      <c r="F179" s="146" t="str">
        <f t="shared" si="106"/>
        <v/>
      </c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V179" s="22"/>
      <c r="W179" s="22"/>
      <c r="X179" s="22"/>
      <c r="Y179" s="22"/>
      <c r="Z179" s="22"/>
      <c r="AA179" s="153"/>
      <c r="AC179" s="11"/>
      <c r="AD179" s="11"/>
      <c r="AE179" s="20"/>
      <c r="AF179" s="11"/>
      <c r="AG179" s="11"/>
    </row>
    <row r="180" spans="1:33" ht="13.5">
      <c r="A180" s="22"/>
      <c r="C180" s="143" t="str">
        <f>IF(Settings!N48=FALSE,"",BU_J_LS*In*1.05)</f>
        <v/>
      </c>
      <c r="D180" s="141" t="str">
        <f>IF(C180="","",IF(BU_t_J_LS="+","",BU_t_J_LS*1000+OpTime))</f>
        <v/>
      </c>
      <c r="E180" s="146" t="str">
        <f t="shared" si="105"/>
        <v/>
      </c>
      <c r="F180" s="146" t="str">
        <f t="shared" si="106"/>
        <v/>
      </c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V180" s="22"/>
      <c r="W180" s="22"/>
      <c r="X180" s="22"/>
      <c r="Y180" s="22"/>
      <c r="Z180" s="22"/>
      <c r="AA180" s="153"/>
      <c r="AC180" s="11"/>
      <c r="AD180" s="11"/>
      <c r="AE180" s="20"/>
      <c r="AF180" s="11"/>
      <c r="AG180" s="11"/>
    </row>
    <row r="181" spans="1:33" ht="13.5">
      <c r="A181" s="22"/>
      <c r="C181" s="143" t="str">
        <f>IF(Settings!N48=FALSE,"",BU_J_LS*In*0.95)</f>
        <v/>
      </c>
      <c r="D181" s="141"/>
      <c r="E181" s="146" t="str">
        <f t="shared" si="105"/>
        <v/>
      </c>
      <c r="F181" s="146" t="str">
        <f t="shared" si="106"/>
        <v/>
      </c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V181" s="22"/>
      <c r="W181" s="22"/>
      <c r="X181" s="22"/>
      <c r="Y181" s="22"/>
      <c r="Z181" s="22"/>
      <c r="AA181" s="153"/>
      <c r="AC181" s="11"/>
      <c r="AD181" s="11"/>
      <c r="AE181" s="20"/>
      <c r="AF181" s="11"/>
      <c r="AG181" s="11"/>
    </row>
    <row r="182" spans="1:33" ht="13.5">
      <c r="A182" s="22"/>
      <c r="B182" s="103" t="s">
        <v>110</v>
      </c>
      <c r="C182" s="121" t="str">
        <f>IF(Settings!N49=FALSE,"",IF(BU_t_Je_HS="+","",BU_Je_HS*1.5*In/3))</f>
        <v/>
      </c>
      <c r="D182" s="118" t="str">
        <f>IF(C182="","",BU_t_Je_HS*1000+OpTime)</f>
        <v/>
      </c>
      <c r="E182" s="147" t="str">
        <f t="shared" si="105"/>
        <v/>
      </c>
      <c r="F182" s="147" t="str">
        <f t="shared" si="106"/>
        <v/>
      </c>
      <c r="G182" s="22"/>
      <c r="H182" s="22"/>
      <c r="I182" s="22" t="str">
        <f>IF(Settings!N49=FALSE,"",IF(BU_t_Je_HS="+","",BU_Je_HS*1.5*In/3))</f>
        <v/>
      </c>
      <c r="J182" s="22"/>
      <c r="K182" s="22"/>
      <c r="L182" s="22"/>
      <c r="M182" s="22"/>
      <c r="N182" s="22"/>
      <c r="O182" s="22"/>
      <c r="P182" s="22"/>
      <c r="Q182" s="22"/>
      <c r="R182" s="22"/>
      <c r="V182" s="22"/>
      <c r="W182" s="22"/>
      <c r="X182" s="22"/>
      <c r="Y182" s="22"/>
      <c r="Z182" s="22"/>
      <c r="AA182" s="153"/>
      <c r="AB182" s="11"/>
      <c r="AC182" s="11"/>
      <c r="AD182" s="11"/>
      <c r="AE182" s="20"/>
      <c r="AF182" s="11"/>
      <c r="AG182" s="11"/>
    </row>
    <row r="183" spans="1:33" ht="13.5">
      <c r="A183" s="22"/>
      <c r="C183" s="121" t="e">
        <f>MIN(IF(Settings!N49=FALSE,"",IF(BU_t_Je_HS="+",C184*2,BU_Je_HS*1.05*In/3)),C178)</f>
        <v>#VALUE!</v>
      </c>
      <c r="D183" s="118" t="e">
        <f>IF(C183="","",IF(BU_t_Je_HS="+",D184,BU_t_Je_HS*1000+OpTime))</f>
        <v>#VALUE!</v>
      </c>
      <c r="E183" s="147" t="e">
        <f t="shared" si="105"/>
        <v>#VALUE!</v>
      </c>
      <c r="F183" s="147" t="e">
        <f t="shared" si="106"/>
        <v>#VALUE!</v>
      </c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V183" s="22"/>
      <c r="W183" s="22"/>
      <c r="X183" s="22"/>
      <c r="Y183" s="22"/>
      <c r="Z183" s="22"/>
      <c r="AA183" s="153"/>
      <c r="AB183" s="11"/>
      <c r="AC183" s="11"/>
      <c r="AD183" s="11"/>
      <c r="AE183" s="20"/>
      <c r="AF183" s="11"/>
      <c r="AG183" s="11"/>
    </row>
    <row r="184" spans="1:33" ht="13.5">
      <c r="A184" s="22"/>
      <c r="B184" s="6"/>
      <c r="C184" s="121" t="str">
        <f>IF(Settings!N49=FALSE,"",IF(BU_t_Je_HS="+",BU_Je_LS*4,BU_Je_HS*0.95)*In/3)</f>
        <v/>
      </c>
      <c r="D184" s="118" t="str">
        <f>IF(C184="","",IF(BU_t_Je_LS="+","",BU_t_Je_LS*1000+OpTime))</f>
        <v/>
      </c>
      <c r="E184" s="147" t="str">
        <f t="shared" si="105"/>
        <v/>
      </c>
      <c r="F184" s="147" t="str">
        <f t="shared" si="106"/>
        <v/>
      </c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V184" s="22"/>
      <c r="W184" s="22"/>
      <c r="X184" s="22"/>
      <c r="Y184" s="22"/>
      <c r="Z184" s="22"/>
      <c r="AA184" s="153"/>
      <c r="AB184" s="11"/>
      <c r="AC184" s="11"/>
      <c r="AD184" s="11"/>
      <c r="AE184" s="20"/>
      <c r="AF184" s="11"/>
      <c r="AG184" s="11"/>
    </row>
    <row r="185" spans="1:33" ht="13.5">
      <c r="A185" s="22"/>
      <c r="C185" s="121" t="str">
        <f>IF(Settings!N49=FALSE,"",(BU_Je_HS+BU_Je_LS)/2*In/3)</f>
        <v/>
      </c>
      <c r="D185" s="118" t="str">
        <f>IF(C185="","",IF(BU_t_Je_LS="+","",BU_t_Je_LS*1000+OpTime))</f>
        <v/>
      </c>
      <c r="E185" s="147" t="str">
        <f t="shared" si="105"/>
        <v/>
      </c>
      <c r="F185" s="147" t="str">
        <f t="shared" si="106"/>
        <v/>
      </c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V185" s="22"/>
      <c r="W185" s="22"/>
      <c r="X185" s="22"/>
      <c r="Y185" s="22"/>
      <c r="Z185" s="22"/>
      <c r="AA185" s="153"/>
      <c r="AB185" s="11"/>
      <c r="AC185" s="11"/>
      <c r="AD185" s="11"/>
      <c r="AE185" s="20"/>
      <c r="AF185" s="11"/>
      <c r="AG185" s="11"/>
    </row>
    <row r="186" spans="1:33" ht="13.5">
      <c r="A186" s="22"/>
      <c r="C186" s="121" t="str">
        <f>IF(Settings!N49=FALSE,"",BU_Je_LS*In/3*1.05)</f>
        <v/>
      </c>
      <c r="D186" s="118" t="str">
        <f>IF(C186="","",IF(BU_t_Je_LS="+","",BU_t_Je_LS*1000+OpTime))</f>
        <v/>
      </c>
      <c r="E186" s="147" t="str">
        <f t="shared" si="105"/>
        <v/>
      </c>
      <c r="F186" s="147" t="str">
        <f t="shared" si="106"/>
        <v/>
      </c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V186" s="22"/>
      <c r="W186" s="22"/>
      <c r="X186" s="22"/>
      <c r="Y186" s="22"/>
      <c r="Z186" s="22"/>
      <c r="AA186" s="153"/>
      <c r="AB186" s="11"/>
      <c r="AC186" s="11"/>
      <c r="AD186" s="11"/>
      <c r="AE186" s="20"/>
      <c r="AF186" s="11"/>
      <c r="AG186" s="11"/>
    </row>
    <row r="187" spans="1:33" ht="13.5">
      <c r="A187" s="22"/>
      <c r="C187" s="121" t="str">
        <f>IF(Settings!N49=FALSE,"",BU_Je_LS*In/3*0.95)</f>
        <v/>
      </c>
      <c r="D187" s="118" t="str">
        <f>IF(C187&gt;C181,D180,"")</f>
        <v/>
      </c>
      <c r="E187" s="147" t="str">
        <f t="shared" si="105"/>
        <v/>
      </c>
      <c r="F187" s="147" t="str">
        <f t="shared" si="106"/>
        <v/>
      </c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V187" s="22"/>
      <c r="W187" s="22"/>
      <c r="X187" s="22"/>
      <c r="Y187" s="22"/>
      <c r="Z187" s="22"/>
      <c r="AA187" s="153"/>
      <c r="AB187" s="170"/>
      <c r="AC187" s="11"/>
      <c r="AD187" s="11"/>
      <c r="AE187" s="20"/>
      <c r="AF187" s="11"/>
      <c r="AG187" s="11"/>
    </row>
    <row r="188" spans="1:33" ht="13.5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V188" s="22"/>
      <c r="W188" s="22"/>
      <c r="X188" s="22"/>
      <c r="Y188" s="22"/>
      <c r="Z188" s="22"/>
      <c r="AA188" s="153"/>
      <c r="AB188" s="170"/>
      <c r="AC188" s="11"/>
      <c r="AD188" s="11"/>
      <c r="AE188" s="20"/>
      <c r="AF188" s="11"/>
      <c r="AG188" s="11"/>
    </row>
    <row r="189" spans="1:33" ht="13.5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V189" s="22"/>
      <c r="W189" s="22"/>
      <c r="X189" s="22"/>
      <c r="Y189" s="22"/>
      <c r="Z189" s="22"/>
      <c r="AA189" s="153"/>
      <c r="AB189" s="170"/>
      <c r="AC189" s="11"/>
      <c r="AD189" s="11"/>
      <c r="AE189" s="20"/>
      <c r="AF189" s="11"/>
      <c r="AG189" s="11"/>
    </row>
    <row r="190" spans="1:33" ht="13.5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V190" s="22"/>
      <c r="W190" s="22"/>
      <c r="X190" s="22"/>
      <c r="Y190" s="22"/>
      <c r="Z190" s="22"/>
      <c r="AA190" s="153"/>
      <c r="AB190" s="170"/>
      <c r="AC190" s="11"/>
      <c r="AD190" s="11"/>
      <c r="AE190" s="20"/>
      <c r="AF190" s="11"/>
      <c r="AG190" s="11"/>
    </row>
    <row r="191" spans="1:33" ht="13.5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V191" s="22"/>
      <c r="W191" s="22"/>
      <c r="X191" s="22"/>
      <c r="Y191" s="22"/>
      <c r="Z191" s="22"/>
      <c r="AA191" s="153"/>
      <c r="AB191" s="170"/>
      <c r="AC191" s="11"/>
      <c r="AD191" s="11"/>
      <c r="AE191" s="20"/>
      <c r="AF191" s="11"/>
      <c r="AG191" s="11"/>
    </row>
    <row r="192" spans="1:33" ht="13.5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V192" s="22"/>
      <c r="W192" s="22"/>
      <c r="X192" s="22"/>
      <c r="Y192" s="22"/>
      <c r="Z192" s="22"/>
      <c r="AA192" s="153"/>
      <c r="AB192" s="170"/>
      <c r="AC192" s="11"/>
      <c r="AD192" s="11"/>
      <c r="AE192" s="20"/>
      <c r="AF192" s="11"/>
      <c r="AG192" s="11"/>
    </row>
    <row r="193" spans="1:33" ht="13.5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V193" s="22"/>
      <c r="W193" s="22"/>
      <c r="X193" s="22"/>
      <c r="Y193" s="22"/>
      <c r="Z193" s="22"/>
      <c r="AA193" s="153"/>
      <c r="AB193" s="170"/>
      <c r="AC193" s="11"/>
      <c r="AD193" s="11"/>
      <c r="AE193" s="20"/>
      <c r="AF193" s="11"/>
      <c r="AG193" s="11"/>
    </row>
    <row r="194" spans="1:33" ht="13.5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V194" s="22"/>
      <c r="W194" s="22"/>
      <c r="X194" s="22"/>
      <c r="Y194" s="22"/>
      <c r="Z194" s="22"/>
      <c r="AA194" s="153"/>
      <c r="AB194" s="170"/>
      <c r="AC194" s="11"/>
      <c r="AD194" s="11"/>
      <c r="AE194" s="20"/>
      <c r="AF194" s="11"/>
      <c r="AG194" s="11"/>
    </row>
    <row r="195" spans="1:33" ht="13.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V195" s="22"/>
      <c r="W195" s="22"/>
      <c r="X195" s="22"/>
      <c r="Y195" s="22"/>
      <c r="Z195" s="22"/>
      <c r="AA195" s="153"/>
      <c r="AB195" s="170"/>
      <c r="AC195" s="11"/>
      <c r="AD195" s="11"/>
      <c r="AE195" s="20"/>
      <c r="AF195" s="11"/>
      <c r="AG195" s="11"/>
    </row>
    <row r="196" spans="1:33" ht="13.5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V196" s="22"/>
      <c r="W196" s="22"/>
      <c r="X196" s="22"/>
      <c r="Y196" s="22"/>
      <c r="Z196" s="22"/>
      <c r="AA196" s="153"/>
      <c r="AB196" s="170"/>
      <c r="AC196" s="11"/>
      <c r="AD196" s="11"/>
      <c r="AE196" s="20"/>
      <c r="AF196" s="11"/>
      <c r="AG196" s="11"/>
    </row>
    <row r="197" spans="1:33" ht="13.5">
      <c r="A197" s="22"/>
      <c r="B197" s="22"/>
      <c r="C197" s="22"/>
      <c r="D197" s="554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V197" s="22"/>
      <c r="W197" s="22"/>
      <c r="X197" s="22"/>
      <c r="Y197" s="22"/>
      <c r="Z197" s="22"/>
      <c r="AA197" s="153"/>
      <c r="AB197" s="170"/>
      <c r="AC197" s="11"/>
      <c r="AD197" s="11"/>
      <c r="AE197" s="20"/>
      <c r="AF197" s="11"/>
      <c r="AG197" s="11"/>
    </row>
    <row r="198" spans="1:33" ht="13.5">
      <c r="A198" s="22"/>
      <c r="B198" s="22"/>
      <c r="C198" s="22"/>
      <c r="D198" s="553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V198" s="22"/>
      <c r="W198" s="22"/>
      <c r="X198" s="22"/>
      <c r="Y198" s="22"/>
      <c r="Z198" s="22"/>
      <c r="AA198" s="153"/>
      <c r="AB198" s="11"/>
      <c r="AC198" s="11"/>
      <c r="AD198" s="11"/>
      <c r="AE198" s="20"/>
      <c r="AF198" s="11"/>
      <c r="AG198" s="11"/>
    </row>
    <row r="199" spans="1:33" ht="13.5">
      <c r="A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V199" s="22"/>
      <c r="W199" s="22"/>
      <c r="X199" s="22"/>
      <c r="Y199" s="22"/>
      <c r="Z199" s="22"/>
      <c r="AA199" s="153"/>
      <c r="AB199" s="11"/>
      <c r="AC199" s="11"/>
      <c r="AD199" s="11"/>
      <c r="AE199" s="20"/>
      <c r="AF199" s="11"/>
      <c r="AG199" s="11"/>
    </row>
    <row r="200" spans="1:33" ht="13.5">
      <c r="A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V200" s="22"/>
      <c r="W200" s="22"/>
      <c r="X200" s="22"/>
      <c r="Y200" s="22"/>
      <c r="Z200" s="22"/>
      <c r="AA200" s="153"/>
      <c r="AB200" s="11"/>
      <c r="AC200" s="11"/>
      <c r="AD200" s="11"/>
      <c r="AE200" s="20"/>
      <c r="AF200" s="11"/>
      <c r="AG200" s="11"/>
    </row>
    <row r="201" spans="1:33" ht="13.5">
      <c r="A201" s="22"/>
      <c r="B201" s="244" t="str">
        <f>LEFT(SUBSTITUTE(SUBSTITUTE(SUBSTITUTE(Station," ",""),"/","_"),".","_"),12)</f>
        <v>TurloughHill</v>
      </c>
      <c r="C201" s="244" t="str">
        <f>LEFT(SUBSTITUTE(SUBSTITUTE(SUBSTITUTE(Feeder," ",""),"/","_"),".","_"),12)</f>
        <v>Dunstown</v>
      </c>
      <c r="D201" s="244" t="str">
        <f>Settings!Q6&amp;", "&amp;In&amp;"A"</f>
        <v>7SA612, 5A</v>
      </c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V201" s="22"/>
      <c r="W201" s="22"/>
      <c r="X201" s="22"/>
      <c r="Y201" s="22"/>
      <c r="Z201" s="22"/>
      <c r="AA201" s="153"/>
      <c r="AB201" s="11"/>
      <c r="AC201" s="11"/>
      <c r="AD201" s="11"/>
      <c r="AE201" s="20"/>
      <c r="AF201" s="11"/>
      <c r="AG201" s="11"/>
    </row>
    <row r="202" spans="1:33" ht="13.5">
      <c r="A202" s="22"/>
      <c r="B202" t="s">
        <v>622</v>
      </c>
      <c r="C202" t="str">
        <f>"MW:+"&amp;ROUND(0.5*Settings!G9*Settings!G7*COS(RADIANS(20))*SQRT(3)/1000,1)</f>
        <v>MW:+322.3</v>
      </c>
      <c r="D202" t="str">
        <f>"MVAr:+"&amp;ROUND(0.5*Settings!G9*Settings!G7*SIN(RADIANS(20))*SQRT(3)/1000,1)</f>
        <v>MVAr:+117.3</v>
      </c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V202" s="22"/>
      <c r="W202" s="22"/>
      <c r="X202" s="22"/>
      <c r="Y202" s="22"/>
      <c r="Z202" s="22"/>
      <c r="AA202" s="153"/>
      <c r="AB202" s="11"/>
      <c r="AC202" s="11"/>
      <c r="AD202" s="11"/>
      <c r="AE202" s="20"/>
      <c r="AF202" s="11"/>
      <c r="AG202" s="11"/>
    </row>
    <row r="203" spans="1:33" ht="13.5">
      <c r="A203" s="22"/>
      <c r="B203" s="447" t="s">
        <v>234</v>
      </c>
      <c r="C203" s="448">
        <f>In</f>
        <v>5</v>
      </c>
      <c r="D203" s="679">
        <f ca="1">NOW()</f>
        <v>45792.663103009261</v>
      </c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V203" s="22"/>
      <c r="W203" s="22"/>
      <c r="X203" s="22"/>
      <c r="Y203" s="22"/>
      <c r="Z203" s="22"/>
      <c r="AA203" s="153"/>
      <c r="AB203" s="11"/>
      <c r="AC203" s="11"/>
      <c r="AD203" s="11"/>
      <c r="AE203" s="20"/>
      <c r="AF203" s="11"/>
      <c r="AG203" s="11"/>
    </row>
    <row r="204" spans="1:33" ht="13.5">
      <c r="A204" s="22"/>
      <c r="B204" s="172" t="s">
        <v>228</v>
      </c>
      <c r="C204" s="353">
        <f>TimesTestV</f>
        <v>10.991999999999999</v>
      </c>
      <c r="D204" s="55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V204" s="22"/>
      <c r="W204" s="22"/>
      <c r="X204" s="22"/>
      <c r="Y204" s="22"/>
      <c r="Z204" s="22"/>
      <c r="AA204" s="153"/>
      <c r="AB204" s="11"/>
      <c r="AC204" s="11"/>
      <c r="AD204" s="11"/>
      <c r="AE204" s="20"/>
      <c r="AF204" s="11"/>
      <c r="AG204" s="11"/>
    </row>
    <row r="205" spans="1:33" ht="13.5">
      <c r="A205" s="22"/>
      <c r="B205" s="172" t="s">
        <v>227</v>
      </c>
      <c r="C205" s="353">
        <f>TimesTest_R_V</f>
        <v>12.859199999999998</v>
      </c>
      <c r="D205" s="55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V205" s="22"/>
      <c r="W205" s="22"/>
      <c r="X205" s="22"/>
      <c r="Y205" s="22"/>
      <c r="Z205" s="22"/>
      <c r="AA205" s="153"/>
      <c r="AB205" s="11"/>
      <c r="AC205" s="11"/>
      <c r="AD205" s="11"/>
      <c r="AE205" s="20"/>
      <c r="AF205" s="11"/>
      <c r="AG205" s="11"/>
    </row>
    <row r="206" spans="1:33" ht="13.5">
      <c r="A206" s="22"/>
      <c r="B206" s="172" t="s">
        <v>212</v>
      </c>
      <c r="C206" s="652">
        <f>Vh</f>
        <v>60</v>
      </c>
      <c r="D206" s="522" t="str">
        <f>"xls V: "&amp;DAY(Settings!L1)&amp;"/"&amp;MONTH(Settings!L1)&amp;"/"&amp;YEAR(Settings!L1)</f>
        <v>xls V: 27/10/2010</v>
      </c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V206" s="22"/>
      <c r="W206" s="22"/>
      <c r="X206" s="22"/>
      <c r="Y206" s="22"/>
      <c r="Z206" s="22"/>
      <c r="AA206" s="153"/>
      <c r="AB206" s="11"/>
      <c r="AC206" s="11"/>
      <c r="AD206" s="11"/>
      <c r="AE206" s="20"/>
      <c r="AF206" s="11"/>
      <c r="AG206" s="11"/>
    </row>
    <row r="207" spans="1:33" ht="13.5">
      <c r="A207" s="22"/>
      <c r="B207" s="172" t="s">
        <v>229</v>
      </c>
      <c r="C207" s="353">
        <f>TimesTestV_E</f>
        <v>10.1676</v>
      </c>
      <c r="D207" s="182" t="s">
        <v>231</v>
      </c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V207" s="22"/>
      <c r="W207" s="22"/>
      <c r="X207" s="22"/>
      <c r="Y207" s="22"/>
      <c r="Z207" s="22"/>
      <c r="AA207" s="153"/>
      <c r="AB207" s="11"/>
      <c r="AC207" s="11"/>
      <c r="AD207" s="11"/>
      <c r="AE207" s="20"/>
      <c r="AF207" s="11"/>
      <c r="AG207" s="11"/>
    </row>
    <row r="208" spans="1:33" ht="13.5">
      <c r="A208" s="22"/>
      <c r="B208" s="172" t="s">
        <v>230</v>
      </c>
      <c r="C208" s="353">
        <f>TimesTest_R_V_E</f>
        <v>9.5158079999999998</v>
      </c>
      <c r="D208" s="182" t="s">
        <v>232</v>
      </c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V208" s="22"/>
      <c r="W208" s="22"/>
      <c r="X208" s="22"/>
      <c r="Y208" s="22"/>
      <c r="Z208" s="22"/>
      <c r="AA208" s="153"/>
      <c r="AB208" s="11"/>
      <c r="AC208" s="11"/>
      <c r="AD208" s="11"/>
      <c r="AE208" s="20"/>
      <c r="AF208" s="11"/>
      <c r="AG208" s="11"/>
    </row>
    <row r="209" spans="1:33" ht="13.5">
      <c r="A209" s="22"/>
      <c r="B209" s="354" t="s">
        <v>235</v>
      </c>
      <c r="C209" s="355">
        <f>J_</f>
        <v>0.16</v>
      </c>
      <c r="D209" s="172" t="s">
        <v>238</v>
      </c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V209" s="22"/>
      <c r="W209" s="22"/>
      <c r="X209" s="22"/>
      <c r="Y209" s="22"/>
      <c r="Z209" s="22"/>
      <c r="AA209" s="153"/>
      <c r="AB209" s="11"/>
      <c r="AC209" s="11"/>
      <c r="AD209" s="11"/>
      <c r="AE209" s="20"/>
      <c r="AF209" s="11"/>
      <c r="AG209" s="11"/>
    </row>
    <row r="210" spans="1:33" ht="13.5">
      <c r="A210" s="22"/>
      <c r="B210" s="354" t="s">
        <v>236</v>
      </c>
      <c r="C210" s="355">
        <f>MAX(Je_, J_)</f>
        <v>0.16</v>
      </c>
      <c r="D210" s="534" t="s">
        <v>237</v>
      </c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V210" s="22"/>
      <c r="W210" s="22"/>
      <c r="X210" s="22"/>
      <c r="Y210" s="22"/>
      <c r="Z210" s="22"/>
      <c r="AA210" s="153"/>
      <c r="AB210" s="11"/>
      <c r="AC210" s="11"/>
      <c r="AD210" s="11"/>
      <c r="AE210" s="20"/>
      <c r="AF210" s="11"/>
      <c r="AG210" s="11"/>
    </row>
    <row r="211" spans="1:33" ht="13.5">
      <c r="A211" s="22"/>
      <c r="B211" s="173" t="s">
        <v>153</v>
      </c>
      <c r="C211" s="989">
        <f>IF(C121="","Off",ROUND(C121,$AJ$64))</f>
        <v>1.7070000000000001</v>
      </c>
      <c r="D211" s="162" t="s">
        <v>78</v>
      </c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V211" s="22"/>
      <c r="W211" s="22"/>
      <c r="X211" s="22"/>
      <c r="Y211" s="22"/>
      <c r="Z211" s="22"/>
      <c r="AA211" s="153"/>
      <c r="AB211" s="11"/>
      <c r="AC211" s="11"/>
      <c r="AD211" s="11"/>
      <c r="AE211" s="20"/>
      <c r="AF211" s="11"/>
      <c r="AG211" s="11"/>
    </row>
    <row r="212" spans="1:33" ht="13.5">
      <c r="A212" s="22"/>
      <c r="B212" s="173" t="s">
        <v>154</v>
      </c>
      <c r="C212" s="989">
        <f t="shared" ref="C212:C221" si="107">IF(C122="","Off",ROUND(C122,$AJ$64))</f>
        <v>0.70299999999999996</v>
      </c>
      <c r="D212" s="538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V212" s="22"/>
      <c r="W212" s="22"/>
      <c r="X212" s="22"/>
      <c r="Y212" s="22"/>
      <c r="Z212" s="22"/>
      <c r="AA212" s="153"/>
      <c r="AB212" s="11"/>
      <c r="AC212" s="11"/>
      <c r="AD212" s="11"/>
      <c r="AE212" s="20"/>
      <c r="AF212" s="11"/>
      <c r="AG212" s="11"/>
    </row>
    <row r="213" spans="1:33" ht="13.5">
      <c r="A213" s="22"/>
      <c r="B213" s="173" t="s">
        <v>155</v>
      </c>
      <c r="C213" s="989" t="str">
        <f t="shared" si="107"/>
        <v>Off</v>
      </c>
      <c r="D213" s="539" t="s">
        <v>79</v>
      </c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V213" s="22"/>
      <c r="W213" s="22"/>
      <c r="X213" s="22"/>
      <c r="Y213" s="22"/>
      <c r="Z213" s="22"/>
      <c r="AA213" s="153"/>
      <c r="AB213" s="11"/>
      <c r="AC213" s="11"/>
      <c r="AD213" s="11"/>
      <c r="AE213" s="20"/>
      <c r="AF213" s="11"/>
      <c r="AG213" s="11"/>
    </row>
    <row r="214" spans="1:33" ht="13.5">
      <c r="A214" s="22"/>
      <c r="B214" s="173" t="s">
        <v>156</v>
      </c>
      <c r="C214" s="989" t="str">
        <f t="shared" si="107"/>
        <v>Off</v>
      </c>
      <c r="D214" s="535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V214" s="22"/>
      <c r="W214" s="22"/>
      <c r="X214" s="22"/>
      <c r="Y214" s="22"/>
      <c r="Z214" s="22"/>
      <c r="AA214" s="153"/>
      <c r="AB214" s="11"/>
      <c r="AC214" s="11"/>
      <c r="AD214" s="11"/>
      <c r="AE214" s="20"/>
      <c r="AF214" s="11"/>
      <c r="AG214" s="11"/>
    </row>
    <row r="215" spans="1:33" ht="13.5">
      <c r="A215" s="22"/>
      <c r="B215" s="173" t="s">
        <v>157</v>
      </c>
      <c r="C215" s="989">
        <f t="shared" si="107"/>
        <v>0.66200000000000003</v>
      </c>
      <c r="D215" s="540" t="s">
        <v>80</v>
      </c>
      <c r="F215" s="533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V215" s="22"/>
      <c r="W215" s="22"/>
      <c r="X215" s="22"/>
      <c r="Y215" s="22"/>
      <c r="Z215" s="22"/>
      <c r="AA215" s="153"/>
      <c r="AB215" s="11"/>
      <c r="AC215" s="11"/>
      <c r="AD215" s="11"/>
      <c r="AE215" s="20"/>
      <c r="AF215" s="11"/>
      <c r="AG215" s="11"/>
    </row>
    <row r="216" spans="1:33" ht="13.5">
      <c r="A216" s="22"/>
      <c r="B216" s="173" t="s">
        <v>158</v>
      </c>
      <c r="C216" s="989">
        <f t="shared" si="107"/>
        <v>0.46600000000000003</v>
      </c>
      <c r="D216" s="544" t="str">
        <f>Settings!G16</f>
        <v>Forward</v>
      </c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V216" s="22"/>
      <c r="W216" s="22"/>
      <c r="X216" s="22"/>
      <c r="Y216" s="22"/>
      <c r="Z216" s="22"/>
      <c r="AA216" s="153"/>
      <c r="AB216" s="11"/>
      <c r="AC216" s="11"/>
      <c r="AD216" s="11"/>
      <c r="AE216" s="20"/>
      <c r="AF216" s="11"/>
      <c r="AG216" s="11"/>
    </row>
    <row r="217" spans="1:33" ht="13.5">
      <c r="A217" s="22"/>
      <c r="B217" s="173" t="s">
        <v>159</v>
      </c>
      <c r="C217" s="989" t="str">
        <f t="shared" si="107"/>
        <v>Off</v>
      </c>
      <c r="D217" s="541" t="s">
        <v>702</v>
      </c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V217" s="22"/>
      <c r="W217" s="22"/>
      <c r="X217" s="22"/>
      <c r="Y217" s="22"/>
      <c r="Z217" s="22"/>
      <c r="AA217" s="153"/>
      <c r="AB217" s="11"/>
      <c r="AC217" s="11"/>
      <c r="AD217" s="11"/>
      <c r="AE217" s="20"/>
      <c r="AF217" s="11"/>
      <c r="AG217" s="11"/>
    </row>
    <row r="218" spans="1:33" ht="13.5">
      <c r="A218" s="22"/>
      <c r="B218" s="173" t="s">
        <v>160</v>
      </c>
      <c r="C218" s="989" t="str">
        <f t="shared" si="107"/>
        <v>Off</v>
      </c>
      <c r="D218" s="542" t="b">
        <f>IF(C126=C128,FALSE,TRUE)</f>
        <v>1</v>
      </c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V218" s="22"/>
      <c r="W218" s="22"/>
      <c r="X218" s="22"/>
      <c r="Y218" s="22"/>
      <c r="Z218" s="22"/>
      <c r="AA218" s="153"/>
      <c r="AB218" s="11"/>
      <c r="AC218" s="11"/>
      <c r="AD218" s="11"/>
      <c r="AE218" s="20"/>
      <c r="AF218" s="11"/>
      <c r="AG218" s="11"/>
    </row>
    <row r="219" spans="1:33" ht="13.5">
      <c r="A219" s="22"/>
      <c r="B219" s="173" t="s">
        <v>161</v>
      </c>
      <c r="C219" s="989">
        <f t="shared" si="107"/>
        <v>0.438</v>
      </c>
      <c r="D219" s="543" t="s">
        <v>703</v>
      </c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V219" s="22"/>
      <c r="W219" s="22"/>
      <c r="X219" s="22"/>
      <c r="Y219" s="22"/>
      <c r="Z219" s="22"/>
      <c r="AA219" s="153"/>
      <c r="AB219" s="11"/>
      <c r="AC219" s="11"/>
      <c r="AD219" s="11"/>
      <c r="AE219" s="20"/>
      <c r="AF219" s="11"/>
      <c r="AG219" s="11"/>
    </row>
    <row r="220" spans="1:33" ht="13.5">
      <c r="A220" s="22"/>
      <c r="B220" s="173" t="s">
        <v>162</v>
      </c>
      <c r="C220" s="989">
        <f t="shared" si="107"/>
        <v>0.247</v>
      </c>
      <c r="D220" s="543" t="b">
        <f>IF(C128=C130,FALSE,TRUE)</f>
        <v>1</v>
      </c>
      <c r="E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V220" s="22"/>
      <c r="W220" s="22"/>
      <c r="X220" s="22"/>
      <c r="Y220" s="22"/>
      <c r="Z220" s="22"/>
      <c r="AA220" s="153"/>
      <c r="AB220" s="11"/>
      <c r="AC220" s="11"/>
      <c r="AD220" s="11"/>
      <c r="AE220" s="20"/>
      <c r="AF220" s="11"/>
      <c r="AG220" s="11"/>
    </row>
    <row r="221" spans="1:33" ht="13.5">
      <c r="A221" s="22"/>
      <c r="B221" s="173" t="s">
        <v>163</v>
      </c>
      <c r="C221" s="989">
        <f t="shared" si="107"/>
        <v>0.23300000000000001</v>
      </c>
      <c r="D221" s="537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V221" s="22"/>
      <c r="W221" s="22"/>
      <c r="X221" s="22"/>
      <c r="Y221" s="22"/>
      <c r="Z221" s="22"/>
      <c r="AA221" s="153"/>
      <c r="AB221" s="11"/>
      <c r="AC221" s="11"/>
      <c r="AD221" s="11"/>
      <c r="AE221" s="20"/>
      <c r="AF221" s="11"/>
      <c r="AG221" s="11"/>
    </row>
    <row r="222" spans="1:33" ht="13.5">
      <c r="A222" s="22"/>
      <c r="B222" s="174" t="s">
        <v>184</v>
      </c>
      <c r="C222" s="183">
        <f>IF(D121="","Off",D121)</f>
        <v>30</v>
      </c>
      <c r="D222" s="536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V222" s="22"/>
      <c r="W222" s="22"/>
      <c r="X222" s="22"/>
      <c r="Y222" s="22"/>
      <c r="Z222" s="22"/>
      <c r="AA222" s="153"/>
      <c r="AB222" s="11"/>
      <c r="AC222" s="11"/>
      <c r="AD222" s="11"/>
      <c r="AE222" s="20"/>
      <c r="AF222" s="11"/>
      <c r="AG222" s="11"/>
    </row>
    <row r="223" spans="1:33" ht="13.5">
      <c r="A223" s="22"/>
      <c r="B223" s="174" t="s">
        <v>185</v>
      </c>
      <c r="C223" s="183">
        <f t="shared" ref="C223:C231" si="108">IF(D122="","Off",D122)</f>
        <v>30</v>
      </c>
      <c r="D223" s="183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V223" s="22"/>
      <c r="W223" s="22"/>
      <c r="X223" s="22"/>
      <c r="Y223" s="22"/>
      <c r="Z223" s="22"/>
      <c r="AA223" s="153"/>
      <c r="AB223" s="11"/>
      <c r="AC223" s="11"/>
      <c r="AD223" s="11"/>
      <c r="AE223" s="20"/>
      <c r="AF223" s="11"/>
      <c r="AG223" s="11"/>
    </row>
    <row r="224" spans="1:33" ht="13.5">
      <c r="A224" s="22"/>
      <c r="B224" s="174" t="s">
        <v>186</v>
      </c>
      <c r="C224" s="183" t="str">
        <f t="shared" si="108"/>
        <v>Off</v>
      </c>
      <c r="D224" s="183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V224" s="22"/>
      <c r="W224" s="22"/>
      <c r="X224" s="22"/>
      <c r="Y224" s="22"/>
      <c r="Z224" s="22"/>
      <c r="AA224" s="153"/>
      <c r="AB224" s="11"/>
      <c r="AC224" s="11"/>
      <c r="AD224" s="11"/>
      <c r="AE224" s="20"/>
      <c r="AF224" s="11"/>
      <c r="AG224" s="11"/>
    </row>
    <row r="225" spans="1:33" ht="13.5">
      <c r="A225" s="22"/>
      <c r="B225" s="174" t="s">
        <v>187</v>
      </c>
      <c r="C225" s="183" t="str">
        <f t="shared" si="108"/>
        <v>Off</v>
      </c>
      <c r="D225" s="183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V225" s="22"/>
      <c r="W225" s="22"/>
      <c r="X225" s="22"/>
      <c r="Y225" s="22"/>
      <c r="Z225" s="22"/>
      <c r="AA225" s="153"/>
      <c r="AB225" s="11"/>
      <c r="AC225" s="11"/>
      <c r="AD225" s="11"/>
      <c r="AE225" s="20"/>
      <c r="AF225" s="11"/>
      <c r="AG225" s="11"/>
    </row>
    <row r="226" spans="1:33" ht="13.5">
      <c r="A226" s="22"/>
      <c r="B226" s="174" t="s">
        <v>188</v>
      </c>
      <c r="C226" s="183">
        <f t="shared" si="108"/>
        <v>430</v>
      </c>
      <c r="D226" s="183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V226" s="22"/>
      <c r="W226" s="22"/>
      <c r="X226" s="22"/>
      <c r="Y226" s="22"/>
      <c r="Z226" s="22"/>
      <c r="AA226" s="153"/>
      <c r="AB226" s="11"/>
      <c r="AC226" s="11"/>
      <c r="AD226" s="11"/>
      <c r="AE226" s="20"/>
      <c r="AF226" s="11"/>
      <c r="AG226" s="11"/>
    </row>
    <row r="227" spans="1:33" ht="13.5">
      <c r="A227" s="22"/>
      <c r="B227" s="174" t="s">
        <v>189</v>
      </c>
      <c r="C227" s="183">
        <f t="shared" si="108"/>
        <v>430</v>
      </c>
      <c r="D227" s="183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V227" s="22"/>
      <c r="W227" s="22"/>
      <c r="X227" s="22"/>
      <c r="Y227" s="22"/>
      <c r="Z227" s="22"/>
      <c r="AA227" s="153"/>
      <c r="AB227" s="11"/>
      <c r="AC227" s="11"/>
      <c r="AD227" s="11"/>
      <c r="AE227" s="20"/>
      <c r="AF227" s="11"/>
      <c r="AG227" s="11"/>
    </row>
    <row r="228" spans="1:33" ht="13.5">
      <c r="A228" s="22"/>
      <c r="B228" s="174" t="s">
        <v>190</v>
      </c>
      <c r="C228" s="183" t="str">
        <f t="shared" si="108"/>
        <v>Off</v>
      </c>
      <c r="D228" s="183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V228" s="22"/>
      <c r="W228" s="22"/>
      <c r="X228" s="22"/>
      <c r="Y228" s="22"/>
      <c r="Z228" s="22"/>
      <c r="AA228" s="153"/>
      <c r="AB228" s="11"/>
      <c r="AC228" s="11"/>
      <c r="AD228" s="11"/>
      <c r="AE228" s="20"/>
      <c r="AF228" s="11"/>
      <c r="AG228" s="11"/>
    </row>
    <row r="229" spans="1:33" ht="13.5">
      <c r="A229" s="22"/>
      <c r="B229" s="174" t="s">
        <v>191</v>
      </c>
      <c r="C229" s="183" t="str">
        <f t="shared" si="108"/>
        <v>Off</v>
      </c>
      <c r="D229" s="183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V229" s="22"/>
      <c r="W229" s="22"/>
      <c r="X229" s="22"/>
      <c r="Y229" s="22"/>
      <c r="Z229" s="22"/>
      <c r="AA229" s="153"/>
      <c r="AB229" s="11"/>
      <c r="AC229" s="11"/>
      <c r="AD229" s="11"/>
      <c r="AE229" s="20"/>
      <c r="AF229" s="11"/>
      <c r="AG229" s="11"/>
    </row>
    <row r="230" spans="1:33" ht="13.5">
      <c r="A230" s="22"/>
      <c r="B230" s="174" t="s">
        <v>192</v>
      </c>
      <c r="C230" s="183">
        <f t="shared" si="108"/>
        <v>930</v>
      </c>
      <c r="D230" s="183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V230" s="22"/>
      <c r="W230" s="22"/>
      <c r="X230" s="22"/>
      <c r="Y230" s="22"/>
      <c r="Z230" s="22"/>
      <c r="AA230" s="153"/>
      <c r="AB230" s="11"/>
      <c r="AC230" s="11"/>
      <c r="AD230" s="11"/>
      <c r="AE230" s="20"/>
      <c r="AF230" s="11"/>
      <c r="AG230" s="11"/>
    </row>
    <row r="231" spans="1:33" ht="13.5">
      <c r="A231" s="22"/>
      <c r="B231" s="174" t="s">
        <v>193</v>
      </c>
      <c r="C231" s="183">
        <f t="shared" si="108"/>
        <v>930</v>
      </c>
      <c r="D231" s="183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V231" s="22"/>
      <c r="W231" s="22"/>
      <c r="X231" s="22"/>
      <c r="Y231" s="22"/>
      <c r="Z231" s="22"/>
      <c r="AA231" s="153"/>
      <c r="AB231" s="11"/>
      <c r="AC231" s="11"/>
      <c r="AD231" s="11"/>
      <c r="AE231" s="20"/>
      <c r="AF231" s="11"/>
      <c r="AG231" s="11"/>
    </row>
    <row r="232" spans="1:33" ht="13.5">
      <c r="A232" s="22"/>
      <c r="B232" s="175" t="s">
        <v>164</v>
      </c>
      <c r="C232" s="990" t="str">
        <f>IF(C134="","Off",ROUND(C134,$AJ$66))</f>
        <v>Off</v>
      </c>
      <c r="D232" s="176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V232" s="22"/>
      <c r="W232" s="22"/>
      <c r="X232" s="22"/>
      <c r="Y232" s="22"/>
      <c r="Z232" s="22"/>
      <c r="AA232" s="153"/>
      <c r="AB232" s="11"/>
      <c r="AC232" s="11"/>
      <c r="AD232" s="11"/>
      <c r="AE232" s="20"/>
      <c r="AF232" s="11"/>
      <c r="AG232" s="11"/>
    </row>
    <row r="233" spans="1:33" ht="13.5">
      <c r="A233" s="22"/>
      <c r="B233" s="175" t="s">
        <v>165</v>
      </c>
      <c r="C233" s="990" t="str">
        <f>IF(C135="","Off",ROUND(C135,$AJ$66))</f>
        <v>Off</v>
      </c>
      <c r="D233" s="176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V233" s="22"/>
      <c r="W233" s="22"/>
      <c r="X233" s="22"/>
      <c r="Y233" s="22"/>
      <c r="Z233" s="22"/>
      <c r="AA233" s="153"/>
      <c r="AB233" s="11"/>
      <c r="AC233" s="11"/>
      <c r="AD233" s="11"/>
      <c r="AE233" s="20"/>
      <c r="AF233" s="11"/>
      <c r="AG233" s="11"/>
    </row>
    <row r="234" spans="1:33" ht="13.5">
      <c r="A234" s="22"/>
      <c r="B234" s="175" t="s">
        <v>166</v>
      </c>
      <c r="C234" s="990">
        <f>IF(C136="","Off",ROUND(C136,$AJ$66))</f>
        <v>6.7</v>
      </c>
      <c r="D234" s="176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V234" s="22"/>
      <c r="W234" s="22"/>
      <c r="X234" s="22"/>
      <c r="Y234" s="22"/>
      <c r="Z234" s="22"/>
      <c r="AA234" s="153"/>
      <c r="AB234" s="11"/>
      <c r="AC234" s="11"/>
      <c r="AD234" s="11"/>
      <c r="AE234" s="20"/>
      <c r="AF234" s="11"/>
      <c r="AG234" s="11"/>
    </row>
    <row r="235" spans="1:33" ht="13.5">
      <c r="A235" s="22"/>
      <c r="B235" s="175" t="s">
        <v>167</v>
      </c>
      <c r="C235" s="990">
        <f>IF(C137="","Off",ROUND(C137,$AJ$66))</f>
        <v>0.247</v>
      </c>
      <c r="D235" s="176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V235" s="22"/>
      <c r="W235" s="22"/>
      <c r="X235" s="22"/>
      <c r="Y235" s="22"/>
      <c r="Z235" s="22"/>
      <c r="AA235" s="153"/>
      <c r="AB235" s="11"/>
      <c r="AC235" s="11"/>
      <c r="AD235" s="11"/>
      <c r="AE235" s="20"/>
      <c r="AF235" s="11"/>
      <c r="AG235" s="11"/>
    </row>
    <row r="236" spans="1:33" ht="13.5">
      <c r="A236" s="22"/>
      <c r="B236" s="175" t="s">
        <v>168</v>
      </c>
      <c r="C236" s="990">
        <f>IF(C138="","Off",ROUND(C138,$AJ$66))</f>
        <v>0.23300000000000001</v>
      </c>
      <c r="D236" s="176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V236" s="22"/>
      <c r="W236" s="22"/>
      <c r="X236" s="22"/>
      <c r="Y236" s="22"/>
      <c r="Z236" s="22"/>
      <c r="AA236" s="153"/>
      <c r="AB236" s="11"/>
      <c r="AC236" s="11"/>
      <c r="AD236" s="11"/>
      <c r="AE236" s="20"/>
      <c r="AF236" s="11"/>
      <c r="AG236" s="11"/>
    </row>
    <row r="237" spans="1:33" ht="13.5">
      <c r="A237" s="22"/>
      <c r="B237" s="175" t="s">
        <v>194</v>
      </c>
      <c r="C237" s="184">
        <f>IF(D134="","Off",D134)</f>
        <v>430</v>
      </c>
      <c r="D237" s="184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V237" s="22"/>
      <c r="W237" s="22"/>
      <c r="X237" s="22"/>
      <c r="Y237" s="22"/>
      <c r="Z237" s="22"/>
      <c r="AA237" s="153"/>
      <c r="AB237" s="11"/>
      <c r="AC237" s="11"/>
      <c r="AD237" s="11"/>
      <c r="AE237" s="20"/>
      <c r="AF237" s="11"/>
      <c r="AG237" s="11"/>
    </row>
    <row r="238" spans="1:33" ht="13.5">
      <c r="A238" s="22"/>
      <c r="B238" s="175" t="s">
        <v>195</v>
      </c>
      <c r="C238" s="184">
        <f>IF(D135="","Off",D135)</f>
        <v>430</v>
      </c>
      <c r="D238" s="184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V238" s="22"/>
      <c r="W238" s="22"/>
      <c r="X238" s="22"/>
      <c r="Y238" s="22"/>
      <c r="Z238" s="22"/>
      <c r="AA238" s="153"/>
      <c r="AB238" s="11"/>
      <c r="AC238" s="11"/>
      <c r="AD238" s="11"/>
      <c r="AE238" s="20"/>
      <c r="AF238" s="11"/>
      <c r="AG238" s="11"/>
    </row>
    <row r="239" spans="1:33" ht="13.5">
      <c r="A239" s="22"/>
      <c r="B239" s="175" t="s">
        <v>196</v>
      </c>
      <c r="C239" s="184">
        <f>IF(D136="","Off",D136)</f>
        <v>1130</v>
      </c>
      <c r="D239" s="184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V239" s="22"/>
      <c r="W239" s="22"/>
      <c r="X239" s="22"/>
      <c r="Y239" s="22"/>
      <c r="Z239" s="22"/>
      <c r="AA239" s="153"/>
      <c r="AB239" s="11"/>
      <c r="AC239" s="11"/>
      <c r="AD239" s="11"/>
      <c r="AE239" s="20"/>
      <c r="AF239" s="11"/>
      <c r="AG239" s="11"/>
    </row>
    <row r="240" spans="1:33" ht="13.5">
      <c r="A240" s="22"/>
      <c r="B240" s="175" t="s">
        <v>197</v>
      </c>
      <c r="C240" s="184">
        <f>IF(D137="","Off",D137)</f>
        <v>1130</v>
      </c>
      <c r="D240" s="545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V240" s="22"/>
      <c r="W240" s="22"/>
      <c r="X240" s="22"/>
      <c r="Y240" s="22"/>
      <c r="Z240" s="22"/>
      <c r="AA240" s="153"/>
      <c r="AB240" s="11"/>
      <c r="AC240" s="11"/>
      <c r="AD240" s="11"/>
      <c r="AE240" s="20"/>
      <c r="AF240" s="11"/>
      <c r="AG240" s="11"/>
    </row>
    <row r="241" spans="1:33" ht="13.5">
      <c r="A241" s="22"/>
      <c r="B241" s="173" t="s">
        <v>169</v>
      </c>
      <c r="C241" s="991">
        <f>IF(I121="","Off",ROUND(I121,$AJ$65))</f>
        <v>1.7070000000000001</v>
      </c>
      <c r="D241" s="16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V241" s="22"/>
      <c r="W241" s="22"/>
      <c r="X241" s="22"/>
      <c r="Y241" s="22"/>
      <c r="Z241" s="22"/>
      <c r="AA241" s="153"/>
      <c r="AB241" s="11"/>
      <c r="AC241" s="11"/>
      <c r="AD241" s="11"/>
      <c r="AE241" s="20"/>
      <c r="AF241" s="11"/>
      <c r="AG241" s="11"/>
    </row>
    <row r="242" spans="1:33" ht="13.5">
      <c r="A242" s="22"/>
      <c r="B242" s="173" t="s">
        <v>170</v>
      </c>
      <c r="C242" s="991">
        <f t="shared" ref="C242:C251" si="109">IF(I122="","Off",ROUND(I122,$AJ$65))</f>
        <v>0.70299999999999996</v>
      </c>
      <c r="D242" s="538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V242" s="22"/>
      <c r="W242" s="22"/>
      <c r="X242" s="22"/>
      <c r="Y242" s="22"/>
      <c r="Z242" s="22"/>
      <c r="AA242" s="153"/>
      <c r="AB242" s="11"/>
      <c r="AC242" s="11"/>
      <c r="AD242" s="11"/>
      <c r="AE242" s="20"/>
      <c r="AF242" s="11"/>
      <c r="AG242" s="11"/>
    </row>
    <row r="243" spans="1:33" ht="13.5">
      <c r="A243" s="22"/>
      <c r="B243" s="173" t="s">
        <v>171</v>
      </c>
      <c r="C243" s="991" t="str">
        <f t="shared" si="109"/>
        <v>Off</v>
      </c>
      <c r="D243" s="539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V243" s="22"/>
      <c r="W243" s="22"/>
      <c r="X243" s="22"/>
      <c r="Y243" s="22"/>
      <c r="Z243" s="22"/>
      <c r="AA243" s="153"/>
      <c r="AB243" s="11"/>
      <c r="AC243" s="11"/>
      <c r="AD243" s="11"/>
      <c r="AE243" s="20"/>
      <c r="AF243" s="11"/>
      <c r="AG243" s="11"/>
    </row>
    <row r="244" spans="1:33" ht="13.5">
      <c r="A244" s="22"/>
      <c r="B244" s="173" t="s">
        <v>172</v>
      </c>
      <c r="C244" s="991" t="str">
        <f t="shared" si="109"/>
        <v>Off</v>
      </c>
      <c r="D244" s="535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V244" s="22"/>
      <c r="W244" s="22"/>
      <c r="X244" s="22"/>
      <c r="Y244" s="22"/>
      <c r="Z244" s="22"/>
      <c r="AA244" s="153"/>
      <c r="AB244" s="11"/>
      <c r="AC244" s="11"/>
      <c r="AD244" s="11"/>
      <c r="AE244" s="20"/>
      <c r="AF244" s="11"/>
      <c r="AG244" s="11"/>
    </row>
    <row r="245" spans="1:33" ht="13.5">
      <c r="A245" s="22"/>
      <c r="B245" s="173" t="s">
        <v>173</v>
      </c>
      <c r="C245" s="991">
        <f t="shared" si="109"/>
        <v>0.66200000000000003</v>
      </c>
      <c r="D245" s="540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V245" s="22"/>
      <c r="W245" s="22"/>
      <c r="X245" s="22"/>
      <c r="Y245" s="22"/>
      <c r="Z245" s="22"/>
      <c r="AA245" s="153"/>
      <c r="AB245" s="11"/>
      <c r="AC245" s="11"/>
      <c r="AD245" s="11"/>
      <c r="AE245" s="20"/>
      <c r="AF245" s="11"/>
      <c r="AG245" s="11"/>
    </row>
    <row r="246" spans="1:33" ht="13.5">
      <c r="A246" s="22"/>
      <c r="B246" s="173" t="s">
        <v>174</v>
      </c>
      <c r="C246" s="991">
        <f t="shared" si="109"/>
        <v>0.46600000000000003</v>
      </c>
      <c r="D246" s="544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V246" s="22"/>
      <c r="W246" s="22"/>
      <c r="X246" s="22"/>
      <c r="Y246" s="22"/>
      <c r="Z246" s="22"/>
      <c r="AA246" s="153"/>
      <c r="AB246" s="11"/>
      <c r="AC246" s="11"/>
      <c r="AD246" s="11"/>
      <c r="AE246" s="20"/>
      <c r="AF246" s="11"/>
      <c r="AG246" s="11"/>
    </row>
    <row r="247" spans="1:33" ht="13.5">
      <c r="A247" s="22"/>
      <c r="B247" s="173" t="s">
        <v>175</v>
      </c>
      <c r="C247" s="991" t="str">
        <f t="shared" si="109"/>
        <v>Off</v>
      </c>
      <c r="D247" s="541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V247" s="22"/>
      <c r="W247" s="22"/>
      <c r="X247" s="22"/>
      <c r="Y247" s="22"/>
      <c r="Z247" s="22"/>
      <c r="AA247" s="153"/>
      <c r="AB247" s="11"/>
      <c r="AC247" s="11"/>
      <c r="AD247" s="11"/>
      <c r="AE247" s="20"/>
      <c r="AF247" s="11"/>
      <c r="AG247" s="11"/>
    </row>
    <row r="248" spans="1:33" ht="13.5">
      <c r="A248" s="22"/>
      <c r="B248" s="173" t="s">
        <v>176</v>
      </c>
      <c r="C248" s="991" t="str">
        <f t="shared" si="109"/>
        <v>Off</v>
      </c>
      <c r="D248" s="54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V248" s="22"/>
      <c r="W248" s="22"/>
      <c r="X248" s="22"/>
      <c r="Y248" s="22"/>
      <c r="Z248" s="22"/>
      <c r="AA248" s="153"/>
      <c r="AB248" s="11"/>
      <c r="AC248" s="11"/>
      <c r="AD248" s="11"/>
      <c r="AE248" s="20"/>
      <c r="AF248" s="11"/>
      <c r="AG248" s="11"/>
    </row>
    <row r="249" spans="1:33" ht="13.5">
      <c r="A249" s="22"/>
      <c r="B249" s="173" t="s">
        <v>177</v>
      </c>
      <c r="C249" s="991">
        <f t="shared" si="109"/>
        <v>0.438</v>
      </c>
      <c r="D249" s="543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V249" s="22"/>
      <c r="W249" s="22"/>
      <c r="X249" s="22"/>
      <c r="Y249" s="22"/>
      <c r="Z249" s="22"/>
      <c r="AA249" s="153"/>
      <c r="AB249" s="11"/>
      <c r="AC249" s="11"/>
      <c r="AD249" s="11"/>
      <c r="AE249" s="20"/>
      <c r="AF249" s="11"/>
      <c r="AG249" s="11"/>
    </row>
    <row r="250" spans="1:33" ht="13.5">
      <c r="A250" s="22"/>
      <c r="B250" s="173" t="s">
        <v>178</v>
      </c>
      <c r="C250" s="991">
        <f t="shared" si="109"/>
        <v>0.247</v>
      </c>
      <c r="D250" s="543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V250" s="22"/>
      <c r="W250" s="22"/>
      <c r="X250" s="22"/>
      <c r="Y250" s="22"/>
      <c r="Z250" s="22"/>
      <c r="AA250" s="153"/>
      <c r="AB250" s="11"/>
      <c r="AC250" s="11"/>
      <c r="AD250" s="11"/>
      <c r="AE250" s="20"/>
      <c r="AF250" s="11"/>
      <c r="AG250" s="11"/>
    </row>
    <row r="251" spans="1:33" ht="13.5">
      <c r="A251" s="22"/>
      <c r="B251" s="173" t="s">
        <v>233</v>
      </c>
      <c r="C251" s="991">
        <f t="shared" si="109"/>
        <v>0.23300000000000001</v>
      </c>
      <c r="D251" s="537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V251" s="22"/>
      <c r="W251" s="22"/>
      <c r="X251" s="22"/>
      <c r="Y251" s="22"/>
      <c r="Z251" s="22"/>
      <c r="AA251" s="153"/>
      <c r="AB251" s="11"/>
      <c r="AC251" s="11"/>
      <c r="AD251" s="11"/>
      <c r="AE251" s="20"/>
      <c r="AF251" s="11"/>
      <c r="AG251" s="11"/>
    </row>
    <row r="252" spans="1:33" ht="13.5">
      <c r="A252" s="22"/>
      <c r="B252" s="174" t="s">
        <v>202</v>
      </c>
      <c r="C252" s="183">
        <f>IF(J121="","Off",J121)</f>
        <v>30</v>
      </c>
      <c r="D252" s="536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V252" s="22"/>
      <c r="W252" s="22"/>
      <c r="X252" s="22"/>
      <c r="Y252" s="22"/>
      <c r="Z252" s="22"/>
      <c r="AA252" s="153"/>
      <c r="AB252" s="11"/>
      <c r="AC252" s="11"/>
      <c r="AD252" s="11"/>
      <c r="AE252" s="20"/>
      <c r="AF252" s="11"/>
      <c r="AG252" s="11"/>
    </row>
    <row r="253" spans="1:33" ht="13.5">
      <c r="A253" s="22"/>
      <c r="B253" s="174" t="s">
        <v>203</v>
      </c>
      <c r="C253" s="183">
        <f t="shared" ref="C253:C261" si="110">IF(J122="","Off",J122)</f>
        <v>30</v>
      </c>
      <c r="D253" s="183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V253" s="22"/>
      <c r="W253" s="22"/>
      <c r="X253" s="22"/>
      <c r="Y253" s="22"/>
      <c r="Z253" s="22"/>
      <c r="AA253" s="153"/>
      <c r="AB253" s="11"/>
      <c r="AC253" s="11"/>
      <c r="AD253" s="11"/>
      <c r="AE253" s="20"/>
      <c r="AF253" s="11"/>
      <c r="AG253" s="11"/>
    </row>
    <row r="254" spans="1:33" ht="13.5">
      <c r="A254" s="22"/>
      <c r="B254" s="174" t="s">
        <v>204</v>
      </c>
      <c r="C254" s="183" t="str">
        <f t="shared" si="110"/>
        <v>Off</v>
      </c>
      <c r="D254" s="183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V254" s="22"/>
      <c r="W254" s="22"/>
      <c r="X254" s="22"/>
      <c r="Y254" s="22"/>
      <c r="Z254" s="22"/>
      <c r="AA254" s="153"/>
      <c r="AB254" s="11"/>
      <c r="AC254" s="11"/>
      <c r="AD254" s="11"/>
      <c r="AE254" s="20"/>
      <c r="AF254" s="11"/>
      <c r="AG254" s="11"/>
    </row>
    <row r="255" spans="1:33" ht="13.5">
      <c r="A255" s="22"/>
      <c r="B255" s="174" t="s">
        <v>205</v>
      </c>
      <c r="C255" s="183" t="str">
        <f t="shared" si="110"/>
        <v>Off</v>
      </c>
      <c r="D255" s="183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V255" s="22"/>
      <c r="W255" s="22"/>
      <c r="X255" s="22"/>
      <c r="Y255" s="22"/>
      <c r="Z255" s="22"/>
      <c r="AA255" s="153"/>
      <c r="AB255" s="11"/>
      <c r="AC255" s="11"/>
      <c r="AD255" s="11"/>
      <c r="AE255" s="20"/>
      <c r="AF255" s="11"/>
      <c r="AG255" s="11"/>
    </row>
    <row r="256" spans="1:33" ht="13.5">
      <c r="A256" s="22"/>
      <c r="B256" s="174" t="s">
        <v>206</v>
      </c>
      <c r="C256" s="183">
        <f t="shared" si="110"/>
        <v>430</v>
      </c>
      <c r="D256" s="183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V256" s="22"/>
      <c r="W256" s="22"/>
      <c r="X256" s="22"/>
      <c r="Y256" s="22"/>
      <c r="Z256" s="22"/>
      <c r="AA256" s="153"/>
      <c r="AB256" s="11"/>
      <c r="AC256" s="11"/>
      <c r="AD256" s="11"/>
      <c r="AE256" s="20"/>
      <c r="AF256" s="11"/>
      <c r="AG256" s="11"/>
    </row>
    <row r="257" spans="1:33" ht="13.5">
      <c r="A257" s="22"/>
      <c r="B257" s="174" t="s">
        <v>207</v>
      </c>
      <c r="C257" s="183">
        <f t="shared" si="110"/>
        <v>430</v>
      </c>
      <c r="D257" s="183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V257" s="22"/>
      <c r="W257" s="22"/>
      <c r="X257" s="22"/>
      <c r="Y257" s="22"/>
      <c r="Z257" s="22"/>
      <c r="AA257" s="153"/>
      <c r="AB257" s="11"/>
      <c r="AC257" s="11"/>
      <c r="AD257" s="11"/>
      <c r="AE257" s="20"/>
      <c r="AF257" s="11"/>
      <c r="AG257" s="11"/>
    </row>
    <row r="258" spans="1:33" ht="13.5">
      <c r="A258" s="22"/>
      <c r="B258" s="174" t="s">
        <v>208</v>
      </c>
      <c r="C258" s="183" t="str">
        <f t="shared" si="110"/>
        <v>Off</v>
      </c>
      <c r="D258" s="183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V258" s="22"/>
      <c r="W258" s="22"/>
      <c r="X258" s="22"/>
      <c r="Y258" s="22"/>
      <c r="Z258" s="22"/>
      <c r="AA258" s="153"/>
      <c r="AB258" s="11"/>
      <c r="AC258" s="11"/>
      <c r="AD258" s="11"/>
      <c r="AE258" s="20"/>
      <c r="AF258" s="11"/>
      <c r="AG258" s="11"/>
    </row>
    <row r="259" spans="1:33" ht="13.5">
      <c r="A259" s="22"/>
      <c r="B259" s="174" t="s">
        <v>209</v>
      </c>
      <c r="C259" s="183" t="str">
        <f t="shared" si="110"/>
        <v>Off</v>
      </c>
      <c r="D259" s="183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V259" s="22"/>
      <c r="W259" s="22"/>
      <c r="X259" s="22"/>
      <c r="Y259" s="22"/>
      <c r="Z259" s="22"/>
      <c r="AA259" s="153"/>
      <c r="AB259" s="11"/>
      <c r="AC259" s="11"/>
      <c r="AD259" s="11"/>
      <c r="AE259" s="20"/>
      <c r="AF259" s="11"/>
      <c r="AG259" s="11"/>
    </row>
    <row r="260" spans="1:33" ht="13.5">
      <c r="A260" s="22"/>
      <c r="B260" s="174" t="s">
        <v>210</v>
      </c>
      <c r="C260" s="183">
        <f t="shared" si="110"/>
        <v>930</v>
      </c>
      <c r="D260" s="183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V260" s="22"/>
      <c r="W260" s="22"/>
      <c r="X260" s="22"/>
      <c r="Y260" s="22"/>
      <c r="Z260" s="22"/>
      <c r="AA260" s="153"/>
      <c r="AB260" s="11"/>
      <c r="AC260" s="11"/>
      <c r="AD260" s="11"/>
      <c r="AE260" s="20"/>
      <c r="AF260" s="11"/>
      <c r="AG260" s="11"/>
    </row>
    <row r="261" spans="1:33" ht="13.5">
      <c r="A261" s="22"/>
      <c r="B261" s="174" t="s">
        <v>211</v>
      </c>
      <c r="C261" s="183">
        <f t="shared" si="110"/>
        <v>930</v>
      </c>
      <c r="D261" s="183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V261" s="22"/>
      <c r="W261" s="22"/>
      <c r="X261" s="22"/>
      <c r="Y261" s="22"/>
      <c r="Z261" s="22"/>
      <c r="AA261" s="153"/>
      <c r="AB261" s="11"/>
      <c r="AC261" s="11"/>
      <c r="AD261" s="11"/>
      <c r="AE261" s="20"/>
      <c r="AF261" s="11"/>
      <c r="AG261" s="11"/>
    </row>
    <row r="262" spans="1:33" ht="13.5">
      <c r="A262" s="22"/>
      <c r="B262" s="175" t="s">
        <v>179</v>
      </c>
      <c r="C262" s="992" t="str">
        <f>IF(I134="","Off",ROUND(I134,$AJ$67))</f>
        <v>Off</v>
      </c>
      <c r="D262" s="185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V262" s="22"/>
      <c r="W262" s="22"/>
      <c r="X262" s="22"/>
      <c r="Y262" s="22"/>
      <c r="Z262" s="22"/>
      <c r="AA262" s="153"/>
      <c r="AB262" s="11"/>
      <c r="AC262" s="11"/>
      <c r="AD262" s="11"/>
      <c r="AE262" s="20"/>
      <c r="AF262" s="11"/>
      <c r="AG262" s="11"/>
    </row>
    <row r="263" spans="1:33" ht="13.5">
      <c r="A263" s="22"/>
      <c r="B263" s="175" t="s">
        <v>180</v>
      </c>
      <c r="C263" s="992" t="str">
        <f>IF(I135="","Off",ROUND(I135,$AJ$67))</f>
        <v>Off</v>
      </c>
      <c r="D263" s="185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V263" s="22"/>
      <c r="W263" s="22"/>
      <c r="X263" s="22"/>
      <c r="Y263" s="22"/>
      <c r="Z263" s="22"/>
      <c r="AA263" s="153"/>
      <c r="AB263" s="11"/>
      <c r="AC263" s="11"/>
      <c r="AD263" s="11"/>
      <c r="AE263" s="20"/>
      <c r="AF263" s="11"/>
      <c r="AG263" s="11"/>
    </row>
    <row r="264" spans="1:33" ht="13.5">
      <c r="A264" s="22"/>
      <c r="B264" s="175" t="s">
        <v>181</v>
      </c>
      <c r="C264" s="992">
        <f>IF(I136="","Off",ROUND(I136,$AJ$67))</f>
        <v>5.36</v>
      </c>
      <c r="D264" s="185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V264" s="22"/>
      <c r="W264" s="22"/>
      <c r="X264" s="22"/>
      <c r="Y264" s="22"/>
      <c r="Z264" s="22"/>
      <c r="AA264" s="153"/>
      <c r="AB264" s="11"/>
      <c r="AC264" s="11"/>
      <c r="AD264" s="11"/>
      <c r="AE264" s="20"/>
      <c r="AF264" s="11"/>
      <c r="AG264" s="11"/>
    </row>
    <row r="265" spans="1:33" ht="13.5">
      <c r="A265" s="22"/>
      <c r="B265" s="175" t="s">
        <v>182</v>
      </c>
      <c r="C265" s="992">
        <f>IF(I137="","Off",ROUND(I137,$AJ$67))</f>
        <v>0.19800000000000001</v>
      </c>
      <c r="D265" s="185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V265" s="22"/>
      <c r="W265" s="22"/>
      <c r="X265" s="22"/>
      <c r="Y265" s="22"/>
      <c r="Z265" s="22"/>
      <c r="AA265" s="153"/>
      <c r="AB265" s="11"/>
      <c r="AC265" s="11"/>
      <c r="AD265" s="11"/>
      <c r="AE265" s="20"/>
      <c r="AF265" s="11"/>
      <c r="AG265" s="11"/>
    </row>
    <row r="266" spans="1:33" ht="13.5">
      <c r="A266" s="22"/>
      <c r="B266" s="175" t="s">
        <v>183</v>
      </c>
      <c r="C266" s="992">
        <f>IF(I138="","Off",ROUND(I138,$AJ$67))</f>
        <v>0.186</v>
      </c>
      <c r="D266" s="185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V266" s="22"/>
      <c r="W266" s="22"/>
      <c r="X266" s="22"/>
      <c r="Y266" s="22"/>
      <c r="Z266" s="22"/>
      <c r="AA266" s="153"/>
      <c r="AB266" s="11"/>
      <c r="AC266" s="11"/>
      <c r="AD266" s="11"/>
      <c r="AE266" s="20"/>
      <c r="AF266" s="11"/>
      <c r="AG266" s="11"/>
    </row>
    <row r="267" spans="1:33" ht="13.5">
      <c r="A267" s="22"/>
      <c r="B267" s="175" t="s">
        <v>198</v>
      </c>
      <c r="C267" s="184">
        <f>IF(J134="","Off",J134)</f>
        <v>430</v>
      </c>
      <c r="D267" s="184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V267" s="22"/>
      <c r="W267" s="22"/>
      <c r="X267" s="22"/>
      <c r="Y267" s="22"/>
      <c r="Z267" s="22"/>
      <c r="AA267" s="153"/>
      <c r="AB267" s="11"/>
      <c r="AC267" s="11"/>
      <c r="AD267" s="11"/>
      <c r="AE267" s="20"/>
      <c r="AF267" s="11"/>
      <c r="AG267" s="11"/>
    </row>
    <row r="268" spans="1:33" ht="13.5">
      <c r="A268" s="22"/>
      <c r="B268" s="175" t="s">
        <v>199</v>
      </c>
      <c r="C268" s="184">
        <f>IF(J135="","Off",J135)</f>
        <v>430</v>
      </c>
      <c r="D268" s="184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V268" s="22"/>
      <c r="W268" s="22"/>
      <c r="X268" s="22"/>
      <c r="Y268" s="22"/>
      <c r="Z268" s="22"/>
      <c r="AA268" s="153"/>
      <c r="AB268" s="11"/>
      <c r="AC268" s="11"/>
      <c r="AD268" s="11"/>
      <c r="AE268" s="20"/>
      <c r="AF268" s="11"/>
      <c r="AG268" s="11"/>
    </row>
    <row r="269" spans="1:33" ht="13.5">
      <c r="A269" s="22"/>
      <c r="B269" s="175" t="s">
        <v>200</v>
      </c>
      <c r="C269" s="184">
        <f>IF(J136="","Off",J136)</f>
        <v>1130</v>
      </c>
      <c r="D269" s="184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V269" s="22"/>
      <c r="W269" s="22"/>
      <c r="X269" s="22"/>
      <c r="Y269" s="22"/>
      <c r="Z269" s="22"/>
      <c r="AA269" s="153"/>
      <c r="AB269" s="11"/>
      <c r="AC269" s="11"/>
      <c r="AD269" s="11"/>
      <c r="AE269" s="20"/>
      <c r="AF269" s="11"/>
      <c r="AG269" s="11"/>
    </row>
    <row r="270" spans="1:33" ht="13.5">
      <c r="A270" s="22"/>
      <c r="B270" s="175" t="s">
        <v>201</v>
      </c>
      <c r="C270" s="184">
        <f>IF(J137="","Off",J137)</f>
        <v>1130</v>
      </c>
      <c r="D270" s="184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V270" s="22"/>
      <c r="W270" s="22"/>
      <c r="X270" s="22"/>
      <c r="Y270" s="22"/>
      <c r="Z270" s="22"/>
      <c r="AA270" s="153"/>
      <c r="AB270" s="11"/>
      <c r="AC270" s="11"/>
      <c r="AD270" s="11"/>
      <c r="AE270" s="20"/>
      <c r="AF270" s="11"/>
      <c r="AG270" s="11"/>
    </row>
    <row r="271" spans="1:33" ht="13.5">
      <c r="A271" s="22"/>
      <c r="B271" s="172" t="s">
        <v>220</v>
      </c>
      <c r="C271" s="181">
        <f t="shared" ref="C271:C276" si="111">IF(C160="","No Test",C160)</f>
        <v>3.5999999999999996</v>
      </c>
      <c r="D271" s="181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V271" s="22"/>
      <c r="W271" s="22"/>
      <c r="X271" s="22"/>
      <c r="Y271" s="22"/>
      <c r="Z271" s="22"/>
      <c r="AA271" s="153"/>
      <c r="AB271" s="11"/>
      <c r="AC271" s="11"/>
      <c r="AD271" s="11"/>
      <c r="AE271" s="20"/>
      <c r="AF271" s="11"/>
      <c r="AG271" s="11"/>
    </row>
    <row r="272" spans="1:33" ht="13.5">
      <c r="A272" s="22"/>
      <c r="B272" s="172" t="s">
        <v>221</v>
      </c>
      <c r="C272" s="181">
        <f t="shared" si="111"/>
        <v>2.52</v>
      </c>
      <c r="D272" s="181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V272" s="22"/>
      <c r="W272" s="22"/>
      <c r="X272" s="22"/>
      <c r="Y272" s="22"/>
      <c r="Z272" s="22"/>
      <c r="AA272" s="153"/>
      <c r="AB272" s="11"/>
      <c r="AC272" s="11"/>
      <c r="AD272" s="11"/>
      <c r="AE272" s="20"/>
      <c r="AF272" s="11"/>
      <c r="AG272" s="11"/>
    </row>
    <row r="273" spans="1:33" ht="13.5">
      <c r="A273" s="22"/>
      <c r="B273" s="172" t="s">
        <v>222</v>
      </c>
      <c r="C273" s="181">
        <f t="shared" si="111"/>
        <v>2.2799999999999998</v>
      </c>
      <c r="D273" s="181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V273" s="22"/>
      <c r="W273" s="22"/>
      <c r="X273" s="22"/>
      <c r="Y273" s="22"/>
      <c r="Z273" s="22"/>
      <c r="AA273" s="153"/>
      <c r="AB273" s="11"/>
      <c r="AC273" s="11"/>
      <c r="AD273" s="11"/>
      <c r="AE273" s="20"/>
      <c r="AF273" s="11"/>
      <c r="AG273" s="11"/>
    </row>
    <row r="274" spans="1:33" ht="13.5">
      <c r="A274" s="22"/>
      <c r="B274" s="172" t="s">
        <v>223</v>
      </c>
      <c r="C274" s="181">
        <f t="shared" si="111"/>
        <v>1.9275</v>
      </c>
      <c r="D274" s="181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V274" s="22"/>
      <c r="W274" s="22"/>
      <c r="X274" s="22"/>
      <c r="Y274" s="22"/>
      <c r="Z274" s="22"/>
      <c r="AA274" s="153"/>
      <c r="AB274" s="11"/>
      <c r="AC274" s="11"/>
      <c r="AD274" s="11"/>
      <c r="AE274" s="20"/>
      <c r="AF274" s="11"/>
      <c r="AG274" s="11"/>
    </row>
    <row r="275" spans="1:33" ht="13.5">
      <c r="A275" s="22"/>
      <c r="B275" s="172" t="s">
        <v>224</v>
      </c>
      <c r="C275" s="181">
        <f t="shared" si="111"/>
        <v>1.5750000000000002</v>
      </c>
      <c r="D275" s="181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V275" s="22"/>
      <c r="W275" s="22"/>
      <c r="X275" s="22"/>
      <c r="Y275" s="22"/>
      <c r="Z275" s="22"/>
      <c r="AA275" s="153"/>
      <c r="AB275" s="11"/>
      <c r="AC275" s="11"/>
      <c r="AD275" s="11"/>
      <c r="AE275" s="20"/>
      <c r="AF275" s="11"/>
      <c r="AG275" s="11"/>
    </row>
    <row r="276" spans="1:33" ht="13.5">
      <c r="A276" s="22"/>
      <c r="B276" s="172" t="s">
        <v>225</v>
      </c>
      <c r="C276" s="181">
        <f t="shared" si="111"/>
        <v>1.4249999999999998</v>
      </c>
      <c r="D276" s="181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V276" s="22"/>
      <c r="W276" s="22"/>
      <c r="X276" s="22"/>
      <c r="Y276" s="22"/>
      <c r="Z276" s="22"/>
      <c r="AA276" s="153"/>
      <c r="AB276" s="11"/>
      <c r="AC276" s="11"/>
      <c r="AD276" s="11"/>
      <c r="AE276" s="20"/>
      <c r="AF276" s="11"/>
      <c r="AG276" s="11"/>
    </row>
    <row r="277" spans="1:33" ht="13.5">
      <c r="A277" s="22"/>
      <c r="B277" s="172" t="s">
        <v>149</v>
      </c>
      <c r="C277" s="186">
        <f>IF(D160="","No Test",D160)</f>
        <v>130</v>
      </c>
      <c r="D277" s="186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V277" s="22"/>
      <c r="W277" s="22"/>
      <c r="X277" s="22"/>
      <c r="Y277" s="22"/>
      <c r="Z277" s="22"/>
      <c r="AA277" s="153"/>
      <c r="AB277" s="11"/>
      <c r="AC277" s="11"/>
      <c r="AD277" s="11"/>
      <c r="AE277" s="20"/>
      <c r="AF277" s="11"/>
      <c r="AG277" s="11"/>
    </row>
    <row r="278" spans="1:33" ht="13.5">
      <c r="A278" s="22"/>
      <c r="B278" s="172" t="s">
        <v>150</v>
      </c>
      <c r="C278" s="186">
        <f>IF(D162="","No Test",D162)</f>
        <v>930</v>
      </c>
      <c r="D278" s="186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V278" s="22"/>
      <c r="W278" s="22"/>
      <c r="X278" s="22"/>
      <c r="Y278" s="22"/>
      <c r="Z278" s="22"/>
      <c r="AA278" s="153"/>
      <c r="AB278" s="11"/>
      <c r="AC278" s="11"/>
      <c r="AD278" s="11"/>
      <c r="AE278" s="20"/>
      <c r="AF278" s="11"/>
      <c r="AG278" s="11"/>
    </row>
    <row r="279" spans="1:33" ht="13.5">
      <c r="A279" s="22"/>
      <c r="B279" s="172" t="s">
        <v>214</v>
      </c>
      <c r="C279" s="181" t="str">
        <f t="shared" ref="C279:C284" si="112">IF(C166="","No Test",C166)</f>
        <v>No Test</v>
      </c>
      <c r="D279" s="181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V279" s="22"/>
      <c r="W279" s="22"/>
      <c r="X279" s="22"/>
      <c r="Y279" s="22"/>
      <c r="Z279" s="22"/>
      <c r="AA279" s="153"/>
      <c r="AB279" s="11"/>
      <c r="AC279" s="11"/>
      <c r="AD279" s="11"/>
      <c r="AE279" s="20"/>
      <c r="AF279" s="11"/>
      <c r="AG279" s="11"/>
    </row>
    <row r="280" spans="1:33" ht="13.5">
      <c r="A280" s="22"/>
      <c r="B280" s="172" t="s">
        <v>215</v>
      </c>
      <c r="C280" s="181" t="str">
        <f t="shared" si="112"/>
        <v>No Test</v>
      </c>
      <c r="D280" s="181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V280" s="22"/>
      <c r="W280" s="22"/>
      <c r="X280" s="22"/>
      <c r="Y280" s="22"/>
      <c r="Z280" s="22"/>
      <c r="AA280" s="153"/>
      <c r="AB280" s="11"/>
      <c r="AC280" s="11"/>
      <c r="AD280" s="11"/>
      <c r="AE280" s="20"/>
      <c r="AF280" s="11"/>
      <c r="AG280" s="11"/>
    </row>
    <row r="281" spans="1:33" ht="13.5">
      <c r="A281" s="22"/>
      <c r="B281" s="172" t="s">
        <v>216</v>
      </c>
      <c r="C281" s="181">
        <f t="shared" si="112"/>
        <v>0.47499999999999992</v>
      </c>
      <c r="D281" s="181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V281" s="22"/>
      <c r="W281" s="22"/>
      <c r="X281" s="22"/>
      <c r="Y281" s="22"/>
      <c r="Z281" s="22"/>
      <c r="AA281" s="153"/>
      <c r="AB281" s="11"/>
      <c r="AC281" s="11"/>
      <c r="AD281" s="11"/>
      <c r="AE281" s="20"/>
      <c r="AF281" s="11"/>
      <c r="AG281" s="11"/>
    </row>
    <row r="282" spans="1:33" ht="13.5">
      <c r="A282" s="22"/>
      <c r="B282" s="172" t="s">
        <v>217</v>
      </c>
      <c r="C282" s="181">
        <f t="shared" si="112"/>
        <v>0.32499999999999996</v>
      </c>
      <c r="D282" s="181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V282" s="22"/>
      <c r="W282" s="22"/>
      <c r="X282" s="22"/>
      <c r="Y282" s="22"/>
      <c r="Z282" s="22"/>
      <c r="AA282" s="153"/>
      <c r="AB282" s="11"/>
      <c r="AC282" s="11"/>
      <c r="AD282" s="11"/>
      <c r="AE282" s="20"/>
      <c r="AF282" s="11"/>
      <c r="AG282" s="11"/>
    </row>
    <row r="283" spans="1:33" ht="13.5">
      <c r="A283" s="22"/>
      <c r="B283" s="172" t="s">
        <v>218</v>
      </c>
      <c r="C283" s="181">
        <f t="shared" si="112"/>
        <v>0.17499999999999999</v>
      </c>
      <c r="D283" s="181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V283" s="22"/>
      <c r="W283" s="22"/>
      <c r="X283" s="22"/>
      <c r="Y283" s="22"/>
      <c r="Z283" s="22"/>
      <c r="AA283" s="153"/>
      <c r="AB283" s="11"/>
      <c r="AC283" s="11"/>
      <c r="AD283" s="11"/>
      <c r="AE283" s="20"/>
      <c r="AF283" s="11"/>
      <c r="AG283" s="11"/>
    </row>
    <row r="284" spans="1:33" ht="13.5">
      <c r="A284" s="22"/>
      <c r="B284" s="172" t="s">
        <v>219</v>
      </c>
      <c r="C284" s="181">
        <f t="shared" si="112"/>
        <v>0.15833333333333333</v>
      </c>
      <c r="D284" s="181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V284" s="22"/>
      <c r="W284" s="22"/>
      <c r="X284" s="22"/>
      <c r="Y284" s="22"/>
      <c r="Z284" s="22"/>
      <c r="AA284" s="153"/>
      <c r="AB284" s="11"/>
      <c r="AC284" s="11"/>
      <c r="AD284" s="11"/>
      <c r="AE284" s="20"/>
      <c r="AF284" s="11"/>
      <c r="AG284" s="11"/>
    </row>
    <row r="285" spans="1:33" ht="13.5">
      <c r="A285" s="22"/>
      <c r="B285" s="172" t="s">
        <v>151</v>
      </c>
      <c r="C285" s="186" t="str">
        <f>IF(D166="","No Test",D166)</f>
        <v>No Test</v>
      </c>
      <c r="D285" s="186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V285" s="22"/>
      <c r="W285" s="22"/>
      <c r="X285" s="22"/>
      <c r="Y285" s="22"/>
      <c r="Z285" s="22"/>
      <c r="AA285" s="153"/>
      <c r="AB285" s="11"/>
      <c r="AC285" s="11"/>
      <c r="AD285" s="11"/>
      <c r="AE285" s="20"/>
      <c r="AF285" s="11"/>
      <c r="AG285" s="11"/>
    </row>
    <row r="286" spans="1:33" ht="13.5">
      <c r="A286" s="22"/>
      <c r="B286" s="172" t="s">
        <v>152</v>
      </c>
      <c r="C286" s="186">
        <f>IF(D168="","No Test",D168)</f>
        <v>930</v>
      </c>
      <c r="D286" s="186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V286" s="22"/>
      <c r="W286" s="22"/>
      <c r="X286" s="22"/>
      <c r="Y286" s="22"/>
      <c r="Z286" s="22"/>
      <c r="AA286" s="153"/>
      <c r="AB286" s="11"/>
      <c r="AC286" s="11"/>
      <c r="AD286" s="11"/>
      <c r="AE286" s="20"/>
      <c r="AF286" s="11"/>
      <c r="AG286" s="11"/>
    </row>
    <row r="287" spans="1:33" ht="13.5">
      <c r="A287" s="22"/>
      <c r="B287" s="189" t="s">
        <v>226</v>
      </c>
      <c r="C287" s="188">
        <f>S51</f>
        <v>0</v>
      </c>
      <c r="D287" s="188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V287" s="22"/>
      <c r="W287" s="22"/>
      <c r="X287" s="22"/>
      <c r="Y287" s="22"/>
      <c r="Z287" s="22"/>
      <c r="AA287" s="153"/>
      <c r="AB287" s="11"/>
      <c r="AC287" s="11"/>
      <c r="AD287" s="11"/>
      <c r="AE287" s="20"/>
      <c r="AF287" s="11"/>
      <c r="AG287" s="11"/>
    </row>
    <row r="288" spans="1:33" ht="13.5">
      <c r="A288" s="22"/>
      <c r="B288" s="177" t="s">
        <v>134</v>
      </c>
      <c r="C288" s="243" t="str">
        <f>IF(I160="","No Test",I160)</f>
        <v>No Test</v>
      </c>
      <c r="D288" s="243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V288" s="22"/>
      <c r="W288" s="22"/>
      <c r="X288" s="22"/>
      <c r="Y288" s="22"/>
      <c r="Z288" s="22"/>
      <c r="AA288" s="153"/>
      <c r="AB288" s="11"/>
      <c r="AC288" s="11"/>
      <c r="AD288" s="11"/>
      <c r="AE288" s="20"/>
      <c r="AF288" s="11"/>
      <c r="AG288" s="11"/>
    </row>
    <row r="289" spans="1:33" ht="13.5">
      <c r="A289" s="22"/>
      <c r="B289" s="177" t="s">
        <v>135</v>
      </c>
      <c r="C289" s="243" t="str">
        <f t="shared" ref="C289:C295" si="113">IF(I161="","No Test",I161)</f>
        <v>No Test</v>
      </c>
      <c r="D289" s="243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V289" s="22"/>
      <c r="W289" s="22"/>
      <c r="X289" s="22"/>
      <c r="Y289" s="22"/>
      <c r="Z289" s="22"/>
      <c r="AA289" s="153"/>
      <c r="AB289" s="11"/>
      <c r="AC289" s="11"/>
      <c r="AD289" s="11"/>
      <c r="AE289" s="20"/>
      <c r="AF289" s="11"/>
      <c r="AG289" s="11"/>
    </row>
    <row r="290" spans="1:33" ht="13.5">
      <c r="A290" s="22"/>
      <c r="B290" s="177" t="s">
        <v>136</v>
      </c>
      <c r="C290" s="243" t="str">
        <f t="shared" si="113"/>
        <v>No Test</v>
      </c>
      <c r="D290" s="243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V290" s="22"/>
      <c r="W290" s="22"/>
      <c r="X290" s="22"/>
      <c r="Y290" s="22"/>
      <c r="Z290" s="22"/>
      <c r="AA290" s="153"/>
      <c r="AB290" s="11"/>
      <c r="AC290" s="11"/>
      <c r="AD290" s="11"/>
      <c r="AE290" s="20"/>
      <c r="AF290" s="11"/>
      <c r="AG290" s="11"/>
    </row>
    <row r="291" spans="1:33" ht="13.5">
      <c r="A291" s="22"/>
      <c r="B291" s="177" t="s">
        <v>137</v>
      </c>
      <c r="C291" s="243" t="str">
        <f t="shared" si="113"/>
        <v>No Test</v>
      </c>
      <c r="D291" s="243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V291" s="22"/>
      <c r="W291" s="22"/>
      <c r="X291" s="22"/>
      <c r="Y291" s="22"/>
      <c r="Z291" s="22"/>
      <c r="AA291" s="153"/>
      <c r="AB291" s="11"/>
      <c r="AC291" s="11"/>
      <c r="AD291" s="11"/>
      <c r="AE291" s="20"/>
      <c r="AF291" s="11"/>
      <c r="AG291" s="11"/>
    </row>
    <row r="292" spans="1:33" ht="13.5">
      <c r="A292" s="22"/>
      <c r="B292" s="177" t="s">
        <v>138</v>
      </c>
      <c r="C292" s="243" t="str">
        <f t="shared" si="113"/>
        <v>No Test</v>
      </c>
      <c r="D292" s="243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V292" s="22"/>
      <c r="W292" s="22"/>
      <c r="X292" s="22"/>
      <c r="Y292" s="22"/>
      <c r="Z292" s="22"/>
      <c r="AA292" s="153"/>
      <c r="AB292" s="11"/>
      <c r="AC292" s="11"/>
      <c r="AD292" s="11"/>
      <c r="AE292" s="20"/>
      <c r="AF292" s="11"/>
      <c r="AG292" s="11"/>
    </row>
    <row r="293" spans="1:33" ht="13.5">
      <c r="A293" s="22"/>
      <c r="B293" s="177" t="s">
        <v>139</v>
      </c>
      <c r="C293" s="243" t="str">
        <f t="shared" si="113"/>
        <v>No Test</v>
      </c>
      <c r="D293" s="243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V293" s="22"/>
      <c r="W293" s="22"/>
      <c r="X293" s="22"/>
      <c r="Y293" s="22"/>
      <c r="Z293" s="22"/>
      <c r="AA293" s="153"/>
      <c r="AB293" s="11"/>
      <c r="AC293" s="11"/>
      <c r="AD293" s="11"/>
      <c r="AE293" s="20"/>
      <c r="AF293" s="11"/>
      <c r="AG293" s="11"/>
    </row>
    <row r="294" spans="1:33" ht="13.5">
      <c r="A294" s="22"/>
      <c r="B294" s="177" t="s">
        <v>140</v>
      </c>
      <c r="C294" s="243" t="str">
        <f t="shared" si="113"/>
        <v>No Test</v>
      </c>
      <c r="D294" s="243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V294" s="22"/>
      <c r="W294" s="22"/>
      <c r="X294" s="22"/>
      <c r="Y294" s="22"/>
      <c r="Z294" s="22"/>
      <c r="AA294" s="153"/>
      <c r="AB294" s="11"/>
      <c r="AC294" s="11"/>
      <c r="AD294" s="11"/>
      <c r="AE294" s="20"/>
      <c r="AF294" s="11"/>
      <c r="AG294" s="11"/>
    </row>
    <row r="295" spans="1:33" ht="13.5">
      <c r="A295" s="22"/>
      <c r="B295" s="177" t="s">
        <v>141</v>
      </c>
      <c r="C295" s="243" t="str">
        <f t="shared" si="113"/>
        <v>No Test</v>
      </c>
      <c r="D295" s="243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V295" s="22"/>
      <c r="W295" s="22"/>
      <c r="X295" s="22"/>
      <c r="Y295" s="22"/>
      <c r="Z295" s="22"/>
      <c r="AA295" s="153"/>
      <c r="AB295" s="11"/>
      <c r="AC295" s="11"/>
      <c r="AD295" s="11"/>
      <c r="AE295" s="20"/>
      <c r="AF295" s="11"/>
      <c r="AG295" s="11"/>
    </row>
    <row r="296" spans="1:33" ht="13.5">
      <c r="A296" s="22"/>
      <c r="B296" s="177" t="s">
        <v>142</v>
      </c>
      <c r="C296" s="243" t="str">
        <f>IF(J160="","No Test",J160)</f>
        <v>No Test</v>
      </c>
      <c r="D296" s="243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V296" s="22"/>
      <c r="W296" s="22"/>
      <c r="X296" s="22"/>
      <c r="Y296" s="22"/>
      <c r="Z296" s="22"/>
      <c r="AA296" s="153"/>
      <c r="AB296" s="11"/>
      <c r="AC296" s="11"/>
      <c r="AD296" s="11"/>
      <c r="AE296" s="20"/>
      <c r="AF296" s="11"/>
      <c r="AG296" s="11"/>
    </row>
    <row r="297" spans="1:33" ht="13.5">
      <c r="A297" s="22"/>
      <c r="B297" s="177" t="s">
        <v>143</v>
      </c>
      <c r="C297" s="243" t="str">
        <f t="shared" ref="C297:C302" si="114">IF(J161="","No Test",J161)</f>
        <v>No Test</v>
      </c>
      <c r="D297" s="243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V297" s="22"/>
      <c r="W297" s="22"/>
      <c r="X297" s="22"/>
      <c r="Y297" s="22"/>
      <c r="Z297" s="22"/>
      <c r="AA297" s="153"/>
      <c r="AB297" s="11"/>
      <c r="AC297" s="11"/>
      <c r="AD297" s="11"/>
      <c r="AE297" s="20"/>
      <c r="AF297" s="11"/>
      <c r="AG297" s="11"/>
    </row>
    <row r="298" spans="1:33" ht="13.5">
      <c r="A298" s="22"/>
      <c r="B298" s="177" t="s">
        <v>144</v>
      </c>
      <c r="C298" s="243" t="str">
        <f t="shared" si="114"/>
        <v>No Test</v>
      </c>
      <c r="D298" s="243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V298" s="22"/>
      <c r="W298" s="22"/>
      <c r="X298" s="22"/>
      <c r="Y298" s="22"/>
      <c r="Z298" s="22"/>
      <c r="AA298" s="153"/>
      <c r="AB298" s="11"/>
      <c r="AC298" s="11"/>
      <c r="AD298" s="11"/>
      <c r="AE298" s="20"/>
      <c r="AF298" s="11"/>
      <c r="AG298" s="11"/>
    </row>
    <row r="299" spans="1:33" ht="13.5">
      <c r="A299" s="22"/>
      <c r="B299" s="177" t="s">
        <v>145</v>
      </c>
      <c r="C299" s="243" t="str">
        <f t="shared" si="114"/>
        <v>No Test</v>
      </c>
      <c r="D299" s="243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V299" s="22"/>
      <c r="W299" s="22"/>
      <c r="X299" s="22"/>
      <c r="Y299" s="22"/>
      <c r="Z299" s="22"/>
      <c r="AA299" s="153"/>
      <c r="AB299" s="11"/>
      <c r="AC299" s="11"/>
      <c r="AD299" s="11"/>
      <c r="AE299" s="20"/>
      <c r="AF299" s="11"/>
      <c r="AG299" s="11"/>
    </row>
    <row r="300" spans="1:33" ht="13.5">
      <c r="A300" s="22"/>
      <c r="B300" s="177" t="s">
        <v>146</v>
      </c>
      <c r="C300" s="243" t="str">
        <f t="shared" si="114"/>
        <v>No Test</v>
      </c>
      <c r="D300" s="243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V300" s="22"/>
      <c r="W300" s="22"/>
      <c r="X300" s="22"/>
      <c r="Y300" s="22"/>
      <c r="Z300" s="22"/>
      <c r="AA300" s="153"/>
      <c r="AB300" s="11"/>
      <c r="AC300" s="11"/>
      <c r="AD300" s="11"/>
      <c r="AE300" s="20"/>
      <c r="AF300" s="11"/>
      <c r="AG300" s="11"/>
    </row>
    <row r="301" spans="1:33" ht="13.5">
      <c r="A301" s="22"/>
      <c r="B301" s="177" t="s">
        <v>147</v>
      </c>
      <c r="C301" s="243" t="str">
        <f t="shared" si="114"/>
        <v>No Test</v>
      </c>
      <c r="D301" s="243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V301" s="22"/>
      <c r="W301" s="22"/>
      <c r="X301" s="22"/>
      <c r="Y301" s="22"/>
      <c r="Z301" s="22"/>
      <c r="AA301" s="153"/>
      <c r="AB301" s="11"/>
      <c r="AC301" s="11"/>
      <c r="AD301" s="11"/>
      <c r="AE301" s="20"/>
      <c r="AF301" s="11"/>
      <c r="AG301" s="11"/>
    </row>
    <row r="302" spans="1:33" ht="13.5">
      <c r="A302" s="22"/>
      <c r="B302" s="177" t="s">
        <v>148</v>
      </c>
      <c r="C302" s="243" t="str">
        <f t="shared" si="114"/>
        <v>No Test</v>
      </c>
      <c r="D302" s="243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V302" s="22"/>
      <c r="W302" s="22"/>
      <c r="X302" s="22"/>
      <c r="Y302" s="22"/>
      <c r="Z302" s="22"/>
      <c r="AA302" s="153"/>
      <c r="AB302" s="11"/>
      <c r="AC302" s="11"/>
      <c r="AD302" s="11"/>
      <c r="AE302" s="20"/>
      <c r="AF302" s="11"/>
      <c r="AG302" s="11"/>
    </row>
    <row r="303" spans="1:33" ht="13.5">
      <c r="A303" s="22"/>
      <c r="B303" s="222" t="s">
        <v>435</v>
      </c>
      <c r="C303" s="334">
        <f>AZ31</f>
        <v>31.386287657377903</v>
      </c>
      <c r="D303" s="171" t="s">
        <v>450</v>
      </c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V303" s="22"/>
      <c r="W303" s="22"/>
      <c r="X303" s="22"/>
      <c r="Y303" s="22"/>
      <c r="Z303" s="22"/>
      <c r="AA303" s="153"/>
      <c r="AB303" s="11"/>
      <c r="AC303" s="11"/>
      <c r="AD303" s="11"/>
      <c r="AE303" s="20"/>
      <c r="AF303" s="11"/>
      <c r="AG303" s="11"/>
    </row>
    <row r="304" spans="1:33" ht="13.5">
      <c r="A304" s="22"/>
      <c r="B304" s="222" t="s">
        <v>436</v>
      </c>
      <c r="C304" s="258">
        <f>AZ33</f>
        <v>1.2</v>
      </c>
      <c r="D304" s="171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V304" s="22"/>
      <c r="W304" s="22"/>
      <c r="X304" s="22"/>
      <c r="Y304" s="22"/>
      <c r="Z304" s="22"/>
      <c r="AA304" s="153"/>
      <c r="AB304" s="11"/>
      <c r="AC304" s="11"/>
      <c r="AD304" s="11"/>
      <c r="AE304" s="20"/>
      <c r="AF304" s="11"/>
      <c r="AG304" s="11"/>
    </row>
    <row r="305" spans="1:33" ht="13.5">
      <c r="A305" s="22"/>
      <c r="B305" s="222" t="s">
        <v>437</v>
      </c>
      <c r="C305" s="258">
        <f>AZ34</f>
        <v>-14</v>
      </c>
      <c r="D305" s="171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V305" s="22"/>
      <c r="W305" s="22"/>
      <c r="X305" s="22"/>
      <c r="Y305" s="22"/>
      <c r="Z305" s="22"/>
      <c r="AA305" s="153"/>
      <c r="AB305" s="11"/>
      <c r="AC305" s="11"/>
      <c r="AD305" s="11"/>
      <c r="AE305" s="20"/>
      <c r="AF305" s="11"/>
      <c r="AG305" s="11"/>
    </row>
    <row r="306" spans="1:33" ht="13.5">
      <c r="A306" s="22"/>
      <c r="B306" s="222" t="s">
        <v>438</v>
      </c>
      <c r="C306" s="258">
        <f t="shared" ref="C306:C313" si="115">AZ35</f>
        <v>0</v>
      </c>
      <c r="D306" s="171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V306" s="22"/>
      <c r="W306" s="22"/>
      <c r="X306" s="22"/>
      <c r="Y306" s="22"/>
      <c r="Z306" s="22"/>
      <c r="AA306" s="153"/>
      <c r="AB306" s="11"/>
      <c r="AC306" s="11"/>
      <c r="AD306" s="11"/>
      <c r="AE306" s="20"/>
      <c r="AF306" s="11"/>
      <c r="AG306" s="11"/>
    </row>
    <row r="307" spans="1:33" ht="13.5">
      <c r="A307" s="22"/>
      <c r="B307" s="222" t="s">
        <v>439</v>
      </c>
      <c r="C307" s="258">
        <f t="shared" si="115"/>
        <v>4</v>
      </c>
      <c r="D307" s="171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V307" s="22"/>
      <c r="W307" s="22"/>
      <c r="X307" s="22"/>
      <c r="Y307" s="22"/>
      <c r="Z307" s="22"/>
      <c r="AA307" s="153"/>
      <c r="AB307" s="11"/>
      <c r="AC307" s="11"/>
      <c r="AD307" s="11"/>
      <c r="AE307" s="20"/>
      <c r="AF307" s="11"/>
      <c r="AG307" s="11"/>
    </row>
    <row r="308" spans="1:33" ht="13.5">
      <c r="A308" s="22"/>
      <c r="B308" s="222" t="s">
        <v>440</v>
      </c>
      <c r="C308" s="258">
        <f t="shared" si="115"/>
        <v>8</v>
      </c>
      <c r="D308" s="171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V308" s="22"/>
      <c r="W308" s="22"/>
      <c r="X308" s="22"/>
      <c r="Y308" s="22"/>
      <c r="Z308" s="22"/>
      <c r="AA308" s="153"/>
      <c r="AB308" s="11"/>
      <c r="AC308" s="11"/>
      <c r="AD308" s="11"/>
      <c r="AE308" s="20"/>
      <c r="AF308" s="11"/>
      <c r="AG308" s="11"/>
    </row>
    <row r="309" spans="1:33" ht="13.5">
      <c r="A309" s="22"/>
      <c r="B309" s="222" t="s">
        <v>441</v>
      </c>
      <c r="C309" s="258">
        <f t="shared" si="115"/>
        <v>9.8789046492933696</v>
      </c>
      <c r="D309" s="171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V309" s="22"/>
      <c r="W309" s="22"/>
      <c r="X309" s="22"/>
      <c r="Y309" s="22"/>
      <c r="Z309" s="22"/>
      <c r="AA309" s="153"/>
      <c r="AB309" s="11"/>
      <c r="AC309" s="11"/>
      <c r="AD309" s="11"/>
      <c r="AE309" s="20"/>
      <c r="AF309" s="11"/>
      <c r="AG309" s="11"/>
    </row>
    <row r="310" spans="1:33" ht="13.5">
      <c r="A310" s="22"/>
      <c r="B310" s="222" t="s">
        <v>442</v>
      </c>
      <c r="C310" s="258">
        <f t="shared" si="115"/>
        <v>12</v>
      </c>
      <c r="D310" s="171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V310" s="22"/>
      <c r="W310" s="22"/>
      <c r="X310" s="22"/>
      <c r="Y310" s="22"/>
      <c r="Z310" s="22"/>
      <c r="AA310" s="153"/>
      <c r="AB310" s="11"/>
      <c r="AC310" s="11"/>
      <c r="AD310" s="11"/>
      <c r="AE310" s="20"/>
      <c r="AF310" s="11"/>
      <c r="AG310" s="11"/>
    </row>
    <row r="311" spans="1:33" ht="13.5">
      <c r="A311" s="22"/>
      <c r="B311" s="222" t="s">
        <v>505</v>
      </c>
      <c r="C311" s="258">
        <f t="shared" si="115"/>
        <v>51</v>
      </c>
      <c r="D311" s="171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V311" s="22"/>
      <c r="W311" s="22"/>
      <c r="X311" s="22"/>
      <c r="Y311" s="22"/>
      <c r="Z311" s="22"/>
      <c r="AA311" s="153"/>
      <c r="AB311" s="11"/>
      <c r="AC311" s="11"/>
      <c r="AD311" s="11"/>
      <c r="AE311" s="20"/>
      <c r="AF311" s="11"/>
      <c r="AG311" s="11"/>
    </row>
    <row r="312" spans="1:33" ht="13.5">
      <c r="A312" s="22"/>
      <c r="B312" s="222" t="s">
        <v>624</v>
      </c>
      <c r="C312" s="258">
        <f t="shared" si="115"/>
        <v>90</v>
      </c>
      <c r="D312" s="171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V312" s="22"/>
      <c r="W312" s="22"/>
      <c r="X312" s="22"/>
      <c r="Y312" s="22"/>
      <c r="Z312" s="22"/>
      <c r="AA312" s="153"/>
      <c r="AB312" s="11"/>
      <c r="AC312" s="11"/>
      <c r="AD312" s="11"/>
      <c r="AE312" s="20"/>
      <c r="AF312" s="11"/>
      <c r="AG312" s="11"/>
    </row>
    <row r="313" spans="1:33" ht="13.5">
      <c r="A313" s="22"/>
      <c r="B313" s="222" t="s">
        <v>626</v>
      </c>
      <c r="C313" s="258">
        <f t="shared" si="115"/>
        <v>110</v>
      </c>
      <c r="D313" s="171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V313" s="22"/>
      <c r="W313" s="22"/>
      <c r="X313" s="22"/>
      <c r="Y313" s="22"/>
      <c r="Z313" s="22"/>
      <c r="AA313" s="153"/>
      <c r="AB313" s="11"/>
      <c r="AC313" s="11"/>
      <c r="AD313" s="11"/>
      <c r="AE313" s="20"/>
      <c r="AF313" s="11"/>
      <c r="AG313" s="11"/>
    </row>
    <row r="314" spans="1:33" ht="13.5">
      <c r="A314" s="22"/>
      <c r="B314" s="222" t="s">
        <v>443</v>
      </c>
      <c r="C314" s="334">
        <f>AZ44</f>
        <v>115.92997785702917</v>
      </c>
      <c r="D314" s="171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V314" s="22"/>
      <c r="W314" s="22"/>
      <c r="X314" s="22"/>
      <c r="Y314" s="22"/>
      <c r="Z314" s="22"/>
      <c r="AA314" s="153"/>
      <c r="AB314" s="11"/>
      <c r="AC314" s="11"/>
      <c r="AD314" s="11"/>
      <c r="AE314" s="20"/>
      <c r="AF314" s="11"/>
      <c r="AG314" s="11"/>
    </row>
    <row r="315" spans="1:33" ht="13.5">
      <c r="A315" s="22"/>
      <c r="B315" s="222" t="s">
        <v>444</v>
      </c>
      <c r="C315" s="334">
        <f>AZ45</f>
        <v>153.53149999999999</v>
      </c>
      <c r="D315" s="171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V315" s="22"/>
      <c r="W315" s="22"/>
      <c r="X315" s="22"/>
      <c r="Y315" s="22"/>
      <c r="Z315" s="22"/>
      <c r="AA315" s="153"/>
      <c r="AB315" s="11"/>
      <c r="AC315" s="11"/>
      <c r="AD315" s="11"/>
      <c r="AE315" s="20"/>
      <c r="AF315" s="11"/>
      <c r="AG315" s="11"/>
    </row>
    <row r="316" spans="1:33" ht="13.5">
      <c r="A316" s="22"/>
      <c r="B316" s="222" t="s">
        <v>445</v>
      </c>
      <c r="C316" s="334">
        <f>AZ46</f>
        <v>156.84519038126788</v>
      </c>
      <c r="D316" s="171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V316" s="22"/>
      <c r="W316" s="22"/>
      <c r="X316" s="22"/>
      <c r="Y316" s="22"/>
      <c r="Z316" s="22"/>
      <c r="AA316" s="153"/>
      <c r="AB316" s="11"/>
      <c r="AC316" s="11"/>
      <c r="AD316" s="11"/>
      <c r="AE316" s="20"/>
      <c r="AF316" s="11"/>
      <c r="AG316" s="11"/>
    </row>
    <row r="317" spans="1:33" ht="13.5">
      <c r="A317" s="22"/>
      <c r="B317" s="222" t="s">
        <v>446</v>
      </c>
      <c r="C317" s="334">
        <f>AZ47</f>
        <v>161.10728850878598</v>
      </c>
      <c r="D317" s="171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V317" s="22"/>
      <c r="W317" s="22"/>
      <c r="X317" s="22"/>
      <c r="Y317" s="22"/>
      <c r="Z317" s="22"/>
      <c r="AA317" s="153"/>
      <c r="AB317" s="11"/>
      <c r="AC317" s="11"/>
      <c r="AD317" s="11"/>
      <c r="AE317" s="20"/>
      <c r="AF317" s="11"/>
      <c r="AG317" s="11"/>
    </row>
    <row r="318" spans="1:33" ht="13.5">
      <c r="A318" s="22"/>
      <c r="B318" s="222" t="s">
        <v>447</v>
      </c>
      <c r="C318" s="334">
        <f>AZ48</f>
        <v>163.47024821550991</v>
      </c>
      <c r="D318" s="171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V318" s="22"/>
      <c r="W318" s="22"/>
      <c r="X318" s="22"/>
      <c r="Y318" s="22"/>
      <c r="Z318" s="22"/>
      <c r="AA318" s="153"/>
      <c r="AB318" s="11"/>
      <c r="AC318" s="11"/>
      <c r="AD318" s="11"/>
      <c r="AE318" s="20"/>
      <c r="AF318" s="11"/>
      <c r="AG318" s="11"/>
    </row>
    <row r="319" spans="1:33" ht="13.5">
      <c r="A319" s="22"/>
      <c r="B319" s="246" t="s">
        <v>239</v>
      </c>
      <c r="C319" s="247">
        <f>IF(Settings!K16="Inactive",0.001,P10)</f>
        <v>110</v>
      </c>
      <c r="D319" s="245" t="s">
        <v>400</v>
      </c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V319" s="22"/>
      <c r="W319" s="22"/>
      <c r="X319" s="22"/>
      <c r="Y319" s="22"/>
      <c r="Z319" s="22"/>
      <c r="AA319" s="153"/>
      <c r="AB319" s="11"/>
      <c r="AC319" s="11"/>
      <c r="AD319" s="11"/>
      <c r="AE319" s="20"/>
      <c r="AF319" s="11"/>
      <c r="AG319" s="11"/>
    </row>
    <row r="320" spans="1:33" ht="13.5">
      <c r="A320" s="22"/>
      <c r="B320" s="141" t="s">
        <v>240</v>
      </c>
      <c r="C320" s="146">
        <f>VALUE(SUBSTITUTE(P8,"A",""))</f>
        <v>2.6</v>
      </c>
      <c r="D320" s="245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V320" s="22"/>
      <c r="W320" s="22"/>
      <c r="X320" s="22"/>
      <c r="Y320" s="22"/>
      <c r="Z320" s="22"/>
      <c r="AA320" s="153"/>
      <c r="AB320" s="11"/>
      <c r="AC320" s="11"/>
      <c r="AD320" s="11"/>
      <c r="AE320" s="20"/>
      <c r="AF320" s="11"/>
      <c r="AG320" s="11"/>
    </row>
    <row r="321" spans="1:33" ht="13.5">
      <c r="A321" s="22"/>
      <c r="B321" s="222" t="s">
        <v>433</v>
      </c>
      <c r="C321" s="334">
        <f>AT31</f>
        <v>110</v>
      </c>
      <c r="D321" s="171" t="s">
        <v>417</v>
      </c>
      <c r="E321" s="22"/>
      <c r="F321" s="22"/>
      <c r="G321" s="22"/>
      <c r="H321" s="22"/>
      <c r="J321" s="22"/>
      <c r="K321" s="22"/>
      <c r="L321" s="22"/>
      <c r="M321" s="22"/>
      <c r="N321" s="22"/>
      <c r="O321" s="22"/>
      <c r="P321" s="22"/>
      <c r="Q321" s="22"/>
      <c r="R321" s="22"/>
      <c r="V321" s="22"/>
      <c r="W321" s="22"/>
      <c r="X321" s="22"/>
      <c r="Y321" s="22"/>
      <c r="Z321" s="22"/>
      <c r="AA321" s="153"/>
      <c r="AB321" s="11"/>
      <c r="AC321" s="11"/>
      <c r="AD321" s="11"/>
      <c r="AE321" s="20"/>
      <c r="AF321" s="11"/>
      <c r="AG321" s="11"/>
    </row>
    <row r="322" spans="1:33" ht="13.5">
      <c r="A322" s="22"/>
      <c r="B322" s="222" t="s">
        <v>434</v>
      </c>
      <c r="C322" s="258">
        <f>AT33</f>
        <v>4</v>
      </c>
      <c r="D322" s="171"/>
      <c r="E322" s="22"/>
      <c r="F322" s="22"/>
      <c r="G322" s="22"/>
      <c r="J322" s="22"/>
      <c r="K322" s="22"/>
      <c r="L322" s="22"/>
      <c r="M322" s="22"/>
      <c r="N322" s="22"/>
      <c r="O322" s="22"/>
      <c r="P322" s="22"/>
      <c r="Q322" s="22"/>
      <c r="R322" s="22"/>
      <c r="V322" s="22"/>
      <c r="W322" s="22"/>
      <c r="X322" s="22"/>
      <c r="Y322" s="22"/>
      <c r="Z322" s="22"/>
      <c r="AA322" s="153"/>
      <c r="AB322" s="11"/>
      <c r="AC322" s="11"/>
      <c r="AD322" s="11"/>
      <c r="AE322" s="20"/>
      <c r="AF322" s="11"/>
      <c r="AG322" s="11"/>
    </row>
    <row r="323" spans="1:33" ht="13.5">
      <c r="A323" s="22"/>
      <c r="B323" s="222" t="s">
        <v>451</v>
      </c>
      <c r="C323" s="334" t="str">
        <f>AZ27</f>
        <v>NOOP</v>
      </c>
      <c r="D323" s="171"/>
      <c r="E323" s="22"/>
      <c r="F323" s="22"/>
      <c r="G323" s="22"/>
      <c r="H323" s="22"/>
      <c r="J323" s="22"/>
      <c r="K323" s="22"/>
      <c r="L323" s="22"/>
      <c r="M323" s="22"/>
      <c r="N323" s="22"/>
      <c r="O323" s="22"/>
      <c r="P323" s="22"/>
      <c r="Q323" s="22"/>
      <c r="R323" s="22"/>
      <c r="V323" s="22"/>
      <c r="W323" s="22"/>
      <c r="X323" s="22"/>
      <c r="Y323" s="22"/>
      <c r="Z323" s="22"/>
      <c r="AA323" s="153"/>
      <c r="AB323" s="11"/>
      <c r="AC323" s="11"/>
      <c r="AD323" s="11"/>
      <c r="AE323" s="20"/>
      <c r="AF323" s="11"/>
      <c r="AG323" s="11"/>
    </row>
    <row r="324" spans="1:33" ht="13.5">
      <c r="A324" s="22"/>
      <c r="B324" s="222" t="s">
        <v>421</v>
      </c>
      <c r="C324" s="258">
        <f>AT34</f>
        <v>-14</v>
      </c>
      <c r="D324" s="171"/>
      <c r="E324" s="22"/>
      <c r="F324" s="22"/>
      <c r="G324" s="22"/>
      <c r="H324" s="22"/>
      <c r="J324" s="22"/>
      <c r="K324" s="22"/>
      <c r="L324" s="22"/>
      <c r="M324" s="22"/>
      <c r="N324" s="22"/>
      <c r="O324" s="22"/>
      <c r="P324" s="22"/>
      <c r="Q324" s="22"/>
      <c r="R324" s="22"/>
      <c r="V324" s="22"/>
      <c r="W324" s="22"/>
      <c r="X324" s="22"/>
      <c r="Y324" s="22"/>
      <c r="Z324" s="22"/>
      <c r="AA324" s="153"/>
      <c r="AB324" s="11"/>
      <c r="AC324" s="11"/>
      <c r="AD324" s="11"/>
      <c r="AE324" s="20"/>
      <c r="AF324" s="11"/>
      <c r="AG324" s="11"/>
    </row>
    <row r="325" spans="1:33" ht="13.5">
      <c r="A325" s="22"/>
      <c r="B325" s="222" t="s">
        <v>422</v>
      </c>
      <c r="C325" s="258">
        <f t="shared" ref="C325:C332" si="116">AT35</f>
        <v>0</v>
      </c>
      <c r="D325" s="171"/>
      <c r="E325" s="22"/>
      <c r="F325" s="22"/>
      <c r="G325" s="22"/>
      <c r="H325" s="22"/>
      <c r="J325" s="22"/>
      <c r="K325" s="22"/>
      <c r="L325" s="22"/>
      <c r="M325" s="22"/>
      <c r="N325" s="22"/>
      <c r="O325" s="22"/>
      <c r="P325" s="22"/>
      <c r="Q325" s="22"/>
      <c r="R325" s="22"/>
      <c r="V325" s="22"/>
      <c r="W325" s="22"/>
      <c r="X325" s="22"/>
      <c r="Y325" s="22"/>
      <c r="Z325" s="22"/>
      <c r="AA325" s="153"/>
      <c r="AB325" s="11"/>
      <c r="AC325" s="11"/>
      <c r="AD325" s="11"/>
      <c r="AE325" s="20"/>
      <c r="AF325" s="11"/>
      <c r="AG325" s="11"/>
    </row>
    <row r="326" spans="1:33" ht="13.5">
      <c r="A326" s="22"/>
      <c r="B326" s="222" t="s">
        <v>423</v>
      </c>
      <c r="C326" s="258">
        <f t="shared" si="116"/>
        <v>10</v>
      </c>
      <c r="D326" s="171"/>
      <c r="E326" s="22"/>
      <c r="F326" s="22"/>
      <c r="G326" s="22"/>
      <c r="H326" s="22"/>
      <c r="J326" s="22"/>
      <c r="K326" s="22"/>
      <c r="L326" s="22"/>
      <c r="M326" s="22"/>
      <c r="N326" s="22"/>
      <c r="O326" s="22"/>
      <c r="P326" s="22"/>
      <c r="Q326" s="22"/>
      <c r="R326" s="22"/>
      <c r="V326" s="22"/>
      <c r="W326" s="22"/>
      <c r="X326" s="22"/>
      <c r="Y326" s="22"/>
      <c r="Z326" s="22"/>
      <c r="AA326" s="153"/>
      <c r="AB326" s="11"/>
      <c r="AC326" s="11"/>
      <c r="AD326" s="11"/>
      <c r="AE326" s="20"/>
      <c r="AF326" s="11"/>
      <c r="AG326" s="11"/>
    </row>
    <row r="327" spans="1:33" ht="13.5">
      <c r="A327" s="22"/>
      <c r="B327" s="222" t="s">
        <v>424</v>
      </c>
      <c r="C327" s="258">
        <f t="shared" si="116"/>
        <v>20</v>
      </c>
      <c r="D327" s="171"/>
      <c r="E327" s="22"/>
      <c r="F327" s="22"/>
      <c r="G327" s="22"/>
      <c r="H327" s="22"/>
      <c r="J327" s="22"/>
      <c r="K327" s="22"/>
      <c r="L327" s="22"/>
      <c r="M327" s="22"/>
      <c r="N327" s="22"/>
      <c r="O327" s="22"/>
      <c r="P327" s="22"/>
      <c r="Q327" s="22"/>
      <c r="R327" s="22"/>
      <c r="V327" s="22"/>
      <c r="W327" s="22"/>
      <c r="X327" s="22"/>
      <c r="Y327" s="22"/>
      <c r="Z327" s="22"/>
      <c r="AA327" s="153"/>
      <c r="AB327" s="11"/>
      <c r="AC327" s="11"/>
      <c r="AD327" s="11"/>
      <c r="AE327" s="20"/>
      <c r="AF327" s="11"/>
      <c r="AG327" s="11"/>
    </row>
    <row r="328" spans="1:33" ht="13.5">
      <c r="A328" s="22"/>
      <c r="B328" s="222" t="s">
        <v>425</v>
      </c>
      <c r="C328" s="258">
        <f t="shared" si="116"/>
        <v>29.502840761917749</v>
      </c>
      <c r="D328" s="171"/>
      <c r="E328" s="22"/>
      <c r="F328" s="22"/>
      <c r="G328" s="22"/>
      <c r="H328" s="22"/>
      <c r="J328" s="22"/>
      <c r="K328" s="22"/>
      <c r="L328" s="22"/>
      <c r="M328" s="22"/>
      <c r="N328" s="22"/>
      <c r="O328" s="22"/>
      <c r="P328" s="22"/>
      <c r="Q328" s="22"/>
      <c r="R328" s="22"/>
      <c r="V328" s="22"/>
      <c r="W328" s="22"/>
      <c r="X328" s="22"/>
      <c r="Y328" s="22"/>
      <c r="Z328" s="22"/>
      <c r="AA328" s="153"/>
      <c r="AB328" s="11"/>
      <c r="AC328" s="11"/>
      <c r="AD328" s="11"/>
      <c r="AE328" s="20"/>
      <c r="AF328" s="11"/>
      <c r="AG328" s="11"/>
    </row>
    <row r="329" spans="1:33" ht="13.5">
      <c r="A329" s="22"/>
      <c r="B329" s="222" t="s">
        <v>426</v>
      </c>
      <c r="C329" s="258">
        <f t="shared" si="116"/>
        <v>40</v>
      </c>
      <c r="D329" s="171"/>
      <c r="E329" s="22"/>
      <c r="F329" s="22"/>
      <c r="G329" s="22"/>
      <c r="H329" s="22"/>
      <c r="J329" s="22"/>
      <c r="K329" s="22"/>
      <c r="L329" s="22"/>
      <c r="M329" s="22"/>
      <c r="N329" s="22"/>
      <c r="O329" s="22"/>
      <c r="P329" s="22"/>
      <c r="Q329" s="22"/>
      <c r="R329" s="22"/>
      <c r="V329" s="22"/>
      <c r="W329" s="22"/>
      <c r="X329" s="22"/>
      <c r="Y329" s="22"/>
      <c r="Z329" s="22"/>
      <c r="AA329" s="153"/>
      <c r="AB329" s="11"/>
      <c r="AC329" s="11"/>
      <c r="AD329" s="11"/>
      <c r="AE329" s="20"/>
      <c r="AF329" s="11"/>
      <c r="AG329" s="11"/>
    </row>
    <row r="330" spans="1:33" ht="13.5">
      <c r="A330" s="22"/>
      <c r="B330" s="222" t="s">
        <v>499</v>
      </c>
      <c r="C330" s="258">
        <f t="shared" si="116"/>
        <v>65</v>
      </c>
      <c r="D330" s="171"/>
      <c r="E330" s="22"/>
      <c r="F330" s="22"/>
      <c r="G330" s="22"/>
      <c r="H330" s="22"/>
      <c r="J330" s="22"/>
      <c r="K330" s="22"/>
      <c r="L330" s="22"/>
      <c r="M330" s="22"/>
      <c r="N330" s="22"/>
      <c r="O330" s="22"/>
      <c r="P330" s="22"/>
      <c r="Q330" s="22"/>
      <c r="R330" s="22"/>
      <c r="V330" s="22"/>
      <c r="W330" s="22"/>
      <c r="X330" s="22"/>
      <c r="Y330" s="22"/>
      <c r="Z330" s="22"/>
      <c r="AA330" s="153"/>
      <c r="AB330" s="11"/>
      <c r="AC330" s="11"/>
      <c r="AD330" s="11"/>
      <c r="AE330" s="20"/>
      <c r="AF330" s="11"/>
      <c r="AG330" s="11"/>
    </row>
    <row r="331" spans="1:33" ht="13.5">
      <c r="A331" s="22"/>
      <c r="B331" s="222" t="s">
        <v>501</v>
      </c>
      <c r="C331" s="258">
        <f t="shared" si="116"/>
        <v>90</v>
      </c>
      <c r="D331" s="171"/>
      <c r="E331" s="22"/>
      <c r="F331" s="22"/>
      <c r="G331" s="22"/>
      <c r="H331" s="22"/>
      <c r="J331" s="22"/>
      <c r="K331" s="22"/>
      <c r="L331" s="22"/>
      <c r="M331" s="22"/>
      <c r="N331" s="22"/>
      <c r="O331" s="22"/>
      <c r="P331" s="22"/>
      <c r="Q331" s="22"/>
      <c r="R331" s="22"/>
      <c r="V331" s="22"/>
      <c r="W331" s="22"/>
      <c r="X331" s="22"/>
      <c r="Y331" s="22"/>
      <c r="Z331" s="22"/>
      <c r="AA331" s="153"/>
      <c r="AB331" s="11"/>
      <c r="AC331" s="11"/>
      <c r="AD331" s="11"/>
      <c r="AE331" s="20"/>
      <c r="AF331" s="11"/>
      <c r="AG331" s="11"/>
    </row>
    <row r="332" spans="1:33">
      <c r="B332" s="222" t="s">
        <v>502</v>
      </c>
      <c r="C332" s="258">
        <f t="shared" si="116"/>
        <v>112</v>
      </c>
      <c r="D332" s="171"/>
    </row>
    <row r="333" spans="1:33">
      <c r="B333" s="222" t="s">
        <v>448</v>
      </c>
      <c r="C333" s="334">
        <f>AZ49</f>
        <v>134.8938094326939</v>
      </c>
      <c r="D333" s="171"/>
    </row>
    <row r="334" spans="1:33">
      <c r="B334" s="222" t="s">
        <v>506</v>
      </c>
      <c r="C334" s="334">
        <f>AZ50</f>
        <v>36.088458785039776</v>
      </c>
      <c r="D334" s="171"/>
    </row>
    <row r="335" spans="1:33">
      <c r="B335" s="222" t="s">
        <v>625</v>
      </c>
      <c r="C335" s="334">
        <f>AZ51</f>
        <v>28.046000000000003</v>
      </c>
      <c r="D335" s="171"/>
    </row>
    <row r="336" spans="1:33">
      <c r="B336" s="222" t="s">
        <v>627</v>
      </c>
      <c r="C336" s="334">
        <f>AZ52</f>
        <v>29.845929806859434</v>
      </c>
    </row>
    <row r="337" spans="2:4">
      <c r="B337" s="250" t="s">
        <v>242</v>
      </c>
      <c r="C337" s="322">
        <f>S10</f>
        <v>110</v>
      </c>
      <c r="D337" s="251" t="s">
        <v>245</v>
      </c>
    </row>
    <row r="338" spans="2:4">
      <c r="B338" s="252" t="s">
        <v>241</v>
      </c>
      <c r="C338" s="253">
        <f>VALUE(SUBSTITUTE(S8,"A",""))</f>
        <v>5.5</v>
      </c>
      <c r="D338" s="251"/>
    </row>
    <row r="339" spans="2:4">
      <c r="B339" s="222" t="s">
        <v>427</v>
      </c>
      <c r="C339" s="334">
        <f>AT44</f>
        <v>43.917676938018751</v>
      </c>
      <c r="D339" s="171"/>
    </row>
    <row r="340" spans="2:4">
      <c r="B340" s="222" t="s">
        <v>428</v>
      </c>
      <c r="C340" s="334">
        <f t="shared" ref="C340:C347" si="117">AT45</f>
        <v>45.46</v>
      </c>
      <c r="D340" s="171"/>
    </row>
    <row r="341" spans="2:4">
      <c r="B341" s="222" t="s">
        <v>429</v>
      </c>
      <c r="C341" s="334">
        <f t="shared" si="117"/>
        <v>48.450414628651245</v>
      </c>
      <c r="D341" s="171"/>
    </row>
    <row r="342" spans="2:4">
      <c r="B342" s="222" t="s">
        <v>430</v>
      </c>
      <c r="C342" s="334">
        <f t="shared" si="117"/>
        <v>53.605418394841379</v>
      </c>
      <c r="D342" s="171"/>
    </row>
    <row r="343" spans="2:4">
      <c r="B343" s="222" t="s">
        <v>431</v>
      </c>
      <c r="C343" s="334">
        <f t="shared" si="117"/>
        <v>61.567613084960264</v>
      </c>
      <c r="D343" s="171"/>
    </row>
    <row r="344" spans="2:4">
      <c r="B344" s="222" t="s">
        <v>432</v>
      </c>
      <c r="C344" s="334">
        <f t="shared" si="117"/>
        <v>47.169546430407706</v>
      </c>
      <c r="D344" s="171"/>
    </row>
    <row r="345" spans="2:4">
      <c r="B345" s="222" t="s">
        <v>500</v>
      </c>
      <c r="C345" s="334">
        <f t="shared" si="117"/>
        <v>33.454418502942751</v>
      </c>
      <c r="D345" s="171"/>
    </row>
    <row r="346" spans="2:4">
      <c r="B346" s="222" t="s">
        <v>503</v>
      </c>
      <c r="C346" s="334">
        <f t="shared" si="117"/>
        <v>30.32</v>
      </c>
      <c r="D346" s="171"/>
    </row>
    <row r="347" spans="2:4">
      <c r="B347" s="222" t="s">
        <v>504</v>
      </c>
      <c r="C347" s="334">
        <f t="shared" si="117"/>
        <v>32.701173397984327</v>
      </c>
      <c r="D347" s="171"/>
    </row>
    <row r="348" spans="2:4">
      <c r="B348" s="222"/>
      <c r="C348" s="334"/>
      <c r="D348" s="171"/>
    </row>
    <row r="349" spans="2:4">
      <c r="B349" s="222" t="s">
        <v>980</v>
      </c>
      <c r="C349" s="1005">
        <f>VALUE(DeadTime1)</f>
        <v>1</v>
      </c>
      <c r="D349" s="171"/>
    </row>
    <row r="350" spans="2:4">
      <c r="B350" s="222" t="s">
        <v>979</v>
      </c>
      <c r="C350" s="1005">
        <f>VALUE(DeadTime3)</f>
        <v>0.6</v>
      </c>
      <c r="D350" s="171"/>
    </row>
    <row r="351" spans="2:4">
      <c r="B351" s="57" t="s">
        <v>623</v>
      </c>
      <c r="C351" s="57">
        <f>IF(Settings!Q10=0,180,0)</f>
        <v>180</v>
      </c>
      <c r="D351" s="57"/>
    </row>
    <row r="352" spans="2:4">
      <c r="B352" s="449" t="s">
        <v>621</v>
      </c>
      <c r="C352" s="269">
        <f>Settings!G8/1.732</f>
        <v>57.736720554272516</v>
      </c>
      <c r="D352" s="449"/>
    </row>
    <row r="353" spans="2:5">
      <c r="B353" s="179" t="s">
        <v>213</v>
      </c>
      <c r="C353" s="180">
        <v>25</v>
      </c>
      <c r="D353" s="259"/>
    </row>
    <row r="354" spans="2:5">
      <c r="B354" s="351" t="s">
        <v>491</v>
      </c>
      <c r="C354" s="351">
        <f>WEI_UV</f>
        <v>35</v>
      </c>
      <c r="D354" s="352"/>
    </row>
    <row r="355" spans="2:5">
      <c r="B355" s="254" t="s">
        <v>247</v>
      </c>
      <c r="C355" s="715">
        <f>IF(Settings!K16="Inactive",0.001,TestVZ4E)</f>
        <v>36.777904442496769</v>
      </c>
      <c r="D355" s="255" t="s">
        <v>244</v>
      </c>
    </row>
    <row r="356" spans="2:5">
      <c r="B356" s="256" t="s">
        <v>246</v>
      </c>
      <c r="C356" s="257">
        <f>VALUE(SUBSTITUTE(P30,"A",""))</f>
        <v>1</v>
      </c>
      <c r="D356" s="255"/>
    </row>
    <row r="357" spans="2:5">
      <c r="B357" s="118" t="s">
        <v>456</v>
      </c>
      <c r="C357" s="147">
        <f>MAX(C359:C362)*J_*1.2</f>
        <v>13.090560000000002</v>
      </c>
      <c r="D357" s="177" t="s">
        <v>458</v>
      </c>
    </row>
    <row r="358" spans="2:5">
      <c r="B358" s="118" t="s">
        <v>457</v>
      </c>
      <c r="C358" s="147">
        <f>IF(C357&gt;0,C357/(MIN(C359:C362))*1.2,"")</f>
        <v>0.69140281690140859</v>
      </c>
      <c r="D358" s="177"/>
    </row>
    <row r="359" spans="2:5">
      <c r="B359" s="118" t="s">
        <v>452</v>
      </c>
      <c r="C359" s="249">
        <f>IF(LEFT(PTTMode,1)&lt;"4",P15,"")</f>
        <v>68.180000000000007</v>
      </c>
      <c r="D359" s="177"/>
    </row>
    <row r="360" spans="2:5">
      <c r="B360" s="118" t="s">
        <v>453</v>
      </c>
      <c r="C360" s="249">
        <f>IF(LEFT(PTTMode,1)&lt;"4",P21,"")</f>
        <v>45.8</v>
      </c>
      <c r="D360" s="177"/>
    </row>
    <row r="361" spans="2:5">
      <c r="B361" s="118" t="s">
        <v>454</v>
      </c>
      <c r="C361" s="249">
        <f>IF(LEFT(PTTMode,1)&lt;"4",S15,"")</f>
        <v>22.72</v>
      </c>
      <c r="D361" s="177"/>
    </row>
    <row r="362" spans="2:5">
      <c r="B362" s="118" t="s">
        <v>455</v>
      </c>
      <c r="C362" s="249">
        <f>IF(LEFT(PTTMode,1)&lt;"4",S21,"")</f>
        <v>53.58</v>
      </c>
      <c r="D362" s="177"/>
    </row>
    <row r="363" spans="2:5">
      <c r="B363" s="118" t="s">
        <v>459</v>
      </c>
      <c r="C363" s="147">
        <f>MAX(C365:C368)*MAX(J_,Je_)*1.2</f>
        <v>33.687609600000002</v>
      </c>
      <c r="D363" s="177"/>
      <c r="E363" s="339"/>
    </row>
    <row r="364" spans="2:5">
      <c r="B364" s="118" t="s">
        <v>460</v>
      </c>
      <c r="C364" s="147">
        <f>IF(C363&gt;0,C363/(MIN(C365:C368))*1.2,"")</f>
        <v>0.95421058704118955</v>
      </c>
      <c r="D364" s="177"/>
    </row>
    <row r="365" spans="2:5">
      <c r="B365" s="118" t="s">
        <v>461</v>
      </c>
      <c r="C365" s="249">
        <f>IF(LEFT(PTTMode,1)&lt;"4",P37,"")</f>
        <v>175.4563</v>
      </c>
      <c r="D365" s="177"/>
    </row>
    <row r="366" spans="2:5">
      <c r="B366" s="118" t="s">
        <v>462</v>
      </c>
      <c r="C366" s="249">
        <f>IF(LEFT(PTTMode,1)&lt;"4",P43,"")</f>
        <v>42.365000000000002</v>
      </c>
      <c r="D366" s="177"/>
    </row>
    <row r="367" spans="2:5">
      <c r="B367" s="118" t="s">
        <v>463</v>
      </c>
      <c r="C367" s="249">
        <f>IF(LEFT(PTTMode,1)&lt;"4",S37,"")</f>
        <v>54.831300000000006</v>
      </c>
      <c r="D367" s="177"/>
    </row>
    <row r="368" spans="2:5">
      <c r="B368" s="118" t="s">
        <v>464</v>
      </c>
      <c r="C368" s="249">
        <f>IF(LEFT(PTTMode,1)&lt;"4",S43,"")</f>
        <v>49.561500000000002</v>
      </c>
      <c r="D368" s="177"/>
    </row>
    <row r="369" spans="2:4">
      <c r="B369" s="188" t="s">
        <v>483</v>
      </c>
      <c r="C369" s="347">
        <f>DCEF_J</f>
        <v>0.1</v>
      </c>
      <c r="D369" s="452"/>
    </row>
    <row r="370" spans="2:4">
      <c r="B370" s="188" t="s">
        <v>484</v>
      </c>
      <c r="C370" s="350">
        <f>DCEF_V/Settings!E8</f>
        <v>0.98265895953757221</v>
      </c>
      <c r="D370" s="452"/>
    </row>
    <row r="371" spans="2:4">
      <c r="B371" s="188" t="s">
        <v>487</v>
      </c>
      <c r="C371" s="660">
        <f>Alpha</f>
        <v>338</v>
      </c>
      <c r="D371" s="452"/>
    </row>
    <row r="372" spans="2:4">
      <c r="B372" s="188" t="s">
        <v>488</v>
      </c>
      <c r="C372" s="660">
        <f>Beta</f>
        <v>122</v>
      </c>
      <c r="D372" s="452"/>
    </row>
    <row r="373" spans="2:4">
      <c r="B373" s="256" t="s">
        <v>249</v>
      </c>
      <c r="C373" s="453">
        <f>TestVZ5E</f>
        <v>63</v>
      </c>
      <c r="D373" s="447" t="s">
        <v>243</v>
      </c>
    </row>
    <row r="374" spans="2:4">
      <c r="B374" s="256" t="s">
        <v>248</v>
      </c>
      <c r="C374" s="257">
        <f>VALUE(SUBSTITUTE(S30,"A",""))</f>
        <v>1.4</v>
      </c>
      <c r="D374" s="447"/>
    </row>
    <row r="375" spans="2:4">
      <c r="B375" s="118" t="s">
        <v>643</v>
      </c>
      <c r="C375" s="147">
        <f>SEF_V/1.732</f>
        <v>28.868360277136258</v>
      </c>
      <c r="D375" s="177"/>
    </row>
    <row r="376" spans="2:4">
      <c r="B376" s="118" t="s">
        <v>646</v>
      </c>
      <c r="C376" s="147">
        <f>SEF_Vmin</f>
        <v>40</v>
      </c>
      <c r="D376" s="177"/>
    </row>
    <row r="377" spans="2:4">
      <c r="B377" s="118" t="s">
        <v>647</v>
      </c>
      <c r="C377" s="147">
        <f>SEF_Vmax</f>
        <v>75</v>
      </c>
      <c r="D377" s="177"/>
    </row>
    <row r="378" spans="2:4">
      <c r="B378" s="118" t="s">
        <v>644</v>
      </c>
      <c r="C378" s="249">
        <f>SEF_I</f>
        <v>8.0000000000000002E-3</v>
      </c>
      <c r="D378" s="177" t="s">
        <v>648</v>
      </c>
    </row>
    <row r="379" spans="2:4">
      <c r="B379" s="118" t="s">
        <v>645</v>
      </c>
      <c r="C379" s="147">
        <f>SEF_t</f>
        <v>2.5</v>
      </c>
      <c r="D379" s="177" t="s">
        <v>649</v>
      </c>
    </row>
    <row r="380" spans="2:4">
      <c r="B380" s="172" t="s">
        <v>651</v>
      </c>
      <c r="C380" s="523">
        <f>IF(Settings!Q6&lt;&gt;"7SA612",C391+3,C391)</f>
        <v>5</v>
      </c>
      <c r="D380" s="477"/>
    </row>
    <row r="381" spans="2:4">
      <c r="B381" s="172" t="s">
        <v>656</v>
      </c>
      <c r="C381" s="523">
        <f>IF(Settings!Q6&lt;&gt;"7SA612",C394+3,C394)</f>
        <v>5</v>
      </c>
      <c r="D381" s="477"/>
    </row>
    <row r="382" spans="2:4">
      <c r="B382" s="172" t="s">
        <v>652</v>
      </c>
      <c r="C382" s="523">
        <f>IF(Settings!Q6&lt;&gt;"7SA612",C397+3,C397)</f>
        <v>25</v>
      </c>
      <c r="D382" s="477"/>
    </row>
    <row r="383" spans="2:4">
      <c r="B383" s="172" t="s">
        <v>653</v>
      </c>
      <c r="C383" s="523">
        <f>IF(Settings!Q6&lt;&gt;"7SA612",C400+3,C400)</f>
        <v>25</v>
      </c>
      <c r="D383" s="477"/>
    </row>
    <row r="384" spans="2:4">
      <c r="B384" s="172" t="s">
        <v>654</v>
      </c>
      <c r="C384" s="523">
        <f>IF(Settings!Q6&lt;&gt;"7SA612",C517+3,C517)</f>
        <v>50</v>
      </c>
      <c r="D384" s="477"/>
    </row>
    <row r="385" spans="2:4">
      <c r="B385" s="172" t="s">
        <v>655</v>
      </c>
      <c r="C385" s="523">
        <f>IF(Settings!Q6&lt;&gt;"7SA612",C518+3,C518)</f>
        <v>60.000000000000007</v>
      </c>
      <c r="D385" s="477"/>
    </row>
    <row r="386" spans="2:4">
      <c r="B386" s="177" t="s">
        <v>732</v>
      </c>
      <c r="C386" s="456">
        <f>T_1B*1000+30</f>
        <v>30</v>
      </c>
      <c r="D386" s="177" t="s">
        <v>733</v>
      </c>
    </row>
    <row r="387" spans="2:4">
      <c r="B387" s="222" t="s">
        <v>637</v>
      </c>
      <c r="C387" s="334">
        <f>CBF_I*In</f>
        <v>0.5</v>
      </c>
      <c r="D387" s="174"/>
    </row>
    <row r="388" spans="2:4">
      <c r="B388" s="222" t="s">
        <v>635</v>
      </c>
      <c r="C388" s="334">
        <f>CBF_T1*1000</f>
        <v>100</v>
      </c>
      <c r="D388" s="174"/>
    </row>
    <row r="389" spans="2:4">
      <c r="B389" s="222" t="s">
        <v>636</v>
      </c>
      <c r="C389" s="334">
        <f>CBF_T2*1000</f>
        <v>200</v>
      </c>
      <c r="D389" s="174"/>
    </row>
    <row r="390" spans="2:4">
      <c r="B390" s="222" t="s">
        <v>634</v>
      </c>
      <c r="C390" s="334">
        <f>CBF_T3*1000+OpTime</f>
        <v>70</v>
      </c>
      <c r="D390" s="174"/>
    </row>
    <row r="391" spans="2:4">
      <c r="B391" s="172" t="s">
        <v>250</v>
      </c>
      <c r="C391" s="454">
        <f>D9</f>
        <v>5</v>
      </c>
      <c r="D391" s="455" t="s">
        <v>270</v>
      </c>
    </row>
    <row r="392" spans="2:4">
      <c r="B392" s="172" t="s">
        <v>254</v>
      </c>
      <c r="C392" s="248">
        <f>D10</f>
        <v>106.30394709518805</v>
      </c>
      <c r="D392" s="172"/>
    </row>
    <row r="393" spans="2:4">
      <c r="B393" s="172" t="s">
        <v>262</v>
      </c>
      <c r="C393" s="146">
        <f>VALUE(SUBSTITUTE(D8,"A",""))</f>
        <v>7.3</v>
      </c>
      <c r="D393" s="172"/>
    </row>
    <row r="394" spans="2:4">
      <c r="B394" s="177" t="s">
        <v>251</v>
      </c>
      <c r="C394" s="456">
        <f>G9</f>
        <v>5</v>
      </c>
      <c r="D394" s="177" t="s">
        <v>272</v>
      </c>
    </row>
    <row r="395" spans="2:4">
      <c r="B395" s="177" t="s">
        <v>255</v>
      </c>
      <c r="C395" s="249">
        <f>G10</f>
        <v>110</v>
      </c>
      <c r="D395" s="177"/>
    </row>
    <row r="396" spans="2:4">
      <c r="B396" s="177" t="s">
        <v>263</v>
      </c>
      <c r="C396" s="147">
        <f>VALUE(SUBSTITUTE(G8,"A",""))</f>
        <v>4</v>
      </c>
      <c r="D396" s="177"/>
    </row>
    <row r="397" spans="2:4">
      <c r="B397" s="174" t="s">
        <v>252</v>
      </c>
      <c r="C397" s="457">
        <f>J9</f>
        <v>25</v>
      </c>
      <c r="D397" s="174" t="s">
        <v>271</v>
      </c>
    </row>
    <row r="398" spans="2:4">
      <c r="B398" s="174" t="s">
        <v>256</v>
      </c>
      <c r="C398" s="334">
        <f>IF(Settings!G16="Inactive",0.001,J10)</f>
        <v>110</v>
      </c>
      <c r="D398" s="174"/>
    </row>
    <row r="399" spans="2:4">
      <c r="B399" s="174" t="s">
        <v>264</v>
      </c>
      <c r="C399" s="258">
        <f>VALUE(SUBSTITUTE(J8,"A",""))</f>
        <v>5</v>
      </c>
      <c r="D399" s="174"/>
    </row>
    <row r="400" spans="2:4">
      <c r="B400" s="458" t="s">
        <v>253</v>
      </c>
      <c r="C400" s="459">
        <f>M9</f>
        <v>25</v>
      </c>
      <c r="D400" s="458" t="s">
        <v>273</v>
      </c>
    </row>
    <row r="401" spans="2:4">
      <c r="B401" s="458" t="s">
        <v>257</v>
      </c>
      <c r="C401" s="460">
        <f>IF(Settings!I16="Inactive",0.001,M10)</f>
        <v>16.112242420936521</v>
      </c>
      <c r="D401" s="458"/>
    </row>
    <row r="402" spans="2:4">
      <c r="B402" s="458" t="s">
        <v>265</v>
      </c>
      <c r="C402" s="461">
        <f>VALUE(SUBSTITUTE(M8,"A",""))</f>
        <v>9.5</v>
      </c>
      <c r="D402" s="458"/>
    </row>
    <row r="403" spans="2:4">
      <c r="B403" s="172" t="s">
        <v>258</v>
      </c>
      <c r="C403" s="143">
        <f>D32</f>
        <v>15.761956473304517</v>
      </c>
      <c r="D403" s="172"/>
    </row>
    <row r="404" spans="2:4">
      <c r="B404" s="172" t="s">
        <v>266</v>
      </c>
      <c r="C404" s="146">
        <f>VALUE(SUBSTITUTE(D30,"A",""))</f>
        <v>1.2</v>
      </c>
      <c r="D404" s="172"/>
    </row>
    <row r="405" spans="2:4">
      <c r="B405" s="177" t="s">
        <v>259</v>
      </c>
      <c r="C405" s="121">
        <f>G32</f>
        <v>31.386287657377903</v>
      </c>
      <c r="D405" s="177"/>
    </row>
    <row r="406" spans="2:4">
      <c r="B406" s="177" t="s">
        <v>268</v>
      </c>
      <c r="C406" s="147">
        <f>VALUE(SUBSTITUTE(G30,"A",""))</f>
        <v>1.2</v>
      </c>
      <c r="D406" s="177"/>
    </row>
    <row r="407" spans="2:4">
      <c r="B407" s="174" t="s">
        <v>260</v>
      </c>
      <c r="C407" s="334">
        <f>IF(Settings!G16="Inactive",0.001,J32)</f>
        <v>24.697945932037388</v>
      </c>
      <c r="D407" s="174"/>
    </row>
    <row r="408" spans="2:4">
      <c r="B408" s="174" t="s">
        <v>267</v>
      </c>
      <c r="C408" s="258">
        <f>VALUE(SUBSTITUTE(J30,"A",""))</f>
        <v>1.2</v>
      </c>
      <c r="D408" s="174"/>
    </row>
    <row r="409" spans="2:4">
      <c r="B409" s="458" t="s">
        <v>261</v>
      </c>
      <c r="C409" s="460">
        <f>IF(Settings!I16="Inactive",0.001,M32)</f>
        <v>1.8050455822817035</v>
      </c>
      <c r="D409" s="458"/>
    </row>
    <row r="410" spans="2:4">
      <c r="B410" s="458" t="s">
        <v>269</v>
      </c>
      <c r="C410" s="461">
        <f>VALUE(SUBSTITUTE(M30,"A",""))</f>
        <v>1.2</v>
      </c>
      <c r="D410" s="458"/>
    </row>
    <row r="411" spans="2:4">
      <c r="B411" s="462" t="s">
        <v>274</v>
      </c>
      <c r="C411" s="463">
        <f>TestVSOTF</f>
        <v>184.70283925488079</v>
      </c>
      <c r="D411" s="462"/>
    </row>
    <row r="412" spans="2:4">
      <c r="B412" s="462" t="s">
        <v>275</v>
      </c>
      <c r="C412" s="464">
        <f>VALUE(SUBSTITUTE(Y8,"A",""))</f>
        <v>2.2000000000000002</v>
      </c>
      <c r="D412" s="462"/>
    </row>
    <row r="413" spans="2:4">
      <c r="B413" s="462" t="s">
        <v>276</v>
      </c>
      <c r="C413" s="465">
        <f>TestV_SOTF_E</f>
        <v>54.18</v>
      </c>
      <c r="D413" s="462"/>
    </row>
    <row r="414" spans="2:4">
      <c r="B414" s="462" t="s">
        <v>277</v>
      </c>
      <c r="C414" s="464">
        <f>VALUE(SUBSTITUTE(Y30,"A",""))</f>
        <v>2.1</v>
      </c>
      <c r="D414" s="462"/>
    </row>
    <row r="415" spans="2:4">
      <c r="B415" s="178" t="s">
        <v>279</v>
      </c>
      <c r="C415" s="466">
        <f>TestVPTT</f>
        <v>110</v>
      </c>
      <c r="D415" s="178"/>
    </row>
    <row r="416" spans="2:4">
      <c r="B416" s="178" t="s">
        <v>280</v>
      </c>
      <c r="C416" s="467">
        <f>VALUE(SUBSTITUTE(V8,"A",""))</f>
        <v>4</v>
      </c>
      <c r="D416" s="178"/>
    </row>
    <row r="417" spans="2:4">
      <c r="B417" s="178" t="s">
        <v>281</v>
      </c>
      <c r="C417" s="468">
        <f>V32</f>
        <v>31.386287657377903</v>
      </c>
      <c r="D417" s="178"/>
    </row>
    <row r="418" spans="2:4">
      <c r="B418" s="178" t="s">
        <v>282</v>
      </c>
      <c r="C418" s="468">
        <f>VALUE(SUBSTITUTE(V30,"A",""))</f>
        <v>1.2</v>
      </c>
      <c r="D418" s="178"/>
    </row>
    <row r="419" spans="2:4">
      <c r="B419" s="175" t="s">
        <v>283</v>
      </c>
      <c r="C419" s="175" t="str">
        <f>K51</f>
        <v xml:space="preserve"> 90</v>
      </c>
      <c r="D419" s="175" t="s">
        <v>284</v>
      </c>
    </row>
    <row r="420" spans="2:4">
      <c r="B420" s="175" t="s">
        <v>285</v>
      </c>
      <c r="C420" s="175">
        <f>ROUND(T_5*1.1+1,0)</f>
        <v>2</v>
      </c>
      <c r="D420" s="175"/>
    </row>
    <row r="421" spans="2:4">
      <c r="B421" s="178" t="s">
        <v>288</v>
      </c>
      <c r="C421" s="467">
        <f>IF(U13="","OFF",U13)</f>
        <v>-14</v>
      </c>
      <c r="D421" s="178"/>
    </row>
    <row r="422" spans="2:4">
      <c r="B422" s="178" t="s">
        <v>289</v>
      </c>
      <c r="C422" s="467">
        <f t="shared" ref="C422:C432" si="118">IF(U14="","OFF",U14)</f>
        <v>0</v>
      </c>
      <c r="D422" s="178"/>
    </row>
    <row r="423" spans="2:4">
      <c r="B423" s="178" t="s">
        <v>290</v>
      </c>
      <c r="C423" s="467">
        <f t="shared" si="118"/>
        <v>10</v>
      </c>
      <c r="D423" s="178"/>
    </row>
    <row r="424" spans="2:4">
      <c r="B424" s="178" t="s">
        <v>291</v>
      </c>
      <c r="C424" s="467">
        <f t="shared" si="118"/>
        <v>20</v>
      </c>
      <c r="D424" s="178"/>
    </row>
    <row r="425" spans="2:4">
      <c r="B425" s="178" t="s">
        <v>292</v>
      </c>
      <c r="C425" s="467">
        <f t="shared" si="118"/>
        <v>29.502840761917749</v>
      </c>
      <c r="D425" s="178"/>
    </row>
    <row r="426" spans="2:4">
      <c r="B426" s="178" t="s">
        <v>293</v>
      </c>
      <c r="C426" s="467">
        <f t="shared" si="118"/>
        <v>40</v>
      </c>
      <c r="D426" s="178"/>
    </row>
    <row r="427" spans="2:4">
      <c r="B427" s="178" t="s">
        <v>294</v>
      </c>
      <c r="C427" s="467">
        <f t="shared" si="118"/>
        <v>65</v>
      </c>
      <c r="D427" s="178"/>
    </row>
    <row r="428" spans="2:4">
      <c r="B428" s="178" t="s">
        <v>295</v>
      </c>
      <c r="C428" s="467">
        <f t="shared" si="118"/>
        <v>90</v>
      </c>
      <c r="D428" s="178"/>
    </row>
    <row r="429" spans="2:4">
      <c r="B429" s="178" t="s">
        <v>296</v>
      </c>
      <c r="C429" s="467">
        <f t="shared" si="118"/>
        <v>112</v>
      </c>
      <c r="D429" s="178"/>
    </row>
    <row r="430" spans="2:4">
      <c r="B430" s="178" t="s">
        <v>297</v>
      </c>
      <c r="C430" s="467" t="str">
        <f t="shared" si="118"/>
        <v>OFF</v>
      </c>
      <c r="D430" s="178"/>
    </row>
    <row r="431" spans="2:4">
      <c r="B431" s="178" t="s">
        <v>298</v>
      </c>
      <c r="C431" s="467" t="str">
        <f t="shared" si="118"/>
        <v>OFF</v>
      </c>
      <c r="D431" s="178"/>
    </row>
    <row r="432" spans="2:4">
      <c r="B432" s="178" t="s">
        <v>299</v>
      </c>
      <c r="C432" s="467" t="str">
        <f t="shared" si="118"/>
        <v>OFF</v>
      </c>
      <c r="D432" s="178"/>
    </row>
    <row r="433" spans="2:4">
      <c r="B433" s="178" t="s">
        <v>300</v>
      </c>
      <c r="C433" s="468">
        <f>IF(V13="","OFF",V13)</f>
        <v>43.917676938018751</v>
      </c>
      <c r="D433" s="178"/>
    </row>
    <row r="434" spans="2:4">
      <c r="B434" s="178" t="s">
        <v>301</v>
      </c>
      <c r="C434" s="468">
        <f t="shared" ref="C434:C444" si="119">IF(V14="","OFF",V14)</f>
        <v>45.46</v>
      </c>
      <c r="D434" s="178"/>
    </row>
    <row r="435" spans="2:4">
      <c r="B435" s="178" t="s">
        <v>302</v>
      </c>
      <c r="C435" s="468">
        <f t="shared" si="119"/>
        <v>48.450414628651245</v>
      </c>
      <c r="D435" s="178"/>
    </row>
    <row r="436" spans="2:4">
      <c r="B436" s="178" t="s">
        <v>303</v>
      </c>
      <c r="C436" s="468">
        <f t="shared" si="119"/>
        <v>53.605418394841379</v>
      </c>
      <c r="D436" s="178"/>
    </row>
    <row r="437" spans="2:4">
      <c r="B437" s="178" t="s">
        <v>304</v>
      </c>
      <c r="C437" s="468">
        <f t="shared" si="119"/>
        <v>61.567613084960264</v>
      </c>
      <c r="D437" s="178"/>
    </row>
    <row r="438" spans="2:4">
      <c r="B438" s="178" t="s">
        <v>305</v>
      </c>
      <c r="C438" s="468">
        <f t="shared" si="119"/>
        <v>47.169546430407706</v>
      </c>
      <c r="D438" s="178"/>
    </row>
    <row r="439" spans="2:4">
      <c r="B439" s="178" t="s">
        <v>306</v>
      </c>
      <c r="C439" s="468">
        <f t="shared" si="119"/>
        <v>33.454418502942751</v>
      </c>
      <c r="D439" s="178"/>
    </row>
    <row r="440" spans="2:4">
      <c r="B440" s="178" t="s">
        <v>307</v>
      </c>
      <c r="C440" s="468">
        <f t="shared" si="119"/>
        <v>30.32</v>
      </c>
      <c r="D440" s="178"/>
    </row>
    <row r="441" spans="2:4">
      <c r="B441" s="178" t="s">
        <v>308</v>
      </c>
      <c r="C441" s="468">
        <f t="shared" si="119"/>
        <v>32.701173397984327</v>
      </c>
      <c r="D441" s="178"/>
    </row>
    <row r="442" spans="2:4">
      <c r="B442" s="178" t="s">
        <v>309</v>
      </c>
      <c r="C442" s="468" t="str">
        <f t="shared" si="119"/>
        <v>OFF</v>
      </c>
      <c r="D442" s="178"/>
    </row>
    <row r="443" spans="2:4">
      <c r="B443" s="178" t="s">
        <v>310</v>
      </c>
      <c r="C443" s="468" t="str">
        <f t="shared" si="119"/>
        <v>OFF</v>
      </c>
      <c r="D443" s="178"/>
    </row>
    <row r="444" spans="2:4">
      <c r="B444" s="178" t="s">
        <v>311</v>
      </c>
      <c r="C444" s="468" t="str">
        <f t="shared" si="119"/>
        <v>OFF</v>
      </c>
      <c r="D444" s="178"/>
    </row>
    <row r="445" spans="2:4">
      <c r="B445" s="178" t="s">
        <v>336</v>
      </c>
      <c r="C445" s="467">
        <f>IF(U35="","OFF",U35)</f>
        <v>-14</v>
      </c>
      <c r="D445" s="178"/>
    </row>
    <row r="446" spans="2:4">
      <c r="B446" s="178" t="s">
        <v>337</v>
      </c>
      <c r="C446" s="467">
        <f t="shared" ref="C446:C456" si="120">IF(U36="","OFF",U36)</f>
        <v>0</v>
      </c>
      <c r="D446" s="178"/>
    </row>
    <row r="447" spans="2:4">
      <c r="B447" s="178" t="s">
        <v>338</v>
      </c>
      <c r="C447" s="467">
        <f t="shared" si="120"/>
        <v>4</v>
      </c>
      <c r="D447" s="178"/>
    </row>
    <row r="448" spans="2:4">
      <c r="B448" s="178" t="s">
        <v>339</v>
      </c>
      <c r="C448" s="467">
        <f t="shared" si="120"/>
        <v>8</v>
      </c>
      <c r="D448" s="178"/>
    </row>
    <row r="449" spans="2:4">
      <c r="B449" s="178" t="s">
        <v>340</v>
      </c>
      <c r="C449" s="467">
        <f t="shared" si="120"/>
        <v>9.8789046492933696</v>
      </c>
      <c r="D449" s="178"/>
    </row>
    <row r="450" spans="2:4">
      <c r="B450" s="178" t="s">
        <v>341</v>
      </c>
      <c r="C450" s="467">
        <f t="shared" si="120"/>
        <v>12</v>
      </c>
      <c r="D450" s="178"/>
    </row>
    <row r="451" spans="2:4">
      <c r="B451" s="178" t="s">
        <v>342</v>
      </c>
      <c r="C451" s="467">
        <f t="shared" si="120"/>
        <v>51</v>
      </c>
      <c r="D451" s="178"/>
    </row>
    <row r="452" spans="2:4">
      <c r="B452" s="178" t="s">
        <v>343</v>
      </c>
      <c r="C452" s="467">
        <f t="shared" si="120"/>
        <v>90</v>
      </c>
      <c r="D452" s="178"/>
    </row>
    <row r="453" spans="2:4">
      <c r="B453" s="178" t="s">
        <v>344</v>
      </c>
      <c r="C453" s="467">
        <f t="shared" si="120"/>
        <v>110</v>
      </c>
      <c r="D453" s="178"/>
    </row>
    <row r="454" spans="2:4">
      <c r="B454" s="178" t="s">
        <v>345</v>
      </c>
      <c r="C454" s="467" t="str">
        <f t="shared" si="120"/>
        <v>OFF</v>
      </c>
      <c r="D454" s="178"/>
    </row>
    <row r="455" spans="2:4">
      <c r="B455" s="178" t="s">
        <v>346</v>
      </c>
      <c r="C455" s="467" t="str">
        <f t="shared" si="120"/>
        <v>OFF</v>
      </c>
      <c r="D455" s="178"/>
    </row>
    <row r="456" spans="2:4">
      <c r="B456" s="178" t="s">
        <v>347</v>
      </c>
      <c r="C456" s="467" t="str">
        <f t="shared" si="120"/>
        <v>OFF</v>
      </c>
      <c r="D456" s="178"/>
    </row>
    <row r="457" spans="2:4">
      <c r="B457" s="178" t="s">
        <v>348</v>
      </c>
      <c r="C457" s="468">
        <f>IF(V35="","OFF",V35)</f>
        <v>115.92997785702917</v>
      </c>
      <c r="D457" s="178"/>
    </row>
    <row r="458" spans="2:4">
      <c r="B458" s="178" t="s">
        <v>349</v>
      </c>
      <c r="C458" s="468">
        <f t="shared" ref="C458:C468" si="121">IF(V36="","OFF",V36)</f>
        <v>153.53149999999999</v>
      </c>
      <c r="D458" s="178"/>
    </row>
    <row r="459" spans="2:4">
      <c r="B459" s="178" t="s">
        <v>350</v>
      </c>
      <c r="C459" s="468">
        <f t="shared" si="121"/>
        <v>156.84519038126788</v>
      </c>
      <c r="D459" s="178"/>
    </row>
    <row r="460" spans="2:4">
      <c r="B460" s="178" t="s">
        <v>351</v>
      </c>
      <c r="C460" s="468">
        <f t="shared" si="121"/>
        <v>161.10728850878598</v>
      </c>
      <c r="D460" s="178"/>
    </row>
    <row r="461" spans="2:4">
      <c r="B461" s="178" t="s">
        <v>352</v>
      </c>
      <c r="C461" s="468">
        <f t="shared" si="121"/>
        <v>163.47024821550991</v>
      </c>
      <c r="D461" s="178"/>
    </row>
    <row r="462" spans="2:4">
      <c r="B462" s="178" t="s">
        <v>353</v>
      </c>
      <c r="C462" s="468">
        <f t="shared" si="121"/>
        <v>134.8938094326939</v>
      </c>
      <c r="D462" s="178"/>
    </row>
    <row r="463" spans="2:4">
      <c r="B463" s="178" t="s">
        <v>354</v>
      </c>
      <c r="C463" s="468">
        <f t="shared" si="121"/>
        <v>36.088458785039776</v>
      </c>
      <c r="D463" s="178"/>
    </row>
    <row r="464" spans="2:4">
      <c r="B464" s="178" t="s">
        <v>355</v>
      </c>
      <c r="C464" s="468">
        <f t="shared" si="121"/>
        <v>28.046000000000003</v>
      </c>
      <c r="D464" s="178"/>
    </row>
    <row r="465" spans="2:4">
      <c r="B465" s="178" t="s">
        <v>356</v>
      </c>
      <c r="C465" s="468">
        <f t="shared" si="121"/>
        <v>29.845929806859434</v>
      </c>
      <c r="D465" s="178"/>
    </row>
    <row r="466" spans="2:4">
      <c r="B466" s="178" t="s">
        <v>357</v>
      </c>
      <c r="C466" s="468" t="str">
        <f t="shared" si="121"/>
        <v>OFF</v>
      </c>
      <c r="D466" s="178"/>
    </row>
    <row r="467" spans="2:4">
      <c r="B467" s="178" t="s">
        <v>358</v>
      </c>
      <c r="C467" s="468" t="str">
        <f t="shared" si="121"/>
        <v>OFF</v>
      </c>
      <c r="D467" s="178"/>
    </row>
    <row r="468" spans="2:4">
      <c r="B468" s="178" t="s">
        <v>359</v>
      </c>
      <c r="C468" s="468" t="str">
        <f t="shared" si="121"/>
        <v>OFF</v>
      </c>
      <c r="D468" s="178"/>
    </row>
    <row r="469" spans="2:4">
      <c r="B469" s="447" t="s">
        <v>312</v>
      </c>
      <c r="C469" s="469">
        <f>IF(X13="","OFF",X13)</f>
        <v>-39.079693088446213</v>
      </c>
      <c r="D469" s="447"/>
    </row>
    <row r="470" spans="2:4">
      <c r="B470" s="447" t="s">
        <v>313</v>
      </c>
      <c r="C470" s="469">
        <f t="shared" ref="C470:C480" si="122">IF(X14="","OFF",X14)</f>
        <v>0</v>
      </c>
      <c r="D470" s="447"/>
    </row>
    <row r="471" spans="2:4">
      <c r="B471" s="447" t="s">
        <v>314</v>
      </c>
      <c r="C471" s="469">
        <f t="shared" si="122"/>
        <v>10</v>
      </c>
      <c r="D471" s="447"/>
    </row>
    <row r="472" spans="2:4">
      <c r="B472" s="447" t="s">
        <v>315</v>
      </c>
      <c r="C472" s="469">
        <f t="shared" si="122"/>
        <v>29.502840761917749</v>
      </c>
      <c r="D472" s="447"/>
    </row>
    <row r="473" spans="2:4">
      <c r="B473" s="447" t="s">
        <v>316</v>
      </c>
      <c r="C473" s="469">
        <f t="shared" si="122"/>
        <v>65</v>
      </c>
      <c r="D473" s="447"/>
    </row>
    <row r="474" spans="2:4">
      <c r="B474" s="447" t="s">
        <v>317</v>
      </c>
      <c r="C474" s="469">
        <f t="shared" si="122"/>
        <v>90</v>
      </c>
      <c r="D474" s="447"/>
    </row>
    <row r="475" spans="2:4">
      <c r="B475" s="447" t="s">
        <v>318</v>
      </c>
      <c r="C475" s="469">
        <f t="shared" si="122"/>
        <v>112</v>
      </c>
      <c r="D475" s="447"/>
    </row>
    <row r="476" spans="2:4">
      <c r="B476" s="447" t="s">
        <v>319</v>
      </c>
      <c r="C476" s="469">
        <f t="shared" si="122"/>
        <v>140.92030691155378</v>
      </c>
      <c r="D476" s="447"/>
    </row>
    <row r="477" spans="2:4">
      <c r="B477" s="447" t="s">
        <v>320</v>
      </c>
      <c r="C477" s="469">
        <f t="shared" si="122"/>
        <v>180</v>
      </c>
      <c r="D477" s="447"/>
    </row>
    <row r="478" spans="2:4">
      <c r="B478" s="447" t="s">
        <v>321</v>
      </c>
      <c r="C478" s="469">
        <f t="shared" si="122"/>
        <v>209.50284076191775</v>
      </c>
      <c r="D478" s="447"/>
    </row>
    <row r="479" spans="2:4">
      <c r="B479" s="447" t="s">
        <v>322</v>
      </c>
      <c r="C479" s="469">
        <f t="shared" si="122"/>
        <v>270</v>
      </c>
      <c r="D479" s="447"/>
    </row>
    <row r="480" spans="2:4">
      <c r="B480" s="447" t="s">
        <v>323</v>
      </c>
      <c r="C480" s="469">
        <f t="shared" si="122"/>
        <v>292</v>
      </c>
      <c r="D480" s="447"/>
    </row>
    <row r="481" spans="2:4">
      <c r="B481" s="447" t="s">
        <v>324</v>
      </c>
      <c r="C481" s="470">
        <f>IF(Y13="","OFF",Y13)</f>
        <v>92.351419627440393</v>
      </c>
      <c r="D481" s="447"/>
    </row>
    <row r="482" spans="2:4">
      <c r="B482" s="447" t="s">
        <v>325</v>
      </c>
      <c r="C482" s="470">
        <f t="shared" ref="C482:C492" si="123">IF(Y14="","OFF",Y14)</f>
        <v>92.351419627440393</v>
      </c>
      <c r="D482" s="447"/>
    </row>
    <row r="483" spans="2:4">
      <c r="B483" s="447" t="s">
        <v>326</v>
      </c>
      <c r="C483" s="470">
        <f t="shared" si="123"/>
        <v>92.351419627440393</v>
      </c>
      <c r="D483" s="447"/>
    </row>
    <row r="484" spans="2:4">
      <c r="B484" s="447" t="s">
        <v>327</v>
      </c>
      <c r="C484" s="470">
        <f t="shared" si="123"/>
        <v>92.351419627440393</v>
      </c>
      <c r="D484" s="447"/>
    </row>
    <row r="485" spans="2:4">
      <c r="B485" s="447" t="s">
        <v>328</v>
      </c>
      <c r="C485" s="470">
        <f t="shared" si="123"/>
        <v>92.351419627440393</v>
      </c>
      <c r="D485" s="447"/>
    </row>
    <row r="486" spans="2:4">
      <c r="B486" s="447" t="s">
        <v>329</v>
      </c>
      <c r="C486" s="470">
        <f t="shared" si="123"/>
        <v>92.351419627440393</v>
      </c>
      <c r="D486" s="447"/>
    </row>
    <row r="487" spans="2:4">
      <c r="B487" s="447" t="s">
        <v>330</v>
      </c>
      <c r="C487" s="470">
        <f t="shared" si="123"/>
        <v>92.351419627440393</v>
      </c>
      <c r="D487" s="447"/>
    </row>
    <row r="488" spans="2:4">
      <c r="B488" s="447" t="s">
        <v>331</v>
      </c>
      <c r="C488" s="470">
        <f t="shared" si="123"/>
        <v>92.351419627440393</v>
      </c>
      <c r="D488" s="447"/>
    </row>
    <row r="489" spans="2:4">
      <c r="B489" s="447" t="s">
        <v>332</v>
      </c>
      <c r="C489" s="470">
        <f t="shared" si="123"/>
        <v>92.351419627440393</v>
      </c>
      <c r="D489" s="447"/>
    </row>
    <row r="490" spans="2:4">
      <c r="B490" s="447" t="s">
        <v>333</v>
      </c>
      <c r="C490" s="470">
        <f t="shared" si="123"/>
        <v>92.351419627440393</v>
      </c>
      <c r="D490" s="447"/>
    </row>
    <row r="491" spans="2:4">
      <c r="B491" s="447" t="s">
        <v>334</v>
      </c>
      <c r="C491" s="470">
        <f t="shared" si="123"/>
        <v>92.351419627440393</v>
      </c>
      <c r="D491" s="447"/>
    </row>
    <row r="492" spans="2:4">
      <c r="B492" s="447" t="s">
        <v>335</v>
      </c>
      <c r="C492" s="470">
        <f t="shared" si="123"/>
        <v>92.351419627440393</v>
      </c>
      <c r="D492" s="447"/>
    </row>
    <row r="493" spans="2:4">
      <c r="B493" s="447" t="s">
        <v>360</v>
      </c>
      <c r="C493" s="469">
        <f>IF(X35="","OFF",X35)</f>
        <v>-10.872617516646374</v>
      </c>
      <c r="D493" s="447"/>
    </row>
    <row r="494" spans="2:4">
      <c r="B494" s="447" t="s">
        <v>361</v>
      </c>
      <c r="C494" s="469">
        <f t="shared" ref="C494:C504" si="124">IF(X36="","OFF",X36)</f>
        <v>0</v>
      </c>
      <c r="D494" s="447"/>
    </row>
    <row r="495" spans="2:4">
      <c r="B495" s="447" t="s">
        <v>362</v>
      </c>
      <c r="C495" s="469">
        <f t="shared" si="124"/>
        <v>8</v>
      </c>
      <c r="D495" s="447"/>
    </row>
    <row r="496" spans="2:4">
      <c r="B496" s="447" t="s">
        <v>363</v>
      </c>
      <c r="C496" s="469">
        <f t="shared" si="124"/>
        <v>9.8789046492933696</v>
      </c>
      <c r="D496" s="447"/>
    </row>
    <row r="497" spans="2:4">
      <c r="B497" s="447" t="s">
        <v>364</v>
      </c>
      <c r="C497" s="469">
        <f t="shared" si="124"/>
        <v>12</v>
      </c>
      <c r="D497" s="447"/>
    </row>
    <row r="498" spans="2:4">
      <c r="B498" s="447" t="s">
        <v>365</v>
      </c>
      <c r="C498" s="469">
        <f t="shared" si="124"/>
        <v>90</v>
      </c>
      <c r="D498" s="447"/>
    </row>
    <row r="499" spans="2:4">
      <c r="B499" s="447" t="s">
        <v>366</v>
      </c>
      <c r="C499" s="469">
        <f t="shared" si="124"/>
        <v>110</v>
      </c>
      <c r="D499" s="447"/>
    </row>
    <row r="500" spans="2:4">
      <c r="B500" s="447" t="s">
        <v>367</v>
      </c>
      <c r="C500" s="469">
        <f t="shared" si="124"/>
        <v>169.12738248335361</v>
      </c>
      <c r="D500" s="447"/>
    </row>
    <row r="501" spans="2:4">
      <c r="B501" s="447" t="s">
        <v>368</v>
      </c>
      <c r="C501" s="469">
        <f t="shared" si="124"/>
        <v>180</v>
      </c>
      <c r="D501" s="447"/>
    </row>
    <row r="502" spans="2:4">
      <c r="B502" s="447" t="s">
        <v>369</v>
      </c>
      <c r="C502" s="469">
        <f t="shared" si="124"/>
        <v>189.87890464929336</v>
      </c>
      <c r="D502" s="447"/>
    </row>
    <row r="503" spans="2:4">
      <c r="B503" s="447" t="s">
        <v>370</v>
      </c>
      <c r="C503" s="469">
        <f t="shared" si="124"/>
        <v>270</v>
      </c>
      <c r="D503" s="447"/>
    </row>
    <row r="504" spans="2:4">
      <c r="B504" s="447" t="s">
        <v>371</v>
      </c>
      <c r="C504" s="469">
        <f t="shared" si="124"/>
        <v>290</v>
      </c>
      <c r="D504" s="447"/>
    </row>
    <row r="505" spans="2:4">
      <c r="B505" s="447" t="s">
        <v>372</v>
      </c>
      <c r="C505" s="470">
        <f>IF(Y35="","OFF",Y35)</f>
        <v>148.68565734659521</v>
      </c>
      <c r="D505" s="447"/>
    </row>
    <row r="506" spans="2:4">
      <c r="B506" s="447" t="s">
        <v>373</v>
      </c>
      <c r="C506" s="470">
        <f t="shared" ref="C506:C516" si="125">IF(Y36="","OFF",Y36)</f>
        <v>153.53149999999999</v>
      </c>
      <c r="D506" s="447"/>
    </row>
    <row r="507" spans="2:4">
      <c r="B507" s="447" t="s">
        <v>374</v>
      </c>
      <c r="C507" s="470">
        <f t="shared" si="125"/>
        <v>161.10728850878598</v>
      </c>
      <c r="D507" s="447"/>
    </row>
    <row r="508" spans="2:4">
      <c r="B508" s="447" t="s">
        <v>375</v>
      </c>
      <c r="C508" s="470">
        <f t="shared" si="125"/>
        <v>163.47024821550991</v>
      </c>
      <c r="D508" s="447"/>
    </row>
    <row r="509" spans="2:4">
      <c r="B509" s="447" t="s">
        <v>376</v>
      </c>
      <c r="C509" s="470">
        <f t="shared" si="125"/>
        <v>134.8938094326939</v>
      </c>
      <c r="D509" s="447"/>
    </row>
    <row r="510" spans="2:4">
      <c r="B510" s="447" t="s">
        <v>377</v>
      </c>
      <c r="C510" s="470">
        <f t="shared" si="125"/>
        <v>28.046000000000003</v>
      </c>
      <c r="D510" s="447"/>
    </row>
    <row r="511" spans="2:4">
      <c r="B511" s="447" t="s">
        <v>378</v>
      </c>
      <c r="C511" s="470">
        <f t="shared" si="125"/>
        <v>29.845929806859434</v>
      </c>
      <c r="D511" s="447"/>
    </row>
    <row r="512" spans="2:4">
      <c r="B512" s="447" t="s">
        <v>379</v>
      </c>
      <c r="C512" s="470">
        <f t="shared" si="125"/>
        <v>148.68565734659521</v>
      </c>
      <c r="D512" s="447"/>
    </row>
    <row r="513" spans="2:4">
      <c r="B513" s="447" t="s">
        <v>380</v>
      </c>
      <c r="C513" s="470">
        <f t="shared" si="125"/>
        <v>153.53149999999999</v>
      </c>
      <c r="D513" s="447"/>
    </row>
    <row r="514" spans="2:4">
      <c r="B514" s="447" t="s">
        <v>381</v>
      </c>
      <c r="C514" s="470">
        <f t="shared" si="125"/>
        <v>163.47024821550991</v>
      </c>
      <c r="D514" s="447"/>
    </row>
    <row r="515" spans="2:4">
      <c r="B515" s="447" t="s">
        <v>382</v>
      </c>
      <c r="C515" s="470">
        <f t="shared" si="125"/>
        <v>28.046000000000003</v>
      </c>
      <c r="D515" s="447"/>
    </row>
    <row r="516" spans="2:4">
      <c r="B516" s="447" t="s">
        <v>383</v>
      </c>
      <c r="C516" s="470">
        <f t="shared" si="125"/>
        <v>29.845929806859434</v>
      </c>
      <c r="D516" s="447"/>
    </row>
    <row r="517" spans="2:4">
      <c r="B517" s="172" t="s">
        <v>396</v>
      </c>
      <c r="C517" s="454">
        <f>P9</f>
        <v>50</v>
      </c>
      <c r="D517" s="455"/>
    </row>
    <row r="518" spans="2:4">
      <c r="B518" s="172" t="s">
        <v>397</v>
      </c>
      <c r="C518" s="454">
        <f>S9</f>
        <v>60.000000000000007</v>
      </c>
      <c r="D518" s="455"/>
    </row>
    <row r="519" spans="2:4">
      <c r="B519" s="471" t="s">
        <v>526</v>
      </c>
      <c r="C519" s="472">
        <f>IF(D13="","OFF",C13)</f>
        <v>-14</v>
      </c>
      <c r="D519" s="471"/>
    </row>
    <row r="520" spans="2:4">
      <c r="B520" s="471" t="s">
        <v>527</v>
      </c>
      <c r="C520" s="472" t="str">
        <f t="shared" ref="C520:C529" si="126">IF(D14="","OFF",C14)</f>
        <v>OFF</v>
      </c>
      <c r="D520" s="471"/>
    </row>
    <row r="521" spans="2:4">
      <c r="B521" s="471" t="s">
        <v>528</v>
      </c>
      <c r="C521" s="472">
        <f t="shared" si="126"/>
        <v>0</v>
      </c>
      <c r="D521" s="471"/>
    </row>
    <row r="522" spans="2:4">
      <c r="B522" s="471" t="s">
        <v>529</v>
      </c>
      <c r="C522" s="472">
        <f t="shared" si="126"/>
        <v>8.5</v>
      </c>
      <c r="D522" s="471"/>
    </row>
    <row r="523" spans="2:4">
      <c r="B523" s="471" t="s">
        <v>530</v>
      </c>
      <c r="C523" s="472">
        <f t="shared" si="126"/>
        <v>17</v>
      </c>
      <c r="D523" s="471"/>
    </row>
    <row r="524" spans="2:4">
      <c r="B524" s="471" t="s">
        <v>531</v>
      </c>
      <c r="C524" s="472">
        <f t="shared" si="126"/>
        <v>26.957983288055928</v>
      </c>
      <c r="D524" s="471"/>
    </row>
    <row r="525" spans="2:4">
      <c r="B525" s="471" t="s">
        <v>532</v>
      </c>
      <c r="C525" s="472">
        <f t="shared" si="126"/>
        <v>37</v>
      </c>
      <c r="D525" s="471"/>
    </row>
    <row r="526" spans="2:4">
      <c r="B526" s="471" t="s">
        <v>533</v>
      </c>
      <c r="C526" s="472">
        <f t="shared" si="126"/>
        <v>63.5</v>
      </c>
      <c r="D526" s="471"/>
    </row>
    <row r="527" spans="2:4">
      <c r="B527" s="471" t="s">
        <v>534</v>
      </c>
      <c r="C527" s="472">
        <f t="shared" si="126"/>
        <v>90</v>
      </c>
      <c r="D527" s="471"/>
    </row>
    <row r="528" spans="2:4">
      <c r="B528" s="471" t="s">
        <v>535</v>
      </c>
      <c r="C528" s="472" t="str">
        <f t="shared" si="126"/>
        <v>OFF</v>
      </c>
      <c r="D528" s="471"/>
    </row>
    <row r="529" spans="2:4">
      <c r="B529" s="471" t="s">
        <v>536</v>
      </c>
      <c r="C529" s="472">
        <f t="shared" si="126"/>
        <v>112</v>
      </c>
      <c r="D529" s="471"/>
    </row>
    <row r="530" spans="2:4">
      <c r="B530" s="471" t="s">
        <v>537</v>
      </c>
      <c r="C530" s="473">
        <f>IF(D13="","OFF",D13)</f>
        <v>26.354470454666775</v>
      </c>
      <c r="D530" s="471"/>
    </row>
    <row r="531" spans="2:4">
      <c r="B531" s="471" t="s">
        <v>538</v>
      </c>
      <c r="C531" s="473" t="str">
        <f t="shared" ref="C531:C540" si="127">IF(D14="","OFF",D14)</f>
        <v>OFF</v>
      </c>
      <c r="D531" s="471"/>
    </row>
    <row r="532" spans="2:4">
      <c r="B532" s="471" t="s">
        <v>539</v>
      </c>
      <c r="C532" s="473">
        <f t="shared" si="127"/>
        <v>27.28</v>
      </c>
      <c r="D532" s="471"/>
    </row>
    <row r="533" spans="2:4">
      <c r="B533" s="471" t="s">
        <v>540</v>
      </c>
      <c r="C533" s="473">
        <f t="shared" si="127"/>
        <v>28.733620923180411</v>
      </c>
      <c r="D533" s="471"/>
    </row>
    <row r="534" spans="2:4">
      <c r="B534" s="471" t="s">
        <v>541</v>
      </c>
      <c r="C534" s="473">
        <f t="shared" si="127"/>
        <v>31.071889272074181</v>
      </c>
      <c r="D534" s="471"/>
    </row>
    <row r="535" spans="2:4">
      <c r="B535" s="471" t="s">
        <v>542</v>
      </c>
      <c r="C535" s="473">
        <f t="shared" si="127"/>
        <v>35.43464903172935</v>
      </c>
      <c r="D535" s="471"/>
    </row>
    <row r="536" spans="2:4">
      <c r="B536" s="471" t="s">
        <v>543</v>
      </c>
      <c r="C536" s="473">
        <f t="shared" si="127"/>
        <v>26.752406272071983</v>
      </c>
      <c r="D536" s="471"/>
    </row>
    <row r="537" spans="2:4">
      <c r="B537" s="471" t="s">
        <v>544</v>
      </c>
      <c r="C537" s="473">
        <f t="shared" si="127"/>
        <v>17.990146194833034</v>
      </c>
      <c r="D537" s="471"/>
    </row>
    <row r="538" spans="2:4">
      <c r="B538" s="471" t="s">
        <v>545</v>
      </c>
      <c r="C538" s="473">
        <f t="shared" si="127"/>
        <v>16.100000000000001</v>
      </c>
      <c r="D538" s="471"/>
    </row>
    <row r="539" spans="2:4">
      <c r="B539" s="471" t="s">
        <v>546</v>
      </c>
      <c r="C539" s="473" t="str">
        <f t="shared" si="127"/>
        <v>OFF</v>
      </c>
      <c r="D539" s="471"/>
    </row>
    <row r="540" spans="2:4">
      <c r="B540" s="471" t="s">
        <v>547</v>
      </c>
      <c r="C540" s="473">
        <f t="shared" si="127"/>
        <v>17.364409357109096</v>
      </c>
      <c r="D540" s="471"/>
    </row>
    <row r="541" spans="2:4">
      <c r="B541" s="471"/>
      <c r="C541" s="473"/>
      <c r="D541" s="471"/>
    </row>
    <row r="542" spans="2:4">
      <c r="B542" s="471"/>
      <c r="C542" s="473"/>
      <c r="D542" s="471"/>
    </row>
    <row r="543" spans="2:4">
      <c r="B543" s="474" t="s">
        <v>548</v>
      </c>
      <c r="C543" s="475">
        <f>IF(OR(Settings!I$16="Inactive",M13=""),"OFF",L13)</f>
        <v>166</v>
      </c>
      <c r="D543" s="474"/>
    </row>
    <row r="544" spans="2:4">
      <c r="B544" s="474" t="s">
        <v>549</v>
      </c>
      <c r="C544" s="475" t="str">
        <f>IF(OR(Settings!I$16="Inactive",M14=""),"OFF",L14)</f>
        <v>OFF</v>
      </c>
      <c r="D544" s="474"/>
    </row>
    <row r="545" spans="2:4">
      <c r="B545" s="474" t="s">
        <v>550</v>
      </c>
      <c r="C545" s="475">
        <f>IF(OR(Settings!I$16="Inactive",M15=""),"OFF",L15)</f>
        <v>180</v>
      </c>
      <c r="D545" s="474"/>
    </row>
    <row r="546" spans="2:4">
      <c r="B546" s="474" t="s">
        <v>551</v>
      </c>
      <c r="C546" s="475">
        <f>IF(OR(Settings!I$16="Inactive",M16=""),"OFF",L16)</f>
        <v>189</v>
      </c>
      <c r="D546" s="474"/>
    </row>
    <row r="547" spans="2:4">
      <c r="B547" s="474" t="s">
        <v>552</v>
      </c>
      <c r="C547" s="475">
        <f>IF(OR(Settings!I$16="Inactive",M17=""),"OFF",L17)</f>
        <v>198</v>
      </c>
      <c r="D547" s="474"/>
    </row>
    <row r="548" spans="2:4">
      <c r="B548" s="474" t="s">
        <v>553</v>
      </c>
      <c r="C548" s="475">
        <f>IF(OR(Settings!I$16="Inactive",M18=""),"OFF",L18)</f>
        <v>200.26242541414129</v>
      </c>
      <c r="D548" s="474"/>
    </row>
    <row r="549" spans="2:4">
      <c r="B549" s="474" t="s">
        <v>554</v>
      </c>
      <c r="C549" s="475">
        <f>IF(OR(Settings!I$16="Inactive",M19=""),"OFF",L19)</f>
        <v>202</v>
      </c>
      <c r="D549" s="474"/>
    </row>
    <row r="550" spans="2:4">
      <c r="B550" s="474" t="s">
        <v>555</v>
      </c>
      <c r="C550" s="475">
        <f>IF(OR(Settings!I$16="Inactive",M20=""),"OFF",L20)</f>
        <v>236</v>
      </c>
      <c r="D550" s="474"/>
    </row>
    <row r="551" spans="2:4">
      <c r="B551" s="474" t="s">
        <v>556</v>
      </c>
      <c r="C551" s="475">
        <f>IF(OR(Settings!I$16="Inactive",M21=""),"OFF",L21)</f>
        <v>270</v>
      </c>
      <c r="D551" s="474"/>
    </row>
    <row r="552" spans="2:4">
      <c r="B552" s="474" t="s">
        <v>557</v>
      </c>
      <c r="C552" s="475" t="str">
        <f>IF(OR(Settings!I$16="Inactive",M22=""),"OFF",L22)</f>
        <v>OFF</v>
      </c>
      <c r="D552" s="474"/>
    </row>
    <row r="553" spans="2:4">
      <c r="B553" s="474" t="s">
        <v>558</v>
      </c>
      <c r="C553" s="475">
        <f>IF(OR(Settings!I$16="Inactive",M23=""),"OFF",L23)</f>
        <v>292</v>
      </c>
      <c r="D553" s="474"/>
    </row>
    <row r="554" spans="2:4">
      <c r="B554" s="474" t="s">
        <v>559</v>
      </c>
      <c r="C554" s="476">
        <f>IF(M13="","OFF",M13)</f>
        <v>4.3859712560185908</v>
      </c>
      <c r="D554" s="474"/>
    </row>
    <row r="555" spans="2:4">
      <c r="B555" s="474" t="s">
        <v>560</v>
      </c>
      <c r="C555" s="476" t="str">
        <f t="shared" ref="C555:C564" si="128">IF(M14="","OFF",M14)</f>
        <v>OFF</v>
      </c>
      <c r="D555" s="474"/>
    </row>
    <row r="556" spans="2:4">
      <c r="B556" s="474" t="s">
        <v>561</v>
      </c>
      <c r="C556" s="476">
        <f t="shared" si="128"/>
        <v>4.54</v>
      </c>
      <c r="D556" s="474"/>
    </row>
    <row r="557" spans="2:4">
      <c r="B557" s="474" t="s">
        <v>562</v>
      </c>
      <c r="C557" s="476">
        <f t="shared" si="128"/>
        <v>4.8003120311808258</v>
      </c>
      <c r="D557" s="474"/>
    </row>
    <row r="558" spans="2:4">
      <c r="B558" s="474" t="s">
        <v>563</v>
      </c>
      <c r="C558" s="476">
        <f t="shared" si="128"/>
        <v>5.2288746248666991</v>
      </c>
      <c r="D558" s="474"/>
    </row>
    <row r="559" spans="2:4">
      <c r="B559" s="474" t="s">
        <v>564</v>
      </c>
      <c r="C559" s="476">
        <f t="shared" si="128"/>
        <v>5.3707474736455074</v>
      </c>
      <c r="D559" s="474"/>
    </row>
    <row r="560" spans="2:4">
      <c r="B560" s="474" t="s">
        <v>565</v>
      </c>
      <c r="C560" s="476">
        <f t="shared" si="128"/>
        <v>4.9652089223504667</v>
      </c>
      <c r="D560" s="474"/>
    </row>
    <row r="561" spans="2:4">
      <c r="B561" s="474" t="s">
        <v>566</v>
      </c>
      <c r="C561" s="476">
        <f t="shared" si="128"/>
        <v>2.2435653842172636</v>
      </c>
      <c r="D561" s="474"/>
    </row>
    <row r="562" spans="2:4">
      <c r="B562" s="474" t="s">
        <v>567</v>
      </c>
      <c r="C562" s="476">
        <f t="shared" si="128"/>
        <v>1.86</v>
      </c>
      <c r="D562" s="474"/>
    </row>
    <row r="563" spans="2:4">
      <c r="B563" s="474" t="s">
        <v>568</v>
      </c>
      <c r="C563" s="476" t="str">
        <f t="shared" si="128"/>
        <v>OFF</v>
      </c>
      <c r="D563" s="474"/>
    </row>
    <row r="564" spans="2:4">
      <c r="B564" s="474" t="s">
        <v>569</v>
      </c>
      <c r="C564" s="476">
        <f t="shared" si="128"/>
        <v>2.0060746213803053</v>
      </c>
      <c r="D564" s="474"/>
    </row>
    <row r="565" spans="2:4">
      <c r="B565" s="474"/>
      <c r="C565" s="476"/>
      <c r="D565" s="474"/>
    </row>
    <row r="566" spans="2:4">
      <c r="B566" s="474"/>
      <c r="C566" s="476"/>
      <c r="D566" s="474"/>
    </row>
    <row r="567" spans="2:4">
      <c r="B567" s="471" t="s">
        <v>570</v>
      </c>
      <c r="C567" s="472">
        <f>IF(OR(Settings!C$16="Inactive",D35=""),"OFF",C35)</f>
        <v>-14</v>
      </c>
      <c r="D567" s="471"/>
    </row>
    <row r="568" spans="2:4">
      <c r="B568" s="471" t="s">
        <v>571</v>
      </c>
      <c r="C568" s="472">
        <f>IF(OR(Settings!C$16="Inactive",D36=""),"OFF",C36)</f>
        <v>-11.566640661988208</v>
      </c>
      <c r="D568" s="471"/>
    </row>
    <row r="569" spans="2:4">
      <c r="B569" s="471" t="s">
        <v>572</v>
      </c>
      <c r="C569" s="472">
        <f>IF(OR(Settings!C$16="Inactive",D37=""),"OFF",C37)</f>
        <v>0</v>
      </c>
      <c r="D569" s="471"/>
    </row>
    <row r="570" spans="2:4">
      <c r="B570" s="471" t="s">
        <v>573</v>
      </c>
      <c r="C570" s="472">
        <f>IF(OR(Settings!C$16="Inactive",D38=""),"OFF",C38)</f>
        <v>4</v>
      </c>
      <c r="D570" s="471"/>
    </row>
    <row r="571" spans="2:4">
      <c r="B571" s="471" t="s">
        <v>574</v>
      </c>
      <c r="C571" s="472">
        <f>IF(OR(Settings!C$16="Inactive",D39=""),"OFF",C39)</f>
        <v>8</v>
      </c>
      <c r="D571" s="471"/>
    </row>
    <row r="572" spans="2:4">
      <c r="B572" s="471" t="s">
        <v>575</v>
      </c>
      <c r="C572" s="472">
        <f>IF(OR(Settings!C$16="Inactive",D40=""),"OFF",C40)</f>
        <v>10.428098376784057</v>
      </c>
      <c r="D572" s="471"/>
    </row>
    <row r="573" spans="2:4">
      <c r="B573" s="471" t="s">
        <v>576</v>
      </c>
      <c r="C573" s="472">
        <f>IF(OR(Settings!C$16="Inactive",D41=""),"OFF",C41)</f>
        <v>12</v>
      </c>
      <c r="D573" s="471"/>
    </row>
    <row r="574" spans="2:4">
      <c r="B574" s="471" t="s">
        <v>577</v>
      </c>
      <c r="C574" s="472">
        <f>IF(OR(Settings!C$16="Inactive",D42=""),"OFF",C42)</f>
        <v>51</v>
      </c>
      <c r="D574" s="471"/>
    </row>
    <row r="575" spans="2:4">
      <c r="B575" s="471" t="s">
        <v>578</v>
      </c>
      <c r="C575" s="472">
        <f>IF(OR(Settings!C$16="Inactive",D43=""),"OFF",C43)</f>
        <v>90</v>
      </c>
      <c r="D575" s="471"/>
    </row>
    <row r="576" spans="2:4">
      <c r="B576" s="471" t="s">
        <v>579</v>
      </c>
      <c r="C576" s="472" t="str">
        <f>IF(OR(Settings!C$16="Inactive",D44=""),"OFF",C44)</f>
        <v>OFF</v>
      </c>
      <c r="D576" s="471"/>
    </row>
    <row r="577" spans="2:4">
      <c r="B577" s="471" t="s">
        <v>580</v>
      </c>
      <c r="C577" s="472">
        <f>IF(OR(Settings!C$16="Inactive",D45=""),"OFF",C45)</f>
        <v>110</v>
      </c>
      <c r="D577" s="471"/>
    </row>
    <row r="578" spans="2:4">
      <c r="B578" s="471" t="s">
        <v>581</v>
      </c>
      <c r="C578" s="473">
        <f>IF(D35="","OFF",D35)</f>
        <v>61.559124125929081</v>
      </c>
      <c r="D578" s="471"/>
    </row>
    <row r="579" spans="2:4">
      <c r="B579" s="471" t="s">
        <v>582</v>
      </c>
      <c r="C579" s="473">
        <f t="shared" ref="C579:C588" si="129">IF(D36="","OFF",D36)</f>
        <v>74.274011602438492</v>
      </c>
      <c r="D579" s="471"/>
    </row>
    <row r="580" spans="2:4">
      <c r="B580" s="471" t="s">
        <v>583</v>
      </c>
      <c r="C580" s="473">
        <f t="shared" si="129"/>
        <v>76.756100000000018</v>
      </c>
      <c r="D580" s="471"/>
    </row>
    <row r="581" spans="2:4">
      <c r="B581" s="471" t="s">
        <v>584</v>
      </c>
      <c r="C581" s="473">
        <f t="shared" si="129"/>
        <v>78.412736913425846</v>
      </c>
      <c r="D581" s="471"/>
    </row>
    <row r="582" spans="2:4">
      <c r="B582" s="471" t="s">
        <v>585</v>
      </c>
      <c r="C582" s="473">
        <f t="shared" si="129"/>
        <v>80.543518089181902</v>
      </c>
      <c r="D582" s="471"/>
    </row>
    <row r="583" spans="2:4">
      <c r="B583" s="471" t="s">
        <v>586</v>
      </c>
      <c r="C583" s="473">
        <f t="shared" si="129"/>
        <v>82.093523298461022</v>
      </c>
      <c r="D583" s="471"/>
    </row>
    <row r="584" spans="2:4">
      <c r="B584" s="471" t="s">
        <v>587</v>
      </c>
      <c r="C584" s="473">
        <f t="shared" si="129"/>
        <v>71.62896872910197</v>
      </c>
      <c r="D584" s="471"/>
    </row>
    <row r="585" spans="2:4">
      <c r="B585" s="471" t="s">
        <v>588</v>
      </c>
      <c r="C585" s="473">
        <f t="shared" si="129"/>
        <v>19.163066835063997</v>
      </c>
      <c r="D585" s="471"/>
    </row>
    <row r="586" spans="2:4">
      <c r="B586" s="471" t="s">
        <v>589</v>
      </c>
      <c r="C586" s="473">
        <f t="shared" si="129"/>
        <v>14.892500000000002</v>
      </c>
      <c r="D586" s="471"/>
    </row>
    <row r="587" spans="2:4">
      <c r="B587" s="471" t="s">
        <v>590</v>
      </c>
      <c r="C587" s="473" t="str">
        <f t="shared" si="129"/>
        <v>OFF</v>
      </c>
      <c r="D587" s="471"/>
    </row>
    <row r="588" spans="2:4">
      <c r="B588" s="471" t="s">
        <v>591</v>
      </c>
      <c r="C588" s="473">
        <f t="shared" si="129"/>
        <v>15.848267476597522</v>
      </c>
      <c r="D588" s="471"/>
    </row>
    <row r="589" spans="2:4">
      <c r="B589" s="471"/>
      <c r="C589" s="473"/>
      <c r="D589" s="471"/>
    </row>
    <row r="590" spans="2:4">
      <c r="B590" s="471"/>
      <c r="C590" s="473"/>
      <c r="D590" s="471"/>
    </row>
    <row r="591" spans="2:4">
      <c r="B591" s="474" t="s">
        <v>592</v>
      </c>
      <c r="C591" s="475">
        <f>IF(OR(Settings!I$16="Inactive",M35=""),"OFF",L35)</f>
        <v>166</v>
      </c>
      <c r="D591" s="474"/>
    </row>
    <row r="592" spans="2:4">
      <c r="B592" s="474" t="s">
        <v>593</v>
      </c>
      <c r="C592" s="475">
        <f>IF(OR(Settings!I$16="Inactive",M36=""),"OFF",L36)</f>
        <v>168.31711156215658</v>
      </c>
      <c r="D592" s="474"/>
    </row>
    <row r="593" spans="2:4">
      <c r="B593" s="474" t="s">
        <v>594</v>
      </c>
      <c r="C593" s="475">
        <f>IF(OR(Settings!I$16="Inactive",M37=""),"OFF",L37)</f>
        <v>180</v>
      </c>
      <c r="D593" s="474"/>
    </row>
    <row r="594" spans="2:4">
      <c r="B594" s="474" t="s">
        <v>595</v>
      </c>
      <c r="C594" s="475">
        <f>IF(OR(Settings!I$16="Inactive",M38=""),"OFF",L38)</f>
        <v>184.5</v>
      </c>
      <c r="D594" s="474"/>
    </row>
    <row r="595" spans="2:4">
      <c r="B595" s="474" t="s">
        <v>596</v>
      </c>
      <c r="C595" s="475">
        <f>IF(OR(Settings!I$16="Inactive",M39=""),"OFF",L39)</f>
        <v>189</v>
      </c>
      <c r="D595" s="474"/>
    </row>
    <row r="596" spans="2:4">
      <c r="B596" s="474" t="s">
        <v>597</v>
      </c>
      <c r="C596" s="475">
        <f>IF(OR(Settings!I$16="Inactive",M40=""),"OFF",L40)</f>
        <v>190.54495902943046</v>
      </c>
      <c r="D596" s="474"/>
    </row>
    <row r="597" spans="2:4">
      <c r="B597" s="474" t="s">
        <v>598</v>
      </c>
      <c r="C597" s="475">
        <f>IF(OR(Settings!I$16="Inactive",M41=""),"OFF",L41)</f>
        <v>193</v>
      </c>
      <c r="D597" s="474"/>
    </row>
    <row r="598" spans="2:4">
      <c r="B598" s="474" t="s">
        <v>599</v>
      </c>
      <c r="C598" s="475">
        <f>IF(OR(Settings!I$16="Inactive",M42=""),"OFF",L42)</f>
        <v>231.5</v>
      </c>
      <c r="D598" s="474"/>
    </row>
    <row r="599" spans="2:4">
      <c r="B599" s="474" t="s">
        <v>600</v>
      </c>
      <c r="C599" s="475">
        <f>IF(OR(Settings!I$16="Inactive",M43=""),"OFF",L43)</f>
        <v>270</v>
      </c>
      <c r="D599" s="474"/>
    </row>
    <row r="600" spans="2:4">
      <c r="B600" s="474" t="s">
        <v>601</v>
      </c>
      <c r="C600" s="475" t="str">
        <f>IF(OR(Settings!I$16="Inactive",M44=""),"OFF",L44)</f>
        <v>OFF</v>
      </c>
      <c r="D600" s="474"/>
    </row>
    <row r="601" spans="2:4">
      <c r="B601" s="474" t="s">
        <v>602</v>
      </c>
      <c r="C601" s="475">
        <f>IF(OR(Settings!I$16="Inactive",M45=""),"OFF",L45)</f>
        <v>290</v>
      </c>
      <c r="D601" s="474"/>
    </row>
    <row r="602" spans="2:4">
      <c r="B602" s="474" t="s">
        <v>603</v>
      </c>
      <c r="C602" s="476">
        <f>IF(M35="","OFF",M35)</f>
        <v>7.1117994331818686</v>
      </c>
      <c r="D602" s="474"/>
    </row>
    <row r="603" spans="2:4">
      <c r="B603" s="474" t="s">
        <v>604</v>
      </c>
      <c r="C603" s="476">
        <f t="shared" ref="C603:C612" si="130">IF(M36="","OFF",M36)</f>
        <v>8.4965128676089208</v>
      </c>
      <c r="D603" s="474"/>
    </row>
    <row r="604" spans="2:4">
      <c r="B604" s="474" t="s">
        <v>605</v>
      </c>
      <c r="C604" s="476">
        <f t="shared" si="130"/>
        <v>8.7815000000000012</v>
      </c>
      <c r="D604" s="474"/>
    </row>
    <row r="605" spans="2:4">
      <c r="B605" s="474" t="s">
        <v>606</v>
      </c>
      <c r="C605" s="476">
        <f t="shared" si="130"/>
        <v>8.9984132076868182</v>
      </c>
      <c r="D605" s="474"/>
    </row>
    <row r="606" spans="2:4">
      <c r="B606" s="474" t="s">
        <v>607</v>
      </c>
      <c r="C606" s="476">
        <f t="shared" si="130"/>
        <v>9.2850088329987717</v>
      </c>
      <c r="D606" s="474"/>
    </row>
    <row r="607" spans="2:4">
      <c r="B607" s="474" t="s">
        <v>608</v>
      </c>
      <c r="C607" s="476">
        <f t="shared" si="130"/>
        <v>9.4012790743838721</v>
      </c>
      <c r="D607" s="474"/>
    </row>
    <row r="608" spans="2:4">
      <c r="B608" s="474" t="s">
        <v>609</v>
      </c>
      <c r="C608" s="476">
        <f t="shared" si="130"/>
        <v>7.6483304557888721</v>
      </c>
      <c r="D608" s="474"/>
    </row>
    <row r="609" spans="2:4">
      <c r="B609" s="474" t="s">
        <v>610</v>
      </c>
      <c r="C609" s="476">
        <f t="shared" si="130"/>
        <v>2.1984181802036296</v>
      </c>
      <c r="D609" s="474"/>
    </row>
    <row r="610" spans="2:4">
      <c r="B610" s="474" t="s">
        <v>611</v>
      </c>
      <c r="C610" s="476">
        <f t="shared" si="130"/>
        <v>1.7205000000000001</v>
      </c>
      <c r="D610" s="474"/>
    </row>
    <row r="611" spans="2:4">
      <c r="B611" s="474" t="s">
        <v>612</v>
      </c>
      <c r="C611" s="476" t="str">
        <f t="shared" si="130"/>
        <v>OFF</v>
      </c>
      <c r="D611" s="474"/>
    </row>
    <row r="612" spans="2:4">
      <c r="B612" s="474" t="s">
        <v>613</v>
      </c>
      <c r="C612" s="476">
        <f t="shared" si="130"/>
        <v>1.8309178575448071</v>
      </c>
      <c r="D612" s="474"/>
    </row>
    <row r="613" spans="2:4">
      <c r="B613" s="474"/>
      <c r="C613" s="476"/>
      <c r="D613" s="474"/>
    </row>
    <row r="614" spans="2:4">
      <c r="B614" s="474"/>
      <c r="C614" s="476"/>
      <c r="D614" s="474"/>
    </row>
    <row r="615" spans="2:4">
      <c r="B615" s="516" t="s">
        <v>743</v>
      </c>
      <c r="C615" s="671">
        <f>IF(RBB_Coupler=TRUE,T_1,T_1B)*1000+30</f>
        <v>30</v>
      </c>
      <c r="D615" s="516" t="s">
        <v>744</v>
      </c>
    </row>
    <row r="616" spans="2:4">
      <c r="B616" s="516" t="s">
        <v>657</v>
      </c>
      <c r="C616" s="525">
        <f>F13</f>
        <v>-14</v>
      </c>
      <c r="D616" s="516"/>
    </row>
    <row r="617" spans="2:4">
      <c r="B617" s="516" t="s">
        <v>658</v>
      </c>
      <c r="C617" s="525" t="str">
        <f>IF(G14="","OFF",F14)</f>
        <v>OFF</v>
      </c>
      <c r="D617" s="516"/>
    </row>
    <row r="618" spans="2:4">
      <c r="B618" s="516" t="s">
        <v>659</v>
      </c>
      <c r="C618" s="525">
        <f t="shared" ref="C618:C624" si="131">F15</f>
        <v>0</v>
      </c>
      <c r="D618" s="449"/>
    </row>
    <row r="619" spans="2:4">
      <c r="B619" s="516" t="s">
        <v>660</v>
      </c>
      <c r="C619" s="525">
        <f t="shared" si="131"/>
        <v>10</v>
      </c>
      <c r="D619" s="449"/>
    </row>
    <row r="620" spans="2:4">
      <c r="B620" s="516" t="s">
        <v>661</v>
      </c>
      <c r="C620" s="525">
        <f t="shared" si="131"/>
        <v>20</v>
      </c>
      <c r="D620" s="449"/>
    </row>
    <row r="621" spans="2:4">
      <c r="B621" s="516" t="s">
        <v>662</v>
      </c>
      <c r="C621" s="525">
        <f t="shared" si="131"/>
        <v>29.502840761917749</v>
      </c>
      <c r="D621" s="449"/>
    </row>
    <row r="622" spans="2:4">
      <c r="B622" s="516" t="s">
        <v>663</v>
      </c>
      <c r="C622" s="525">
        <f t="shared" si="131"/>
        <v>40</v>
      </c>
      <c r="D622" s="449"/>
    </row>
    <row r="623" spans="2:4">
      <c r="B623" s="516" t="s">
        <v>664</v>
      </c>
      <c r="C623" s="525">
        <f t="shared" si="131"/>
        <v>65</v>
      </c>
      <c r="D623" s="449"/>
    </row>
    <row r="624" spans="2:4">
      <c r="B624" s="516" t="s">
        <v>665</v>
      </c>
      <c r="C624" s="525">
        <f t="shared" si="131"/>
        <v>90</v>
      </c>
      <c r="D624" s="449"/>
    </row>
    <row r="625" spans="2:4">
      <c r="B625" s="516" t="s">
        <v>666</v>
      </c>
      <c r="C625" s="525" t="str">
        <f>IF(G22="","OFF",F22)</f>
        <v>OFF</v>
      </c>
      <c r="D625" s="449"/>
    </row>
    <row r="626" spans="2:4">
      <c r="B626" s="516" t="s">
        <v>667</v>
      </c>
      <c r="C626" s="525">
        <f>F23</f>
        <v>112</v>
      </c>
      <c r="D626" s="449"/>
    </row>
    <row r="627" spans="2:4">
      <c r="B627" s="516" t="s">
        <v>668</v>
      </c>
      <c r="C627" s="524">
        <f>G13</f>
        <v>43.917676938018751</v>
      </c>
      <c r="D627" s="449"/>
    </row>
    <row r="628" spans="2:4">
      <c r="B628" s="516" t="s">
        <v>669</v>
      </c>
      <c r="C628" s="524" t="str">
        <f>IF(G14="","OFF",G14)</f>
        <v>OFF</v>
      </c>
      <c r="D628" s="449"/>
    </row>
    <row r="629" spans="2:4">
      <c r="B629" s="516" t="s">
        <v>670</v>
      </c>
      <c r="C629" s="524">
        <f t="shared" ref="C629:C635" si="132">G15</f>
        <v>45.46</v>
      </c>
      <c r="D629" s="449"/>
    </row>
    <row r="630" spans="2:4">
      <c r="B630" s="516" t="s">
        <v>671</v>
      </c>
      <c r="C630" s="524">
        <f t="shared" si="132"/>
        <v>48.450414628651245</v>
      </c>
      <c r="D630" s="449"/>
    </row>
    <row r="631" spans="2:4">
      <c r="B631" s="516" t="s">
        <v>672</v>
      </c>
      <c r="C631" s="524">
        <f t="shared" si="132"/>
        <v>53.605418394841379</v>
      </c>
      <c r="D631" s="449"/>
    </row>
    <row r="632" spans="2:4">
      <c r="B632" s="516" t="s">
        <v>673</v>
      </c>
      <c r="C632" s="524">
        <f t="shared" si="132"/>
        <v>61.567613084960264</v>
      </c>
      <c r="D632" s="449"/>
    </row>
    <row r="633" spans="2:4">
      <c r="B633" s="516" t="s">
        <v>674</v>
      </c>
      <c r="C633" s="524">
        <f t="shared" si="132"/>
        <v>47.169546430407706</v>
      </c>
      <c r="D633" s="449"/>
    </row>
    <row r="634" spans="2:4">
      <c r="B634" s="516" t="s">
        <v>675</v>
      </c>
      <c r="C634" s="524">
        <f t="shared" si="132"/>
        <v>33.454418502942751</v>
      </c>
      <c r="D634" s="449"/>
    </row>
    <row r="635" spans="2:4">
      <c r="B635" s="516" t="s">
        <v>676</v>
      </c>
      <c r="C635" s="524">
        <f t="shared" si="132"/>
        <v>30.32</v>
      </c>
      <c r="D635" s="449"/>
    </row>
    <row r="636" spans="2:4">
      <c r="B636" s="516" t="s">
        <v>677</v>
      </c>
      <c r="C636" s="524" t="str">
        <f>IF(G22="","OFF",G22)</f>
        <v>OFF</v>
      </c>
      <c r="D636" s="449"/>
    </row>
    <row r="637" spans="2:4">
      <c r="B637" s="516" t="s">
        <v>678</v>
      </c>
      <c r="C637" s="524">
        <f>G23</f>
        <v>32.701173397984327</v>
      </c>
      <c r="D637" s="449"/>
    </row>
    <row r="638" spans="2:4">
      <c r="B638" s="516" t="s">
        <v>679</v>
      </c>
      <c r="C638" s="525">
        <f>F35</f>
        <v>-14</v>
      </c>
      <c r="D638" s="449"/>
    </row>
    <row r="639" spans="2:4">
      <c r="B639" s="516" t="s">
        <v>680</v>
      </c>
      <c r="C639" s="525">
        <f>IF(G36="","OFF",F36)</f>
        <v>-10.872617516646374</v>
      </c>
      <c r="D639" s="449"/>
    </row>
    <row r="640" spans="2:4">
      <c r="B640" s="516" t="s">
        <v>681</v>
      </c>
      <c r="C640" s="525">
        <f t="shared" ref="C640:C646" si="133">F37</f>
        <v>0</v>
      </c>
      <c r="D640" s="449"/>
    </row>
    <row r="641" spans="2:4">
      <c r="B641" s="516" t="s">
        <v>682</v>
      </c>
      <c r="C641" s="525">
        <f t="shared" si="133"/>
        <v>4</v>
      </c>
      <c r="D641" s="449"/>
    </row>
    <row r="642" spans="2:4">
      <c r="B642" s="516" t="s">
        <v>683</v>
      </c>
      <c r="C642" s="525">
        <f t="shared" si="133"/>
        <v>8</v>
      </c>
      <c r="D642" s="449"/>
    </row>
    <row r="643" spans="2:4">
      <c r="B643" s="516" t="s">
        <v>684</v>
      </c>
      <c r="C643" s="525">
        <f t="shared" si="133"/>
        <v>9.8789046492933696</v>
      </c>
      <c r="D643" s="449"/>
    </row>
    <row r="644" spans="2:4">
      <c r="B644" s="516" t="s">
        <v>685</v>
      </c>
      <c r="C644" s="525">
        <f t="shared" si="133"/>
        <v>12</v>
      </c>
      <c r="D644" s="449"/>
    </row>
    <row r="645" spans="2:4">
      <c r="B645" s="516" t="s">
        <v>686</v>
      </c>
      <c r="C645" s="525">
        <f t="shared" si="133"/>
        <v>51</v>
      </c>
      <c r="D645" s="449"/>
    </row>
    <row r="646" spans="2:4">
      <c r="B646" s="516" t="s">
        <v>687</v>
      </c>
      <c r="C646" s="525">
        <f t="shared" si="133"/>
        <v>90</v>
      </c>
      <c r="D646" s="449"/>
    </row>
    <row r="647" spans="2:4">
      <c r="B647" s="516" t="s">
        <v>688</v>
      </c>
      <c r="C647" s="525" t="str">
        <f>IF(G44="","OFF",F44)</f>
        <v>OFF</v>
      </c>
      <c r="D647" s="449"/>
    </row>
    <row r="648" spans="2:4">
      <c r="B648" s="516" t="s">
        <v>689</v>
      </c>
      <c r="C648" s="525">
        <f>F45</f>
        <v>110</v>
      </c>
      <c r="D648" s="449"/>
    </row>
    <row r="649" spans="2:4">
      <c r="B649" s="516" t="s">
        <v>690</v>
      </c>
      <c r="C649" s="524">
        <f>G35</f>
        <v>115.92997785702917</v>
      </c>
      <c r="D649" s="449"/>
    </row>
    <row r="650" spans="2:4">
      <c r="B650" s="516" t="s">
        <v>691</v>
      </c>
      <c r="C650" s="524">
        <f>IF(G36="","OFF",G36)</f>
        <v>148.68565734659524</v>
      </c>
      <c r="D650" s="449"/>
    </row>
    <row r="651" spans="2:4">
      <c r="B651" s="516" t="s">
        <v>692</v>
      </c>
      <c r="C651" s="524">
        <f t="shared" ref="C651:C657" si="134">G37</f>
        <v>153.53149999999999</v>
      </c>
      <c r="D651" s="449"/>
    </row>
    <row r="652" spans="2:4">
      <c r="B652" s="516" t="s">
        <v>693</v>
      </c>
      <c r="C652" s="524">
        <f t="shared" si="134"/>
        <v>156.84519038126788</v>
      </c>
      <c r="D652" s="449"/>
    </row>
    <row r="653" spans="2:4">
      <c r="B653" s="516" t="s">
        <v>694</v>
      </c>
      <c r="C653" s="524">
        <f t="shared" si="134"/>
        <v>161.10728850878598</v>
      </c>
      <c r="D653" s="449"/>
    </row>
    <row r="654" spans="2:4">
      <c r="B654" s="516" t="s">
        <v>695</v>
      </c>
      <c r="C654" s="524">
        <f t="shared" si="134"/>
        <v>163.47024821550991</v>
      </c>
      <c r="D654" s="449"/>
    </row>
    <row r="655" spans="2:4">
      <c r="B655" s="516" t="s">
        <v>696</v>
      </c>
      <c r="C655" s="524">
        <f t="shared" si="134"/>
        <v>134.8938094326939</v>
      </c>
      <c r="D655" s="449"/>
    </row>
    <row r="656" spans="2:4">
      <c r="B656" s="516" t="s">
        <v>697</v>
      </c>
      <c r="C656" s="524">
        <f t="shared" si="134"/>
        <v>36.088458785039776</v>
      </c>
      <c r="D656" s="449"/>
    </row>
    <row r="657" spans="2:9">
      <c r="B657" s="516" t="s">
        <v>698</v>
      </c>
      <c r="C657" s="524">
        <f t="shared" si="134"/>
        <v>28.046000000000003</v>
      </c>
      <c r="D657" s="449"/>
    </row>
    <row r="658" spans="2:9">
      <c r="B658" s="516" t="s">
        <v>699</v>
      </c>
      <c r="C658" s="524" t="str">
        <f>IF(G44="","OFF",G44)</f>
        <v>OFF</v>
      </c>
      <c r="D658" s="449"/>
    </row>
    <row r="659" spans="2:9">
      <c r="B659" s="516" t="s">
        <v>700</v>
      </c>
      <c r="C659" s="524">
        <f>G45</f>
        <v>29.845929806859434</v>
      </c>
      <c r="D659" s="449"/>
    </row>
    <row r="660" spans="2:9">
      <c r="B660" s="656" t="s">
        <v>737</v>
      </c>
      <c r="C660" s="655">
        <f>I65</f>
        <v>60</v>
      </c>
      <c r="D660" s="656"/>
    </row>
    <row r="661" spans="2:9">
      <c r="B661" s="656" t="s">
        <v>738</v>
      </c>
      <c r="C661" s="657">
        <f>J64-J65</f>
        <v>120</v>
      </c>
      <c r="D661" s="656"/>
    </row>
    <row r="662" spans="2:9">
      <c r="B662" s="654" t="s">
        <v>739</v>
      </c>
      <c r="C662" s="658">
        <f>L65</f>
        <v>60</v>
      </c>
      <c r="D662" s="654"/>
    </row>
    <row r="663" spans="2:9">
      <c r="B663" s="654" t="s">
        <v>742</v>
      </c>
      <c r="C663" s="659">
        <f>M64-M65</f>
        <v>120</v>
      </c>
      <c r="D663" s="654"/>
      <c r="I663" s="58"/>
    </row>
    <row r="664" spans="2:9">
      <c r="B664" s="656" t="s">
        <v>828</v>
      </c>
      <c r="C664" s="657">
        <f>AK78</f>
        <v>30.880308800000005</v>
      </c>
      <c r="D664" s="656"/>
    </row>
    <row r="665" spans="2:9">
      <c r="B665" s="177" t="s">
        <v>829</v>
      </c>
      <c r="C665" s="471">
        <f>IF(TestVZ1E&lt;0.002,"OFF",ROUND($C$664/D$37*(1+Delta_I),2))</f>
        <v>0.41</v>
      </c>
      <c r="D665" s="471" t="s">
        <v>833</v>
      </c>
    </row>
    <row r="666" spans="2:9">
      <c r="B666" s="177" t="s">
        <v>830</v>
      </c>
      <c r="C666" s="471">
        <f>IF(TestVZ2E&lt;0.002,"OFF",ROUND($C$664/J$37*(1+Delta_I),2))</f>
        <v>0.26</v>
      </c>
      <c r="D666" s="471" t="s">
        <v>834</v>
      </c>
    </row>
    <row r="667" spans="2:9">
      <c r="B667" s="177" t="s">
        <v>831</v>
      </c>
      <c r="C667" s="471">
        <f>IF(TestVZ3E&lt;0.002,"OFF",ROUND($C$664/M$37*(1+Delta_I),2))</f>
        <v>3.62</v>
      </c>
      <c r="D667" s="471"/>
    </row>
    <row r="668" spans="2:9">
      <c r="B668" s="177" t="s">
        <v>832</v>
      </c>
      <c r="C668" s="471">
        <f>IF(TestVZ4E&lt;0.002,"OFF",ROUND($C$664/P$37*(1+Delta_I),2))</f>
        <v>0.18</v>
      </c>
      <c r="D668" s="471"/>
    </row>
    <row r="669" spans="2:9">
      <c r="B669" s="673" t="s">
        <v>745</v>
      </c>
      <c r="C669" s="674">
        <f>R13</f>
        <v>166</v>
      </c>
      <c r="D669" s="673"/>
    </row>
    <row r="670" spans="2:9">
      <c r="B670" s="673" t="s">
        <v>746</v>
      </c>
      <c r="C670" s="674" t="str">
        <f>IF(S14="","OFF",R14)</f>
        <v>OFF</v>
      </c>
      <c r="D670" s="673"/>
    </row>
    <row r="671" spans="2:9">
      <c r="B671" s="673" t="s">
        <v>747</v>
      </c>
      <c r="C671" s="674">
        <f t="shared" ref="C671:C677" si="135">R15</f>
        <v>180</v>
      </c>
      <c r="D671" s="673"/>
    </row>
    <row r="672" spans="2:9">
      <c r="B672" s="673" t="s">
        <v>748</v>
      </c>
      <c r="C672" s="674">
        <f t="shared" si="135"/>
        <v>206.5</v>
      </c>
      <c r="D672" s="673"/>
    </row>
    <row r="673" spans="2:4">
      <c r="B673" s="673" t="s">
        <v>749</v>
      </c>
      <c r="C673" s="674">
        <f t="shared" si="135"/>
        <v>233</v>
      </c>
      <c r="D673" s="673"/>
    </row>
    <row r="674" spans="2:4">
      <c r="B674" s="673" t="s">
        <v>750</v>
      </c>
      <c r="C674" s="674">
        <f t="shared" si="135"/>
        <v>235.31723012767432</v>
      </c>
      <c r="D674" s="673"/>
    </row>
    <row r="675" spans="2:4">
      <c r="B675" s="673" t="s">
        <v>751</v>
      </c>
      <c r="C675" s="674">
        <f t="shared" si="135"/>
        <v>237</v>
      </c>
      <c r="D675" s="673"/>
    </row>
    <row r="676" spans="2:4">
      <c r="B676" s="673" t="s">
        <v>752</v>
      </c>
      <c r="C676" s="674">
        <f t="shared" si="135"/>
        <v>253.5</v>
      </c>
      <c r="D676" s="673"/>
    </row>
    <row r="677" spans="2:4">
      <c r="B677" s="673" t="s">
        <v>753</v>
      </c>
      <c r="C677" s="674">
        <f t="shared" si="135"/>
        <v>270</v>
      </c>
      <c r="D677" s="673"/>
    </row>
    <row r="678" spans="2:4">
      <c r="B678" s="673" t="s">
        <v>754</v>
      </c>
      <c r="C678" s="674">
        <f>IF(S22="","OFF",R22)</f>
        <v>278.87168927945845</v>
      </c>
      <c r="D678" s="673"/>
    </row>
    <row r="679" spans="2:4">
      <c r="B679" s="673" t="s">
        <v>755</v>
      </c>
      <c r="C679" s="674">
        <f>R23</f>
        <v>292</v>
      </c>
      <c r="D679" s="673"/>
    </row>
    <row r="680" spans="2:4">
      <c r="B680" s="673" t="s">
        <v>756</v>
      </c>
      <c r="C680" s="357">
        <f>S13</f>
        <v>21.949177739370572</v>
      </c>
      <c r="D680" s="673"/>
    </row>
    <row r="681" spans="2:4">
      <c r="B681" s="673" t="s">
        <v>757</v>
      </c>
      <c r="C681" s="357" t="str">
        <f>IF(S14="","OFF",S14)</f>
        <v>OFF</v>
      </c>
      <c r="D681" s="673"/>
    </row>
    <row r="682" spans="2:4">
      <c r="B682" s="673" t="s">
        <v>758</v>
      </c>
      <c r="C682" s="357">
        <f t="shared" ref="C682:C688" si="136">S15</f>
        <v>22.72</v>
      </c>
      <c r="D682" s="673"/>
    </row>
    <row r="683" spans="2:4">
      <c r="B683" s="673" t="s">
        <v>759</v>
      </c>
      <c r="C683" s="357">
        <f t="shared" si="136"/>
        <v>29.301912201389374</v>
      </c>
      <c r="D683" s="673"/>
    </row>
    <row r="684" spans="2:4">
      <c r="B684" s="673" t="s">
        <v>760</v>
      </c>
      <c r="C684" s="357">
        <f t="shared" si="136"/>
        <v>58.583685282127327</v>
      </c>
      <c r="D684" s="673"/>
    </row>
    <row r="685" spans="2:4">
      <c r="B685" s="673" t="s">
        <v>761</v>
      </c>
      <c r="C685" s="357">
        <f t="shared" si="136"/>
        <v>65.157496864629266</v>
      </c>
      <c r="D685" s="673"/>
    </row>
    <row r="686" spans="2:4">
      <c r="B686" s="673" t="s">
        <v>762</v>
      </c>
      <c r="C686" s="357">
        <f t="shared" si="136"/>
        <v>63.886825230150059</v>
      </c>
      <c r="D686" s="673"/>
    </row>
    <row r="687" spans="2:4">
      <c r="B687" s="673" t="s">
        <v>763</v>
      </c>
      <c r="C687" s="357">
        <f t="shared" si="136"/>
        <v>55.881202744920067</v>
      </c>
      <c r="D687" s="673"/>
    </row>
    <row r="688" spans="2:4">
      <c r="B688" s="673" t="s">
        <v>764</v>
      </c>
      <c r="C688" s="357">
        <f t="shared" si="136"/>
        <v>53.58</v>
      </c>
      <c r="D688" s="673"/>
    </row>
    <row r="689" spans="2:4">
      <c r="B689" s="673" t="s">
        <v>765</v>
      </c>
      <c r="C689" s="357">
        <f>IF(S22="","OFF",S22)</f>
        <v>54.228782858552243</v>
      </c>
      <c r="D689" s="673"/>
    </row>
    <row r="690" spans="2:4">
      <c r="B690" s="673" t="s">
        <v>766</v>
      </c>
      <c r="C690" s="357">
        <f>S23</f>
        <v>36.466079989736357</v>
      </c>
      <c r="D690" s="673"/>
    </row>
    <row r="691" spans="2:4">
      <c r="B691" s="673" t="s">
        <v>767</v>
      </c>
      <c r="C691" s="674">
        <f>R35</f>
        <v>166</v>
      </c>
      <c r="D691" s="673"/>
    </row>
    <row r="692" spans="2:4">
      <c r="B692" s="673" t="s">
        <v>768</v>
      </c>
      <c r="C692" s="674" t="str">
        <f>IF(S36="","OFF",R36)</f>
        <v>OFF</v>
      </c>
      <c r="D692" s="673"/>
    </row>
    <row r="693" spans="2:4">
      <c r="B693" s="673" t="s">
        <v>769</v>
      </c>
      <c r="C693" s="674">
        <f t="shared" ref="C693:C699" si="137">R37</f>
        <v>180</v>
      </c>
      <c r="D693" s="673"/>
    </row>
    <row r="694" spans="2:4">
      <c r="B694" s="673" t="s">
        <v>770</v>
      </c>
      <c r="C694" s="674">
        <f t="shared" si="137"/>
        <v>197</v>
      </c>
      <c r="D694" s="673"/>
    </row>
    <row r="695" spans="2:4">
      <c r="B695" s="673" t="s">
        <v>771</v>
      </c>
      <c r="C695" s="674">
        <f t="shared" si="137"/>
        <v>214</v>
      </c>
      <c r="D695" s="673"/>
    </row>
    <row r="696" spans="2:4">
      <c r="B696" s="673" t="s">
        <v>772</v>
      </c>
      <c r="C696" s="674">
        <f t="shared" si="137"/>
        <v>216.04169532027706</v>
      </c>
      <c r="D696" s="673"/>
    </row>
    <row r="697" spans="2:4">
      <c r="B697" s="673" t="s">
        <v>773</v>
      </c>
      <c r="C697" s="674">
        <f t="shared" si="137"/>
        <v>218</v>
      </c>
      <c r="D697" s="673"/>
    </row>
    <row r="698" spans="2:4">
      <c r="B698" s="673" t="s">
        <v>774</v>
      </c>
      <c r="C698" s="674">
        <f t="shared" si="137"/>
        <v>244</v>
      </c>
      <c r="D698" s="673"/>
    </row>
    <row r="699" spans="2:4">
      <c r="B699" s="673" t="s">
        <v>775</v>
      </c>
      <c r="C699" s="674">
        <f t="shared" si="137"/>
        <v>270</v>
      </c>
      <c r="D699" s="673"/>
    </row>
    <row r="700" spans="2:4">
      <c r="B700" s="673" t="s">
        <v>776</v>
      </c>
      <c r="C700" s="674" t="str">
        <f>IF(S44="","OFF",R44)</f>
        <v>OFF</v>
      </c>
      <c r="D700" s="673"/>
    </row>
    <row r="701" spans="2:4">
      <c r="B701" s="673" t="s">
        <v>777</v>
      </c>
      <c r="C701" s="674">
        <f>R45</f>
        <v>290</v>
      </c>
      <c r="D701" s="673"/>
    </row>
    <row r="702" spans="2:4">
      <c r="B702" s="673" t="s">
        <v>778</v>
      </c>
      <c r="C702" s="995">
        <f>S35</f>
        <v>52.971036504434409</v>
      </c>
      <c r="D702" s="673"/>
    </row>
    <row r="703" spans="2:4">
      <c r="B703" s="673" t="s">
        <v>779</v>
      </c>
      <c r="C703" s="995" t="str">
        <f>IF(S36="","OFF",S36)</f>
        <v>OFF</v>
      </c>
      <c r="D703" s="673"/>
    </row>
    <row r="704" spans="2:4">
      <c r="B704" s="673" t="s">
        <v>780</v>
      </c>
      <c r="C704" s="995">
        <f t="shared" ref="C704:C710" si="138">S37</f>
        <v>54.831300000000006</v>
      </c>
      <c r="D704" s="673"/>
    </row>
    <row r="705" spans="2:4">
      <c r="B705" s="673" t="s">
        <v>781</v>
      </c>
      <c r="C705" s="995">
        <f t="shared" si="138"/>
        <v>62.45278893855869</v>
      </c>
      <c r="D705" s="673"/>
    </row>
    <row r="706" spans="2:4">
      <c r="B706" s="673" t="s">
        <v>782</v>
      </c>
      <c r="C706" s="995">
        <f t="shared" si="138"/>
        <v>80.728968612015152</v>
      </c>
      <c r="D706" s="673"/>
    </row>
    <row r="707" spans="2:4">
      <c r="B707" s="673" t="s">
        <v>783</v>
      </c>
      <c r="C707" s="995">
        <f t="shared" si="138"/>
        <v>84.234711089891007</v>
      </c>
      <c r="D707" s="673"/>
    </row>
    <row r="708" spans="2:4">
      <c r="B708" s="673" t="s">
        <v>784</v>
      </c>
      <c r="C708" s="995">
        <f t="shared" si="138"/>
        <v>80.501220209993036</v>
      </c>
      <c r="D708" s="673"/>
    </row>
    <row r="709" spans="2:4">
      <c r="B709" s="673" t="s">
        <v>785</v>
      </c>
      <c r="C709" s="995">
        <f t="shared" si="138"/>
        <v>55.142221072861091</v>
      </c>
      <c r="D709" s="673"/>
    </row>
    <row r="710" spans="2:4">
      <c r="B710" s="673" t="s">
        <v>786</v>
      </c>
      <c r="C710" s="995">
        <f t="shared" si="138"/>
        <v>49.561500000000002</v>
      </c>
      <c r="D710" s="673"/>
    </row>
    <row r="711" spans="2:4">
      <c r="B711" s="673" t="s">
        <v>812</v>
      </c>
      <c r="C711" s="995" t="str">
        <f>IF(S44="","OFF",S44)</f>
        <v>OFF</v>
      </c>
      <c r="D711" s="673"/>
    </row>
    <row r="712" spans="2:4">
      <c r="B712" s="673" t="s">
        <v>787</v>
      </c>
      <c r="C712" s="995">
        <f>S45</f>
        <v>52.742246670564924</v>
      </c>
      <c r="D712" s="673"/>
    </row>
    <row r="713" spans="2:4">
      <c r="B713" s="689" t="s">
        <v>811</v>
      </c>
      <c r="C713" s="694">
        <f>ROUND(Settings!M9*50,0)+15</f>
        <v>90</v>
      </c>
      <c r="D713" s="689" t="s">
        <v>808</v>
      </c>
    </row>
    <row r="714" spans="2:4">
      <c r="B714" s="689" t="s">
        <v>841</v>
      </c>
      <c r="C714" s="718">
        <f>IF(Gen_Trafo =TRUE,Gen_Trafo,0)</f>
        <v>0</v>
      </c>
      <c r="D714" s="689" t="s">
        <v>808</v>
      </c>
    </row>
    <row r="715" spans="2:4">
      <c r="B715" s="863" t="s">
        <v>905</v>
      </c>
      <c r="C715" s="864">
        <f>DIFI_1*In*(1+CTerr_1)</f>
        <v>1.02</v>
      </c>
      <c r="D715" s="863"/>
    </row>
    <row r="716" spans="2:4">
      <c r="B716" s="863" t="s">
        <v>938</v>
      </c>
      <c r="C716" s="864">
        <f>DIFI_2</f>
        <v>6.8</v>
      </c>
      <c r="D716" s="863"/>
    </row>
    <row r="717" spans="2:4">
      <c r="B717" s="996" t="s">
        <v>928</v>
      </c>
      <c r="C717" s="996">
        <f>30+Diff_Time*1000</f>
        <v>30</v>
      </c>
      <c r="D717" s="863"/>
    </row>
    <row r="718" spans="2:4">
      <c r="B718" s="996" t="s">
        <v>924</v>
      </c>
      <c r="C718" s="996">
        <f>C717+Settings!M12*1000</f>
        <v>80</v>
      </c>
      <c r="D718" s="957" t="s">
        <v>927</v>
      </c>
    </row>
    <row r="719" spans="2:4">
      <c r="B719" s="957" t="s">
        <v>907</v>
      </c>
      <c r="C719" s="957">
        <v>0</v>
      </c>
      <c r="D719" s="957" t="s">
        <v>972</v>
      </c>
    </row>
    <row r="720" spans="2:4">
      <c r="B720" s="957" t="s">
        <v>903</v>
      </c>
      <c r="C720" s="957">
        <f>Vn</f>
        <v>100</v>
      </c>
      <c r="D720" s="957" t="s">
        <v>972</v>
      </c>
    </row>
    <row r="721" spans="2:4">
      <c r="B721" s="957" t="s">
        <v>923</v>
      </c>
      <c r="C721" s="957">
        <v>0</v>
      </c>
      <c r="D721" s="957" t="s">
        <v>972</v>
      </c>
    </row>
    <row r="722" spans="2:4">
      <c r="B722" s="957" t="s">
        <v>914</v>
      </c>
      <c r="C722" s="957">
        <v>0</v>
      </c>
      <c r="D722" s="957" t="s">
        <v>972</v>
      </c>
    </row>
    <row r="723" spans="2:4">
      <c r="B723" s="957"/>
      <c r="C723" s="957"/>
      <c r="D723" s="957"/>
    </row>
    <row r="724" spans="2:4">
      <c r="B724" s="957"/>
      <c r="C724" s="957"/>
      <c r="D724" s="957"/>
    </row>
    <row r="725" spans="2:4">
      <c r="B725" s="957"/>
      <c r="C725" s="957"/>
      <c r="D725" s="957"/>
    </row>
  </sheetData>
  <mergeCells count="18">
    <mergeCell ref="AI100:AJ100"/>
    <mergeCell ref="AI106:AJ106"/>
    <mergeCell ref="AQ21:AR21"/>
    <mergeCell ref="AK28:AL28"/>
    <mergeCell ref="AK21:AL21"/>
    <mergeCell ref="AM21:AN21"/>
    <mergeCell ref="AO21:AP21"/>
    <mergeCell ref="AI97:AJ97"/>
    <mergeCell ref="AJ70:AM70"/>
    <mergeCell ref="AR81:AY81"/>
    <mergeCell ref="H61:N61"/>
    <mergeCell ref="H54:N54"/>
    <mergeCell ref="BA21:BB21"/>
    <mergeCell ref="AM28:AN28"/>
    <mergeCell ref="AY21:AZ21"/>
    <mergeCell ref="AU21:AV21"/>
    <mergeCell ref="AW21:AX21"/>
    <mergeCell ref="AS21:AT21"/>
  </mergeCells>
  <phoneticPr fontId="29" type="noConversion"/>
  <conditionalFormatting sqref="V35:V46 Y35:Y46 S35 D37:D43 S37:S43 D45 G45 G35 G37:G43 D35 S45">
    <cfRule type="cellIs" dxfId="113" priority="1" stopIfTrue="1" operator="greaterThanOrEqual">
      <formula>D$33</formula>
    </cfRule>
  </conditionalFormatting>
  <conditionalFormatting sqref="V13:V24 D15:D21 S23 G13 S13 G23 D23 D13 S15:S21 G15:G21">
    <cfRule type="cellIs" dxfId="112" priority="2" stopIfTrue="1" operator="greaterThanOrEqual">
      <formula>D$11</formula>
    </cfRule>
  </conditionalFormatting>
  <conditionalFormatting sqref="C154 U13:U24">
    <cfRule type="expression" dxfId="111" priority="3" stopIfTrue="1">
      <formula>D13&gt;=$V$11</formula>
    </cfRule>
  </conditionalFormatting>
  <conditionalFormatting sqref="AD6:AD25">
    <cfRule type="cellIs" dxfId="110" priority="4" stopIfTrue="1" operator="notEqual">
      <formula>AA6</formula>
    </cfRule>
  </conditionalFormatting>
  <conditionalFormatting sqref="X13:X24">
    <cfRule type="expression" dxfId="109" priority="5" stopIfTrue="1">
      <formula>Y13&gt;=$Y$11</formula>
    </cfRule>
  </conditionalFormatting>
  <conditionalFormatting sqref="R13 C13 C23 R23 F16:F20 R15:R21 C15:C21">
    <cfRule type="expression" dxfId="108" priority="6" stopIfTrue="1">
      <formula>D13&gt;=D$11</formula>
    </cfRule>
  </conditionalFormatting>
  <conditionalFormatting sqref="I14 R14 F14 C14 O14 L14 R22 C22 O22 F22 I22 L22">
    <cfRule type="expression" dxfId="107" priority="7" stopIfTrue="1">
      <formula>D14=""</formula>
    </cfRule>
    <cfRule type="expression" dxfId="106" priority="8" stopIfTrue="1">
      <formula>D14&gt;=D$11</formula>
    </cfRule>
  </conditionalFormatting>
  <conditionalFormatting sqref="D14 S22 P14 G14 J14 P22 D22 G22 J22 S14 M14 M22">
    <cfRule type="cellIs" dxfId="105" priority="9" stopIfTrue="1" operator="equal">
      <formula>""</formula>
    </cfRule>
    <cfRule type="cellIs" dxfId="104" priority="10" stopIfTrue="1" operator="greaterThanOrEqual">
      <formula>D$11</formula>
    </cfRule>
  </conditionalFormatting>
  <conditionalFormatting sqref="C153">
    <cfRule type="expression" dxfId="103" priority="11" stopIfTrue="1">
      <formula>D153&gt;=$P$11</formula>
    </cfRule>
  </conditionalFormatting>
  <conditionalFormatting sqref="D152:D154 D143 D146:D149">
    <cfRule type="cellIs" dxfId="102" priority="12" stopIfTrue="1" operator="greaterThanOrEqual">
      <formula>P$11</formula>
    </cfRule>
  </conditionalFormatting>
  <conditionalFormatting sqref="D144:D145 D150:D151">
    <cfRule type="cellIs" dxfId="101" priority="13" stopIfTrue="1" operator="equal">
      <formula>""</formula>
    </cfRule>
    <cfRule type="cellIs" dxfId="100" priority="14" stopIfTrue="1" operator="greaterThanOrEqual">
      <formula>P$11</formula>
    </cfRule>
  </conditionalFormatting>
  <conditionalFormatting sqref="U35:U46">
    <cfRule type="expression" dxfId="99" priority="15" stopIfTrue="1">
      <formula>V35&gt;=$V$33</formula>
    </cfRule>
  </conditionalFormatting>
  <conditionalFormatting sqref="X35:X46">
    <cfRule type="expression" dxfId="98" priority="16" stopIfTrue="1">
      <formula>$Y35&gt;=$Y$33</formula>
    </cfRule>
  </conditionalFormatting>
  <conditionalFormatting sqref="F15 F13 F23 F21">
    <cfRule type="expression" dxfId="97" priority="17" stopIfTrue="1">
      <formula>G13&gt;=G$11</formula>
    </cfRule>
    <cfRule type="expression" dxfId="96" priority="18" stopIfTrue="1">
      <formula>$S$1="Rev"</formula>
    </cfRule>
  </conditionalFormatting>
  <conditionalFormatting sqref="I36 F36 L36 O36 C36 R36 O44 R44 L44 I44 F44 C44">
    <cfRule type="expression" dxfId="95" priority="19" stopIfTrue="1">
      <formula>D36=""</formula>
    </cfRule>
    <cfRule type="expression" dxfId="94" priority="20" stopIfTrue="1">
      <formula>D36&gt;=D$33</formula>
    </cfRule>
  </conditionalFormatting>
  <conditionalFormatting sqref="P36 D44 M36 G36 D36 J36 P44 S44 M44 J44 G44 S36">
    <cfRule type="cellIs" dxfId="93" priority="21" stopIfTrue="1" operator="equal">
      <formula>""</formula>
    </cfRule>
    <cfRule type="cellIs" dxfId="92" priority="22" stopIfTrue="1" operator="greaterThanOrEqual">
      <formula>D$33</formula>
    </cfRule>
  </conditionalFormatting>
  <conditionalFormatting sqref="R45 C35 R35 R37:R43 C41:C43 C37:C39 C45">
    <cfRule type="expression" dxfId="91" priority="23" stopIfTrue="1">
      <formula>D35&gt;=D$33</formula>
    </cfRule>
  </conditionalFormatting>
  <conditionalFormatting sqref="F37:F43 F35 F45 C40">
    <cfRule type="expression" dxfId="90" priority="24" stopIfTrue="1">
      <formula>D35&gt;=D$33</formula>
    </cfRule>
    <cfRule type="expression" dxfId="89" priority="25" stopIfTrue="1">
      <formula>$S$1="Rev"</formula>
    </cfRule>
  </conditionalFormatting>
  <conditionalFormatting sqref="C56 C54 C58 C60 C67 C69 C52">
    <cfRule type="cellIs" dxfId="88" priority="26" stopIfTrue="1" operator="greaterThanOrEqual">
      <formula>30</formula>
    </cfRule>
    <cfRule type="cellIs" dxfId="87" priority="27" stopIfTrue="1" operator="lessThan">
      <formula>J_</formula>
    </cfRule>
    <cfRule type="cellIs" dxfId="86" priority="28" stopIfTrue="1" operator="lessThan">
      <formula>C53</formula>
    </cfRule>
  </conditionalFormatting>
  <conditionalFormatting sqref="C57 C55 C59 C61 C68 C70 C53">
    <cfRule type="cellIs" dxfId="85" priority="29" stopIfTrue="1" operator="greaterThanOrEqual">
      <formula>30</formula>
    </cfRule>
    <cfRule type="cellIs" dxfId="84" priority="30" stopIfTrue="1" operator="lessThan">
      <formula>J_</formula>
    </cfRule>
    <cfRule type="cellIs" dxfId="83" priority="31" stopIfTrue="1" operator="greaterThan">
      <formula>C52</formula>
    </cfRule>
  </conditionalFormatting>
  <conditionalFormatting sqref="O13 O23 O15:O21">
    <cfRule type="expression" dxfId="82" priority="32" stopIfTrue="1">
      <formula>P13&gt;=P$11</formula>
    </cfRule>
    <cfRule type="expression" dxfId="81" priority="33" stopIfTrue="1">
      <formula>$AJ$62="Inactive"</formula>
    </cfRule>
  </conditionalFormatting>
  <conditionalFormatting sqref="P13 P23 P15:P21">
    <cfRule type="cellIs" dxfId="80" priority="34" stopIfTrue="1" operator="greaterThanOrEqual">
      <formula>P$11</formula>
    </cfRule>
    <cfRule type="expression" dxfId="79" priority="35" stopIfTrue="1">
      <formula>$AJ$62="Inactive"</formula>
    </cfRule>
  </conditionalFormatting>
  <conditionalFormatting sqref="O35 O37:O43 O45">
    <cfRule type="expression" dxfId="78" priority="36" stopIfTrue="1">
      <formula>P35&gt;=P$33</formula>
    </cfRule>
    <cfRule type="expression" dxfId="77" priority="37" stopIfTrue="1">
      <formula>$AJ$62="Inactive"</formula>
    </cfRule>
  </conditionalFormatting>
  <conditionalFormatting sqref="P35 P37:P43 P45">
    <cfRule type="cellIs" dxfId="76" priority="38" stopIfTrue="1" operator="greaterThanOrEqual">
      <formula>P$33</formula>
    </cfRule>
    <cfRule type="expression" dxfId="75" priority="39" stopIfTrue="1">
      <formula>$AJ$62="Inactive"</formula>
    </cfRule>
  </conditionalFormatting>
  <conditionalFormatting sqref="I13 I15:I21 I23">
    <cfRule type="expression" dxfId="74" priority="40" stopIfTrue="1">
      <formula>J13&gt;=J$11</formula>
    </cfRule>
    <cfRule type="expression" dxfId="73" priority="41" stopIfTrue="1">
      <formula>$AJ$58="Inactive"</formula>
    </cfRule>
  </conditionalFormatting>
  <conditionalFormatting sqref="J13 J15:J21 J23">
    <cfRule type="cellIs" dxfId="72" priority="42" stopIfTrue="1" operator="greaterThanOrEqual">
      <formula>J$11</formula>
    </cfRule>
    <cfRule type="expression" dxfId="71" priority="43" stopIfTrue="1">
      <formula>$AJ$58="Inactive"</formula>
    </cfRule>
  </conditionalFormatting>
  <conditionalFormatting sqref="I35 I37:I43 I45">
    <cfRule type="expression" dxfId="70" priority="44" stopIfTrue="1">
      <formula>J35&gt;=J$33</formula>
    </cfRule>
    <cfRule type="expression" dxfId="69" priority="45" stopIfTrue="1">
      <formula>$AJ$58="Inactive"</formula>
    </cfRule>
  </conditionalFormatting>
  <conditionalFormatting sqref="J35 J37:J43 J45">
    <cfRule type="cellIs" dxfId="68" priority="46" stopIfTrue="1" operator="greaterThanOrEqual">
      <formula>J$33</formula>
    </cfRule>
    <cfRule type="expression" dxfId="67" priority="47" stopIfTrue="1">
      <formula>$AJ$58="Inactive"</formula>
    </cfRule>
  </conditionalFormatting>
  <conditionalFormatting sqref="L13 L15:L21 L23">
    <cfRule type="expression" dxfId="66" priority="48" stopIfTrue="1">
      <formula>M13&gt;=M$11</formula>
    </cfRule>
    <cfRule type="expression" dxfId="65" priority="49" stopIfTrue="1">
      <formula>$AJ$61="Inactive"</formula>
    </cfRule>
  </conditionalFormatting>
  <conditionalFormatting sqref="M13 M15:M21 M23">
    <cfRule type="cellIs" dxfId="64" priority="50" stopIfTrue="1" operator="greaterThanOrEqual">
      <formula>M$11</formula>
    </cfRule>
    <cfRule type="expression" dxfId="63" priority="51" stopIfTrue="1">
      <formula>$AJ$61="Inactive"</formula>
    </cfRule>
  </conditionalFormatting>
  <conditionalFormatting sqref="L35 L37:L43 L45">
    <cfRule type="expression" dxfId="62" priority="52" stopIfTrue="1">
      <formula>M35&gt;=M$33</formula>
    </cfRule>
    <cfRule type="expression" dxfId="61" priority="53" stopIfTrue="1">
      <formula>$AJ$61="Inactive"</formula>
    </cfRule>
  </conditionalFormatting>
  <conditionalFormatting sqref="M35 M37:M43 M45">
    <cfRule type="cellIs" dxfId="60" priority="54" stopIfTrue="1" operator="greaterThanOrEqual">
      <formula>M$33</formula>
    </cfRule>
    <cfRule type="expression" dxfId="59" priority="55" stopIfTrue="1">
      <formula>$AJ$61="Inactive"</formula>
    </cfRule>
  </conditionalFormatting>
  <conditionalFormatting sqref="C143 C146:C149 C152">
    <cfRule type="expression" dxfId="58" priority="56" stopIfTrue="1">
      <formula>D143&gt;=P$11</formula>
    </cfRule>
    <cfRule type="expression" dxfId="57" priority="57" stopIfTrue="1">
      <formula>$S$1="Rev"</formula>
    </cfRule>
  </conditionalFormatting>
  <conditionalFormatting sqref="C144:C145 C150:C151">
    <cfRule type="expression" dxfId="56" priority="58" stopIfTrue="1">
      <formula>D144=""</formula>
    </cfRule>
    <cfRule type="expression" dxfId="55" priority="59" stopIfTrue="1">
      <formula>D144&gt;=P$11</formula>
    </cfRule>
    <cfRule type="expression" dxfId="54" priority="60" stopIfTrue="1">
      <formula>$S$1="Rev"</formula>
    </cfRule>
  </conditionalFormatting>
  <conditionalFormatting sqref="C71">
    <cfRule type="cellIs" dxfId="53" priority="61" stopIfTrue="1" operator="lessThan">
      <formula>J_</formula>
    </cfRule>
  </conditionalFormatting>
  <conditionalFormatting sqref="H53:N53">
    <cfRule type="expression" dxfId="52" priority="62" stopIfTrue="1">
      <formula>$H$53&lt;&gt;""</formula>
    </cfRule>
  </conditionalFormatting>
  <conditionalFormatting sqref="Y13:Y24">
    <cfRule type="expression" dxfId="51" priority="63" stopIfTrue="1">
      <formula>Y13&gt;=$Y$11</formula>
    </cfRule>
  </conditionalFormatting>
  <conditionalFormatting sqref="B64:E64">
    <cfRule type="expression" dxfId="50" priority="64" stopIfTrue="1">
      <formula>$AI$70&gt;4</formula>
    </cfRule>
  </conditionalFormatting>
  <conditionalFormatting sqref="C62">
    <cfRule type="cellIs" dxfId="49" priority="65" stopIfTrue="1" operator="greaterThanOrEqual">
      <formula>30</formula>
    </cfRule>
    <cfRule type="cellIs" dxfId="48" priority="66" stopIfTrue="1" operator="lessThan">
      <formula>J_</formula>
    </cfRule>
  </conditionalFormatting>
  <conditionalFormatting sqref="L27:M32 L5:M10">
    <cfRule type="expression" dxfId="47" priority="67" stopIfTrue="1">
      <formula>$AJ$61="Inactive"</formula>
    </cfRule>
  </conditionalFormatting>
  <conditionalFormatting sqref="I5:J10 I27:J32">
    <cfRule type="expression" dxfId="46" priority="68" stopIfTrue="1">
      <formula>$AJ$58="Inactive"</formula>
    </cfRule>
  </conditionalFormatting>
  <conditionalFormatting sqref="O5:P10 O27:P32">
    <cfRule type="expression" dxfId="45" priority="69" stopIfTrue="1">
      <formula>$AJ$62="Inactive"</formula>
    </cfRule>
  </conditionalFormatting>
  <conditionalFormatting sqref="B61 B55 B70">
    <cfRule type="cellIs" dxfId="44" priority="70" stopIfTrue="1" operator="equal">
      <formula>"Not Testable"</formula>
    </cfRule>
  </conditionalFormatting>
  <conditionalFormatting sqref="B60">
    <cfRule type="expression" dxfId="43" priority="71" stopIfTrue="1">
      <formula>$B$61="Not Testable"</formula>
    </cfRule>
  </conditionalFormatting>
  <conditionalFormatting sqref="B54">
    <cfRule type="expression" dxfId="42" priority="72" stopIfTrue="1">
      <formula>$B$55="Not Testable"</formula>
    </cfRule>
  </conditionalFormatting>
  <conditionalFormatting sqref="B69">
    <cfRule type="expression" dxfId="41" priority="73" stopIfTrue="1">
      <formula>$B$70="Not Testable"</formula>
    </cfRule>
  </conditionalFormatting>
  <conditionalFormatting sqref="B56">
    <cfRule type="expression" dxfId="40" priority="74" stopIfTrue="1">
      <formula>$AJ$59="No"</formula>
    </cfRule>
    <cfRule type="expression" dxfId="39" priority="75" stopIfTrue="1">
      <formula>$B$57="Not Testable"</formula>
    </cfRule>
  </conditionalFormatting>
  <conditionalFormatting sqref="B57">
    <cfRule type="expression" dxfId="38" priority="76" stopIfTrue="1">
      <formula>$AJ$59="No"</formula>
    </cfRule>
    <cfRule type="cellIs" dxfId="37" priority="77" stopIfTrue="1" operator="equal">
      <formula>"Not Testable"</formula>
    </cfRule>
  </conditionalFormatting>
  <conditionalFormatting sqref="B58">
    <cfRule type="expression" dxfId="36" priority="78" stopIfTrue="1">
      <formula>$AJ$61&lt;&gt;"Forward"</formula>
    </cfRule>
    <cfRule type="expression" dxfId="35" priority="79" stopIfTrue="1">
      <formula>$B$59="Not Testable"</formula>
    </cfRule>
  </conditionalFormatting>
  <conditionalFormatting sqref="B59">
    <cfRule type="expression" dxfId="34" priority="80" stopIfTrue="1">
      <formula>$AJ$61&lt;&gt;"Forward"</formula>
    </cfRule>
    <cfRule type="cellIs" dxfId="33" priority="81" stopIfTrue="1" operator="equal">
      <formula>"Not Testable"</formula>
    </cfRule>
  </conditionalFormatting>
  <conditionalFormatting sqref="B67">
    <cfRule type="expression" dxfId="32" priority="82" stopIfTrue="1">
      <formula>$AJ$61&lt;&gt;"Reverse"</formula>
    </cfRule>
    <cfRule type="expression" dxfId="31" priority="83" stopIfTrue="1">
      <formula>$B$68="Not Testable"</formula>
    </cfRule>
  </conditionalFormatting>
  <conditionalFormatting sqref="B68">
    <cfRule type="expression" dxfId="30" priority="84" stopIfTrue="1">
      <formula>$AJ$61&lt;&gt;"Reverse"</formula>
    </cfRule>
    <cfRule type="cellIs" dxfId="29" priority="85" stopIfTrue="1" operator="equal">
      <formula>"Not Testable"</formula>
    </cfRule>
  </conditionalFormatting>
  <conditionalFormatting sqref="D71">
    <cfRule type="cellIs" dxfId="28" priority="86" stopIfTrue="1" operator="lessThan">
      <formula>Je_</formula>
    </cfRule>
  </conditionalFormatting>
  <conditionalFormatting sqref="D70 D68 D61 D59 D57 D55 D53">
    <cfRule type="cellIs" dxfId="27" priority="87" stopIfTrue="1" operator="greaterThanOrEqual">
      <formula>30</formula>
    </cfRule>
    <cfRule type="cellIs" dxfId="26" priority="88" stopIfTrue="1" operator="lessThan">
      <formula>Je_</formula>
    </cfRule>
    <cfRule type="cellIs" dxfId="25" priority="89" stopIfTrue="1" operator="greaterThan">
      <formula>D52</formula>
    </cfRule>
  </conditionalFormatting>
  <conditionalFormatting sqref="D69 D67 D60 D58 D56 D54 D52">
    <cfRule type="cellIs" dxfId="24" priority="90" stopIfTrue="1" operator="greaterThanOrEqual">
      <formula>30</formula>
    </cfRule>
    <cfRule type="cellIs" dxfId="23" priority="91" stopIfTrue="1" operator="lessThan">
      <formula>Je_</formula>
    </cfRule>
    <cfRule type="cellIs" dxfId="22" priority="92" stopIfTrue="1" operator="lessThan">
      <formula>D53</formula>
    </cfRule>
  </conditionalFormatting>
  <conditionalFormatting sqref="D62">
    <cfRule type="cellIs" dxfId="21" priority="93" stopIfTrue="1" operator="greaterThanOrEqual">
      <formula>30</formula>
    </cfRule>
    <cfRule type="cellIs" dxfId="20" priority="94" stopIfTrue="1" operator="lessThan">
      <formula>Je_</formula>
    </cfRule>
  </conditionalFormatting>
  <pageMargins left="0.75" right="0.75" top="1" bottom="1" header="0.5" footer="0.5"/>
  <pageSetup paperSize="9" orientation="portrait" horizontalDpi="36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85345" r:id="rId4" name="SpinButton1">
          <controlPr locked="0" defaultSize="0" print="0" autoLine="0" linkedCell="AJ71" r:id="rId5">
            <anchor moveWithCells="1">
              <from>
                <xdr:col>1</xdr:col>
                <xdr:colOff>638175</xdr:colOff>
                <xdr:row>62</xdr:row>
                <xdr:rowOff>0</xdr:rowOff>
              </from>
              <to>
                <xdr:col>2</xdr:col>
                <xdr:colOff>66675</xdr:colOff>
                <xdr:row>63</xdr:row>
                <xdr:rowOff>9525</xdr:rowOff>
              </to>
            </anchor>
          </controlPr>
        </control>
      </mc:Choice>
      <mc:Fallback>
        <control shapeId="185345" r:id="rId4" name="SpinButton1"/>
      </mc:Fallback>
    </mc:AlternateContent>
    <mc:AlternateContent xmlns:mc="http://schemas.openxmlformats.org/markup-compatibility/2006">
      <mc:Choice Requires="x14">
        <control shapeId="185346" r:id="rId6" name="SpinButton2">
          <controlPr locked="0" defaultSize="0" print="0" autoLine="0" linkedCell="AK71" r:id="rId7">
            <anchor moveWithCells="1">
              <from>
                <xdr:col>4</xdr:col>
                <xdr:colOff>9525</xdr:colOff>
                <xdr:row>62</xdr:row>
                <xdr:rowOff>9525</xdr:rowOff>
              </from>
              <to>
                <xdr:col>4</xdr:col>
                <xdr:colOff>171450</xdr:colOff>
                <xdr:row>63</xdr:row>
                <xdr:rowOff>9525</xdr:rowOff>
              </to>
            </anchor>
          </controlPr>
        </control>
      </mc:Choice>
      <mc:Fallback>
        <control shapeId="185346" r:id="rId6" name="SpinButton2"/>
      </mc:Fallback>
    </mc:AlternateContent>
    <mc:AlternateContent xmlns:mc="http://schemas.openxmlformats.org/markup-compatibility/2006">
      <mc:Choice Requires="x14">
        <control shapeId="185347" r:id="rId8" name="ComboBox1">
          <controlPr locked="0" defaultSize="0" print="0" autoLine="0" linkedCell="AL26" listFillRange="AJ26:AJ27" r:id="rId9">
            <anchor moveWithCells="1">
              <from>
                <xdr:col>1</xdr:col>
                <xdr:colOff>0</xdr:colOff>
                <xdr:row>48</xdr:row>
                <xdr:rowOff>0</xdr:rowOff>
              </from>
              <to>
                <xdr:col>2</xdr:col>
                <xdr:colOff>333375</xdr:colOff>
                <xdr:row>48</xdr:row>
                <xdr:rowOff>190500</xdr:rowOff>
              </to>
            </anchor>
          </controlPr>
        </control>
      </mc:Choice>
      <mc:Fallback>
        <control shapeId="185347" r:id="rId8" name="ComboBox1"/>
      </mc:Fallback>
    </mc:AlternateContent>
    <mc:AlternateContent xmlns:mc="http://schemas.openxmlformats.org/markup-compatibility/2006">
      <mc:Choice Requires="x14">
        <control shapeId="185362" r:id="rId10" name="CommandButton15">
          <controlPr defaultSize="0" autoLine="0" r:id="rId11">
            <anchor moveWithCells="1">
              <from>
                <xdr:col>2</xdr:col>
                <xdr:colOff>19050</xdr:colOff>
                <xdr:row>50</xdr:row>
                <xdr:rowOff>0</xdr:rowOff>
              </from>
              <to>
                <xdr:col>3</xdr:col>
                <xdr:colOff>9525</xdr:colOff>
                <xdr:row>51</xdr:row>
                <xdr:rowOff>19050</xdr:rowOff>
              </to>
            </anchor>
          </controlPr>
        </control>
      </mc:Choice>
      <mc:Fallback>
        <control shapeId="185362" r:id="rId10" name="CommandButton15"/>
      </mc:Fallback>
    </mc:AlternateContent>
    <mc:AlternateContent xmlns:mc="http://schemas.openxmlformats.org/markup-compatibility/2006">
      <mc:Choice Requires="x14">
        <control shapeId="185363" r:id="rId12" name="CommandButton16">
          <controlPr defaultSize="0" autoLine="0" r:id="rId13">
            <anchor moveWithCells="1">
              <from>
                <xdr:col>3</xdr:col>
                <xdr:colOff>19050</xdr:colOff>
                <xdr:row>50</xdr:row>
                <xdr:rowOff>0</xdr:rowOff>
              </from>
              <to>
                <xdr:col>4</xdr:col>
                <xdr:colOff>9525</xdr:colOff>
                <xdr:row>51</xdr:row>
                <xdr:rowOff>19050</xdr:rowOff>
              </to>
            </anchor>
          </controlPr>
        </control>
      </mc:Choice>
      <mc:Fallback>
        <control shapeId="185363" r:id="rId12" name="CommandButton16"/>
      </mc:Fallback>
    </mc:AlternateContent>
    <mc:AlternateContent xmlns:mc="http://schemas.openxmlformats.org/markup-compatibility/2006">
      <mc:Choice Requires="x14">
        <control shapeId="185364" r:id="rId14" name="CommandButton17">
          <controlPr defaultSize="0" autoLine="0" r:id="rId15">
            <anchor moveWithCells="1">
              <from>
                <xdr:col>2</xdr:col>
                <xdr:colOff>0</xdr:colOff>
                <xdr:row>65</xdr:row>
                <xdr:rowOff>0</xdr:rowOff>
              </from>
              <to>
                <xdr:col>2</xdr:col>
                <xdr:colOff>438150</xdr:colOff>
                <xdr:row>66</xdr:row>
                <xdr:rowOff>9525</xdr:rowOff>
              </to>
            </anchor>
          </controlPr>
        </control>
      </mc:Choice>
      <mc:Fallback>
        <control shapeId="185364" r:id="rId14" name="CommandButton17"/>
      </mc:Fallback>
    </mc:AlternateContent>
    <mc:AlternateContent xmlns:mc="http://schemas.openxmlformats.org/markup-compatibility/2006">
      <mc:Choice Requires="x14">
        <control shapeId="185365" r:id="rId16" name="CommandButton18">
          <controlPr defaultSize="0" autoLine="0" r:id="rId13">
            <anchor moveWithCells="1">
              <from>
                <xdr:col>3</xdr:col>
                <xdr:colOff>0</xdr:colOff>
                <xdr:row>64</xdr:row>
                <xdr:rowOff>161925</xdr:rowOff>
              </from>
              <to>
                <xdr:col>3</xdr:col>
                <xdr:colOff>438150</xdr:colOff>
                <xdr:row>66</xdr:row>
                <xdr:rowOff>0</xdr:rowOff>
              </to>
            </anchor>
          </controlPr>
        </control>
      </mc:Choice>
      <mc:Fallback>
        <control shapeId="185365" r:id="rId16" name="CommandButton18"/>
      </mc:Fallback>
    </mc:AlternateContent>
    <mc:AlternateContent xmlns:mc="http://schemas.openxmlformats.org/markup-compatibility/2006">
      <mc:Choice Requires="x14">
        <control shapeId="185390" r:id="rId17" name="CommandButton43">
          <controlPr defaultSize="0" autoLine="0" autoPict="0" r:id="rId18">
            <anchor moveWithCells="1">
              <from>
                <xdr:col>7</xdr:col>
                <xdr:colOff>85725</xdr:colOff>
                <xdr:row>68</xdr:row>
                <xdr:rowOff>0</xdr:rowOff>
              </from>
              <to>
                <xdr:col>9</xdr:col>
                <xdr:colOff>257175</xdr:colOff>
                <xdr:row>69</xdr:row>
                <xdr:rowOff>76200</xdr:rowOff>
              </to>
            </anchor>
          </controlPr>
        </control>
      </mc:Choice>
      <mc:Fallback>
        <control shapeId="185390" r:id="rId17" name="CommandButton43"/>
      </mc:Fallback>
    </mc:AlternateContent>
    <mc:AlternateContent xmlns:mc="http://schemas.openxmlformats.org/markup-compatibility/2006">
      <mc:Choice Requires="x14">
        <control shapeId="185391" r:id="rId19" name="CommandButton44">
          <controlPr defaultSize="0" autoLine="0" r:id="rId20">
            <anchor moveWithCells="1">
              <from>
                <xdr:col>9</xdr:col>
                <xdr:colOff>342900</xdr:colOff>
                <xdr:row>67</xdr:row>
                <xdr:rowOff>161925</xdr:rowOff>
              </from>
              <to>
                <xdr:col>13</xdr:col>
                <xdr:colOff>9525</xdr:colOff>
                <xdr:row>69</xdr:row>
                <xdr:rowOff>57150</xdr:rowOff>
              </to>
            </anchor>
          </controlPr>
        </control>
      </mc:Choice>
      <mc:Fallback>
        <control shapeId="185391" r:id="rId19" name="CommandButton44"/>
      </mc:Fallback>
    </mc:AlternateContent>
    <mc:AlternateContent xmlns:mc="http://schemas.openxmlformats.org/markup-compatibility/2006">
      <mc:Choice Requires="x14">
        <control shapeId="185392" r:id="rId21" name="CommandButton45">
          <controlPr defaultSize="0" autoLine="0" autoPict="0" r:id="rId22">
            <anchor moveWithCells="1">
              <from>
                <xdr:col>17</xdr:col>
                <xdr:colOff>9525</xdr:colOff>
                <xdr:row>48</xdr:row>
                <xdr:rowOff>114300</xdr:rowOff>
              </from>
              <to>
                <xdr:col>20</xdr:col>
                <xdr:colOff>19050</xdr:colOff>
                <xdr:row>50</xdr:row>
                <xdr:rowOff>19050</xdr:rowOff>
              </to>
            </anchor>
          </controlPr>
        </control>
      </mc:Choice>
      <mc:Fallback>
        <control shapeId="185392" r:id="rId21" name="CommandButton45"/>
      </mc:Fallback>
    </mc:AlternateContent>
    <mc:AlternateContent xmlns:mc="http://schemas.openxmlformats.org/markup-compatibility/2006">
      <mc:Choice Requires="x14">
        <control shapeId="185393" r:id="rId23" name="CommandButton46">
          <controlPr defaultSize="0" autoLine="0" r:id="rId24">
            <anchor moveWithCells="1">
              <from>
                <xdr:col>7</xdr:col>
                <xdr:colOff>85725</xdr:colOff>
                <xdr:row>72</xdr:row>
                <xdr:rowOff>0</xdr:rowOff>
              </from>
              <to>
                <xdr:col>9</xdr:col>
                <xdr:colOff>266700</xdr:colOff>
                <xdr:row>73</xdr:row>
                <xdr:rowOff>76200</xdr:rowOff>
              </to>
            </anchor>
          </controlPr>
        </control>
      </mc:Choice>
      <mc:Fallback>
        <control shapeId="185393" r:id="rId23" name="CommandButton46"/>
      </mc:Fallback>
    </mc:AlternateContent>
    <mc:AlternateContent xmlns:mc="http://schemas.openxmlformats.org/markup-compatibility/2006">
      <mc:Choice Requires="x14">
        <control shapeId="185394" r:id="rId25" name="CommandButton47">
          <controlPr defaultSize="0" autoLine="0" r:id="rId20">
            <anchor moveWithCells="1">
              <from>
                <xdr:col>9</xdr:col>
                <xdr:colOff>352425</xdr:colOff>
                <xdr:row>71</xdr:row>
                <xdr:rowOff>152400</xdr:rowOff>
              </from>
              <to>
                <xdr:col>13</xdr:col>
                <xdr:colOff>19050</xdr:colOff>
                <xdr:row>73</xdr:row>
                <xdr:rowOff>57150</xdr:rowOff>
              </to>
            </anchor>
          </controlPr>
        </control>
      </mc:Choice>
      <mc:Fallback>
        <control shapeId="185394" r:id="rId25" name="CommandButton47"/>
      </mc:Fallback>
    </mc:AlternateContent>
    <mc:AlternateContent xmlns:mc="http://schemas.openxmlformats.org/markup-compatibility/2006">
      <mc:Choice Requires="x14">
        <control shapeId="185395" r:id="rId26" name="CommandButton48">
          <controlPr defaultSize="0" print="0" autoFill="0" autoLine="0" r:id="rId27">
            <anchor moveWithCells="1">
              <from>
                <xdr:col>14</xdr:col>
                <xdr:colOff>200025</xdr:colOff>
                <xdr:row>46</xdr:row>
                <xdr:rowOff>85725</xdr:rowOff>
              </from>
              <to>
                <xdr:col>15</xdr:col>
                <xdr:colOff>428625</xdr:colOff>
                <xdr:row>48</xdr:row>
                <xdr:rowOff>104775</xdr:rowOff>
              </to>
            </anchor>
          </controlPr>
        </control>
      </mc:Choice>
      <mc:Fallback>
        <control shapeId="185395" r:id="rId26" name="CommandButton48"/>
      </mc:Fallback>
    </mc:AlternateContent>
    <mc:AlternateContent xmlns:mc="http://schemas.openxmlformats.org/markup-compatibility/2006">
      <mc:Choice Requires="x14">
        <control shapeId="185396" r:id="rId28" name="SpinButton3">
          <controlPr locked="0" defaultSize="0" print="0" autoLine="0" linkedCell="X10" r:id="rId29">
            <anchor moveWithCells="1">
              <from>
                <xdr:col>23</xdr:col>
                <xdr:colOff>123825</xdr:colOff>
                <xdr:row>9</xdr:row>
                <xdr:rowOff>0</xdr:rowOff>
              </from>
              <to>
                <xdr:col>24</xdr:col>
                <xdr:colOff>9525</xdr:colOff>
                <xdr:row>10</xdr:row>
                <xdr:rowOff>9525</xdr:rowOff>
              </to>
            </anchor>
          </controlPr>
        </control>
      </mc:Choice>
      <mc:Fallback>
        <control shapeId="185396" r:id="rId28" name="SpinButton3"/>
      </mc:Fallback>
    </mc:AlternateContent>
    <mc:AlternateContent xmlns:mc="http://schemas.openxmlformats.org/markup-compatibility/2006">
      <mc:Choice Requires="x14">
        <control shapeId="185397" r:id="rId30" name="SpinButton4">
          <controlPr locked="0" defaultSize="0" print="0" autoLine="0" linkedCell="X32" r:id="rId31">
            <anchor moveWithCells="1">
              <from>
                <xdr:col>23</xdr:col>
                <xdr:colOff>104775</xdr:colOff>
                <xdr:row>31</xdr:row>
                <xdr:rowOff>0</xdr:rowOff>
              </from>
              <to>
                <xdr:col>24</xdr:col>
                <xdr:colOff>19050</xdr:colOff>
                <xdr:row>32</xdr:row>
                <xdr:rowOff>19050</xdr:rowOff>
              </to>
            </anchor>
          </controlPr>
        </control>
      </mc:Choice>
      <mc:Fallback>
        <control shapeId="185397" r:id="rId30" name="SpinButton4"/>
      </mc:Fallback>
    </mc:AlternateContent>
    <mc:AlternateContent xmlns:mc="http://schemas.openxmlformats.org/markup-compatibility/2006">
      <mc:Choice Requires="x14">
        <control shapeId="185505" r:id="rId32" name="SpinButton5">
          <controlPr locked="0" defaultSize="0" print="0" autoLine="0" linkedCell="AL71" r:id="rId5">
            <anchor moveWithCells="1">
              <from>
                <xdr:col>1</xdr:col>
                <xdr:colOff>609600</xdr:colOff>
                <xdr:row>71</xdr:row>
                <xdr:rowOff>0</xdr:rowOff>
              </from>
              <to>
                <xdr:col>2</xdr:col>
                <xdr:colOff>38100</xdr:colOff>
                <xdr:row>72</xdr:row>
                <xdr:rowOff>9525</xdr:rowOff>
              </to>
            </anchor>
          </controlPr>
        </control>
      </mc:Choice>
      <mc:Fallback>
        <control shapeId="185505" r:id="rId32" name="SpinButton5"/>
      </mc:Fallback>
    </mc:AlternateContent>
    <mc:AlternateContent xmlns:mc="http://schemas.openxmlformats.org/markup-compatibility/2006">
      <mc:Choice Requires="x14">
        <control shapeId="185506" r:id="rId33" name="SpinButton6">
          <controlPr locked="0" defaultSize="0" print="0" autoLine="0" linkedCell="AM71" r:id="rId5">
            <anchor moveWithCells="1">
              <from>
                <xdr:col>3</xdr:col>
                <xdr:colOff>419100</xdr:colOff>
                <xdr:row>70</xdr:row>
                <xdr:rowOff>161925</xdr:rowOff>
              </from>
              <to>
                <xdr:col>4</xdr:col>
                <xdr:colOff>161925</xdr:colOff>
                <xdr:row>72</xdr:row>
                <xdr:rowOff>0</xdr:rowOff>
              </to>
            </anchor>
          </controlPr>
        </control>
      </mc:Choice>
      <mc:Fallback>
        <control shapeId="185506" r:id="rId33" name="SpinButton6"/>
      </mc:Fallback>
    </mc:AlternateContent>
    <mc:AlternateContent xmlns:mc="http://schemas.openxmlformats.org/markup-compatibility/2006">
      <mc:Choice Requires="x14">
        <control shapeId="185603" r:id="rId34" name="OptionButton1">
          <controlPr locked="0" defaultSize="0" autoLine="0" linkedCell="AN3" r:id="rId35">
            <anchor moveWithCells="1">
              <from>
                <xdr:col>8</xdr:col>
                <xdr:colOff>142875</xdr:colOff>
                <xdr:row>53</xdr:row>
                <xdr:rowOff>133350</xdr:rowOff>
              </from>
              <to>
                <xdr:col>9</xdr:col>
                <xdr:colOff>133350</xdr:colOff>
                <xdr:row>54</xdr:row>
                <xdr:rowOff>152400</xdr:rowOff>
              </to>
            </anchor>
          </controlPr>
        </control>
      </mc:Choice>
      <mc:Fallback>
        <control shapeId="185603" r:id="rId34" name="OptionButton1"/>
      </mc:Fallback>
    </mc:AlternateContent>
    <mc:AlternateContent xmlns:mc="http://schemas.openxmlformats.org/markup-compatibility/2006">
      <mc:Choice Requires="x14">
        <control shapeId="185604" r:id="rId36" name="OptionButton2">
          <controlPr locked="0" defaultSize="0" autoLine="0" linkedCell="AN4" r:id="rId37">
            <anchor moveWithCells="1">
              <from>
                <xdr:col>9</xdr:col>
                <xdr:colOff>371475</xdr:colOff>
                <xdr:row>53</xdr:row>
                <xdr:rowOff>133350</xdr:rowOff>
              </from>
              <to>
                <xdr:col>11</xdr:col>
                <xdr:colOff>209550</xdr:colOff>
                <xdr:row>54</xdr:row>
                <xdr:rowOff>152400</xdr:rowOff>
              </to>
            </anchor>
          </controlPr>
        </control>
      </mc:Choice>
      <mc:Fallback>
        <control shapeId="185604" r:id="rId36" name="OptionButton2"/>
      </mc:Fallback>
    </mc:AlternateContent>
    <mc:AlternateContent xmlns:mc="http://schemas.openxmlformats.org/markup-compatibility/2006">
      <mc:Choice Requires="x14">
        <control shapeId="185605" r:id="rId38" name="OptionButton3">
          <controlPr locked="0" defaultSize="0" autoLine="0" linkedCell="AN5" r:id="rId39">
            <anchor moveWithCells="1">
              <from>
                <xdr:col>12</xdr:col>
                <xdr:colOff>0</xdr:colOff>
                <xdr:row>53</xdr:row>
                <xdr:rowOff>133350</xdr:rowOff>
              </from>
              <to>
                <xdr:col>12</xdr:col>
                <xdr:colOff>438150</xdr:colOff>
                <xdr:row>54</xdr:row>
                <xdr:rowOff>152400</xdr:rowOff>
              </to>
            </anchor>
          </controlPr>
        </control>
      </mc:Choice>
      <mc:Fallback>
        <control shapeId="185605" r:id="rId38" name="OptionButton3"/>
      </mc:Fallback>
    </mc:AlternateContent>
    <mc:AlternateContent xmlns:mc="http://schemas.openxmlformats.org/markup-compatibility/2006">
      <mc:Choice Requires="x14">
        <control shapeId="185619" r:id="rId40" name="CommandButton19">
          <controlPr defaultSize="0" autoLine="0" r:id="rId41">
            <anchor moveWithCells="1">
              <from>
                <xdr:col>8</xdr:col>
                <xdr:colOff>9525</xdr:colOff>
                <xdr:row>54</xdr:row>
                <xdr:rowOff>133350</xdr:rowOff>
              </from>
              <to>
                <xdr:col>10</xdr:col>
                <xdr:colOff>19050</xdr:colOff>
                <xdr:row>56</xdr:row>
                <xdr:rowOff>28575</xdr:rowOff>
              </to>
            </anchor>
          </controlPr>
        </control>
      </mc:Choice>
      <mc:Fallback>
        <control shapeId="185619" r:id="rId40" name="CommandButton19"/>
      </mc:Fallback>
    </mc:AlternateContent>
    <mc:AlternateContent xmlns:mc="http://schemas.openxmlformats.org/markup-compatibility/2006">
      <mc:Choice Requires="x14">
        <control shapeId="185620" r:id="rId42" name="CommandButton20">
          <controlPr defaultSize="0" autoLine="0" r:id="rId43">
            <anchor moveWithCells="1">
              <from>
                <xdr:col>11</xdr:col>
                <xdr:colOff>0</xdr:colOff>
                <xdr:row>54</xdr:row>
                <xdr:rowOff>133350</xdr:rowOff>
              </from>
              <to>
                <xdr:col>13</xdr:col>
                <xdr:colOff>9525</xdr:colOff>
                <xdr:row>56</xdr:row>
                <xdr:rowOff>28575</xdr:rowOff>
              </to>
            </anchor>
          </controlPr>
        </control>
      </mc:Choice>
      <mc:Fallback>
        <control shapeId="185620" r:id="rId42" name="CommandButton20"/>
      </mc:Fallback>
    </mc:AlternateContent>
    <mc:AlternateContent xmlns:mc="http://schemas.openxmlformats.org/markup-compatibility/2006">
      <mc:Choice Requires="x14">
        <control shapeId="185631" r:id="rId44" name="OptionButton4">
          <controlPr locked="0" defaultSize="0" autoLine="0" linkedCell="AO95" r:id="rId45">
            <anchor moveWithCells="1">
              <from>
                <xdr:col>8</xdr:col>
                <xdr:colOff>123825</xdr:colOff>
                <xdr:row>60</xdr:row>
                <xdr:rowOff>133350</xdr:rowOff>
              </from>
              <to>
                <xdr:col>9</xdr:col>
                <xdr:colOff>114300</xdr:colOff>
                <xdr:row>61</xdr:row>
                <xdr:rowOff>133350</xdr:rowOff>
              </to>
            </anchor>
          </controlPr>
        </control>
      </mc:Choice>
      <mc:Fallback>
        <control shapeId="185631" r:id="rId44" name="OptionButton4"/>
      </mc:Fallback>
    </mc:AlternateContent>
    <mc:AlternateContent xmlns:mc="http://schemas.openxmlformats.org/markup-compatibility/2006">
      <mc:Choice Requires="x14">
        <control shapeId="185632" r:id="rId46" name="OptionButton5">
          <controlPr locked="0" defaultSize="0" autoLine="0" linkedCell="AO96" r:id="rId47">
            <anchor moveWithCells="1">
              <from>
                <xdr:col>9</xdr:col>
                <xdr:colOff>361950</xdr:colOff>
                <xdr:row>60</xdr:row>
                <xdr:rowOff>133350</xdr:rowOff>
              </from>
              <to>
                <xdr:col>11</xdr:col>
                <xdr:colOff>200025</xdr:colOff>
                <xdr:row>61</xdr:row>
                <xdr:rowOff>133350</xdr:rowOff>
              </to>
            </anchor>
          </controlPr>
        </control>
      </mc:Choice>
      <mc:Fallback>
        <control shapeId="185632" r:id="rId46" name="OptionButton5"/>
      </mc:Fallback>
    </mc:AlternateContent>
    <mc:AlternateContent xmlns:mc="http://schemas.openxmlformats.org/markup-compatibility/2006">
      <mc:Choice Requires="x14">
        <control shapeId="185633" r:id="rId48" name="OptionButton6">
          <controlPr locked="0" defaultSize="0" autoLine="0" linkedCell="AO97" r:id="rId49">
            <anchor moveWithCells="1">
              <from>
                <xdr:col>12</xdr:col>
                <xdr:colOff>0</xdr:colOff>
                <xdr:row>60</xdr:row>
                <xdr:rowOff>133350</xdr:rowOff>
              </from>
              <to>
                <xdr:col>12</xdr:col>
                <xdr:colOff>438150</xdr:colOff>
                <xdr:row>61</xdr:row>
                <xdr:rowOff>133350</xdr:rowOff>
              </to>
            </anchor>
          </controlPr>
        </control>
      </mc:Choice>
      <mc:Fallback>
        <control shapeId="185633" r:id="rId48" name="OptionButton6"/>
      </mc:Fallback>
    </mc:AlternateContent>
    <mc:AlternateContent xmlns:mc="http://schemas.openxmlformats.org/markup-compatibility/2006">
      <mc:Choice Requires="x14">
        <control shapeId="185634" r:id="rId50" name="CommandButton21">
          <controlPr locked="0" defaultSize="0" autoLine="0" r:id="rId51">
            <anchor moveWithCells="1">
              <from>
                <xdr:col>8</xdr:col>
                <xdr:colOff>9525</xdr:colOff>
                <xdr:row>61</xdr:row>
                <xdr:rowOff>133350</xdr:rowOff>
              </from>
              <to>
                <xdr:col>10</xdr:col>
                <xdr:colOff>19050</xdr:colOff>
                <xdr:row>63</xdr:row>
                <xdr:rowOff>28575</xdr:rowOff>
              </to>
            </anchor>
          </controlPr>
        </control>
      </mc:Choice>
      <mc:Fallback>
        <control shapeId="185634" r:id="rId50" name="CommandButton21"/>
      </mc:Fallback>
    </mc:AlternateContent>
    <mc:AlternateContent xmlns:mc="http://schemas.openxmlformats.org/markup-compatibility/2006">
      <mc:Choice Requires="x14">
        <control shapeId="185635" r:id="rId52" name="CommandButton22">
          <controlPr locked="0" defaultSize="0" autoLine="0" r:id="rId53">
            <anchor moveWithCells="1">
              <from>
                <xdr:col>11</xdr:col>
                <xdr:colOff>0</xdr:colOff>
                <xdr:row>61</xdr:row>
                <xdr:rowOff>133350</xdr:rowOff>
              </from>
              <to>
                <xdr:col>13</xdr:col>
                <xdr:colOff>9525</xdr:colOff>
                <xdr:row>63</xdr:row>
                <xdr:rowOff>28575</xdr:rowOff>
              </to>
            </anchor>
          </controlPr>
        </control>
      </mc:Choice>
      <mc:Fallback>
        <control shapeId="185635" r:id="rId52" name="CommandButton2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BI175"/>
  <sheetViews>
    <sheetView workbookViewId="0">
      <selection activeCell="E13" sqref="E13"/>
    </sheetView>
  </sheetViews>
  <sheetFormatPr defaultRowHeight="12.75"/>
  <cols>
    <col min="1" max="1" width="9.42578125" customWidth="1"/>
    <col min="2" max="2" width="6" customWidth="1"/>
    <col min="3" max="3" width="7.7109375" customWidth="1"/>
    <col min="4" max="4" width="6.7109375" customWidth="1"/>
    <col min="5" max="5" width="7.7109375" customWidth="1"/>
    <col min="6" max="6" width="5.85546875" customWidth="1"/>
    <col min="7" max="7" width="8.5703125" customWidth="1"/>
    <col min="8" max="8" width="5.85546875" customWidth="1"/>
    <col min="9" max="9" width="7.7109375" customWidth="1"/>
    <col min="10" max="10" width="5.85546875" customWidth="1"/>
    <col min="11" max="11" width="7.7109375" customWidth="1"/>
    <col min="12" max="12" width="5.85546875" style="22" customWidth="1"/>
    <col min="13" max="13" width="7.7109375" style="22" customWidth="1"/>
    <col min="14" max="14" width="6" style="22" customWidth="1"/>
    <col min="15" max="15" width="7.5703125" style="22" customWidth="1"/>
    <col min="16" max="16" width="5.85546875" style="22" customWidth="1"/>
    <col min="17" max="17" width="7.7109375" style="22" customWidth="1"/>
    <col min="18" max="18" width="6.140625" style="22" customWidth="1"/>
    <col min="19" max="19" width="7.7109375" style="22" customWidth="1"/>
    <col min="20" max="20" width="5.85546875" style="22" customWidth="1"/>
    <col min="21" max="21" width="7.7109375" style="22" customWidth="1"/>
    <col min="22" max="22" width="6.85546875" customWidth="1"/>
    <col min="23" max="23" width="7.7109375" customWidth="1"/>
    <col min="24" max="24" width="6.7109375" customWidth="1"/>
    <col min="25" max="25" width="7.7109375" customWidth="1"/>
    <col min="26" max="26" width="5.85546875" customWidth="1"/>
    <col min="27" max="39" width="9.140625" hidden="1" customWidth="1"/>
    <col min="40" max="40" width="0" hidden="1" customWidth="1"/>
  </cols>
  <sheetData>
    <row r="1" spans="1:34">
      <c r="A1" s="727" t="str">
        <f>IF(AB6=TRUE,"Outlet:","Outlet 1:")</f>
        <v>Outlet:</v>
      </c>
      <c r="B1" s="728" t="str">
        <f>Feeder</f>
        <v>Dunstown</v>
      </c>
      <c r="C1" s="729"/>
      <c r="D1" s="730"/>
      <c r="E1" s="741" t="str">
        <f>IF(AB6=TRUE,"","Outlet 2:")</f>
        <v/>
      </c>
      <c r="F1" s="742" t="s">
        <v>848</v>
      </c>
      <c r="G1" s="743"/>
      <c r="H1" s="743"/>
      <c r="I1" s="731"/>
      <c r="J1" s="732"/>
      <c r="K1" s="732"/>
      <c r="L1" s="732"/>
      <c r="M1" s="732"/>
      <c r="N1" s="733"/>
      <c r="O1" s="733"/>
      <c r="P1" s="733"/>
      <c r="Q1" s="733"/>
      <c r="R1" s="734"/>
      <c r="S1" s="734"/>
      <c r="T1" s="734"/>
      <c r="U1" s="734"/>
      <c r="V1" s="734"/>
      <c r="W1" s="734"/>
      <c r="X1" s="734"/>
      <c r="Y1" s="735"/>
      <c r="Z1" s="734"/>
      <c r="AA1" s="449" t="s">
        <v>845</v>
      </c>
      <c r="AB1" s="736">
        <v>25</v>
      </c>
      <c r="AC1" s="673" t="s">
        <v>846</v>
      </c>
      <c r="AD1" s="737" t="b">
        <v>0</v>
      </c>
      <c r="AE1" s="738" t="s">
        <v>847</v>
      </c>
      <c r="AF1" s="739" t="b">
        <v>1</v>
      </c>
      <c r="AG1" s="740"/>
    </row>
    <row r="2" spans="1:34">
      <c r="A2" s="731"/>
      <c r="B2" s="731"/>
      <c r="C2" s="731"/>
      <c r="D2" s="731"/>
      <c r="E2" s="732"/>
      <c r="F2" s="732"/>
      <c r="G2" s="732"/>
      <c r="H2" s="732"/>
      <c r="I2" s="731"/>
      <c r="J2" s="732"/>
      <c r="K2" s="732"/>
      <c r="L2" s="732"/>
      <c r="M2" s="732"/>
      <c r="N2" s="733"/>
      <c r="O2" s="733"/>
      <c r="P2" s="733"/>
      <c r="Q2" s="733"/>
      <c r="R2" s="734"/>
      <c r="S2" s="734"/>
      <c r="T2" s="734"/>
      <c r="U2" s="734"/>
      <c r="V2" s="734"/>
      <c r="W2" s="734"/>
      <c r="X2" s="734"/>
      <c r="Y2" s="734"/>
      <c r="Z2" s="734"/>
      <c r="AA2" s="26" t="s">
        <v>849</v>
      </c>
      <c r="AB2" s="24"/>
      <c r="AC2" s="57"/>
      <c r="AD2" s="737" t="str">
        <f>IF(OR(AND(Settings!$AB$35&gt;0,$AD$1=FALSE),AND(Settings!$AB$35=0,$AD$1=TRUE)),"Warning","OK")</f>
        <v>Warning</v>
      </c>
      <c r="AE2" s="744" t="s">
        <v>850</v>
      </c>
      <c r="AF2" s="641"/>
    </row>
    <row r="3" spans="1:34">
      <c r="A3" s="731"/>
      <c r="B3" s="852" t="s">
        <v>851</v>
      </c>
      <c r="C3" s="853">
        <f>Settings!G9</f>
        <v>1800</v>
      </c>
      <c r="D3" s="854"/>
      <c r="E3" s="854"/>
      <c r="F3" s="852" t="s">
        <v>852</v>
      </c>
      <c r="G3" s="855">
        <f>Settings!G7</f>
        <v>220</v>
      </c>
      <c r="H3" s="731"/>
      <c r="I3" s="731"/>
      <c r="J3" s="732"/>
      <c r="K3" s="732"/>
      <c r="L3" s="732"/>
      <c r="M3" s="732"/>
      <c r="N3" s="733"/>
      <c r="O3" s="733"/>
      <c r="P3" s="733"/>
      <c r="Q3" s="733"/>
      <c r="R3" s="734"/>
      <c r="S3" s="734"/>
      <c r="T3" s="734"/>
      <c r="U3" s="734"/>
      <c r="V3" s="759"/>
      <c r="W3" s="759"/>
      <c r="X3" s="759"/>
      <c r="Y3" s="734"/>
      <c r="Z3" s="734"/>
      <c r="AB3" s="746"/>
      <c r="AE3" s="57" t="s">
        <v>853</v>
      </c>
      <c r="AF3" s="641"/>
    </row>
    <row r="4" spans="1:34">
      <c r="A4" s="731"/>
      <c r="B4" s="852" t="s">
        <v>854</v>
      </c>
      <c r="C4" s="853">
        <f>In</f>
        <v>5</v>
      </c>
      <c r="D4" s="854"/>
      <c r="E4" s="854"/>
      <c r="F4" s="852" t="s">
        <v>855</v>
      </c>
      <c r="G4" s="855">
        <f>Settings!G8</f>
        <v>100</v>
      </c>
      <c r="H4" s="731"/>
      <c r="I4" s="731"/>
      <c r="J4" s="732"/>
      <c r="K4" s="732"/>
      <c r="L4" s="732"/>
      <c r="M4" s="732"/>
      <c r="N4" s="733"/>
      <c r="O4" s="734"/>
      <c r="P4" s="734"/>
      <c r="Q4" s="733"/>
      <c r="R4" s="734"/>
      <c r="S4" s="747"/>
      <c r="T4" s="747"/>
      <c r="U4" s="734"/>
      <c r="V4" s="759"/>
      <c r="W4" s="759"/>
      <c r="X4" s="759"/>
      <c r="Y4" s="731"/>
      <c r="Z4" s="731"/>
      <c r="AB4" s="746"/>
      <c r="AC4" s="449" t="s">
        <v>856</v>
      </c>
      <c r="AD4" s="707" t="b">
        <f>IF(Settings!C8="Busbar",TRUE,FALSE)</f>
        <v>1</v>
      </c>
      <c r="AE4" s="57" t="s">
        <v>857</v>
      </c>
      <c r="AF4" s="641"/>
    </row>
    <row r="5" spans="1:34">
      <c r="A5" s="731"/>
      <c r="B5" s="759"/>
      <c r="C5" s="759"/>
      <c r="D5" s="759"/>
      <c r="E5" s="731"/>
      <c r="F5" s="731"/>
      <c r="G5" s="731"/>
      <c r="H5" s="731"/>
      <c r="I5" s="731"/>
      <c r="J5" s="731"/>
      <c r="K5" s="733"/>
      <c r="L5" s="733"/>
      <c r="M5" s="732"/>
      <c r="N5" s="733"/>
      <c r="O5" s="733"/>
      <c r="P5" s="733"/>
      <c r="Q5" s="733"/>
      <c r="R5" s="734"/>
      <c r="S5" s="734"/>
      <c r="T5" s="734"/>
      <c r="U5" s="733"/>
      <c r="V5" s="759"/>
      <c r="W5" s="759"/>
      <c r="X5" s="759"/>
      <c r="Y5" s="731"/>
      <c r="Z5" s="731"/>
      <c r="AB5" s="746"/>
      <c r="AC5" s="516" t="s">
        <v>971</v>
      </c>
      <c r="AD5" s="1003">
        <f>IF(Starpoint=TRUE,0,180)</f>
        <v>0</v>
      </c>
      <c r="AE5" s="57" t="s">
        <v>858</v>
      </c>
      <c r="AF5" s="641"/>
    </row>
    <row r="6" spans="1:34">
      <c r="A6" s="1203" t="s">
        <v>859</v>
      </c>
      <c r="B6" s="1203"/>
      <c r="C6" s="748" t="str">
        <f>"@ "&amp;Outlet</f>
        <v>@ Dunstown</v>
      </c>
      <c r="D6" s="748" t="str">
        <f>IF($AB$6=TRUE,"","@ "&amp;Outlet_2)</f>
        <v/>
      </c>
      <c r="E6" s="759"/>
      <c r="F6" s="759"/>
      <c r="G6" s="1202" t="str">
        <f>"At "&amp;Outlet</f>
        <v>At Dunstown</v>
      </c>
      <c r="H6" s="1202"/>
      <c r="I6" s="749" t="str">
        <f>IF($AB$6=TRUE,"","At "&amp;Outlet_2)</f>
        <v/>
      </c>
      <c r="J6" s="749"/>
      <c r="K6" s="759"/>
      <c r="L6" s="734"/>
      <c r="M6" s="734"/>
      <c r="N6" s="734"/>
      <c r="O6" s="733"/>
      <c r="P6" s="733"/>
      <c r="Q6" s="733"/>
      <c r="R6" s="734"/>
      <c r="S6" s="734"/>
      <c r="T6" s="734"/>
      <c r="U6" s="733"/>
      <c r="V6" s="759"/>
      <c r="W6" s="759"/>
      <c r="X6" s="759"/>
      <c r="Y6" s="731"/>
      <c r="Z6" s="750"/>
      <c r="AA6" s="751" t="s">
        <v>860</v>
      </c>
      <c r="AB6" s="752" t="b">
        <v>1</v>
      </c>
      <c r="AE6" s="707" t="s">
        <v>858</v>
      </c>
      <c r="AF6" s="707">
        <v>80</v>
      </c>
      <c r="AG6" s="707">
        <v>2</v>
      </c>
    </row>
    <row r="7" spans="1:34" ht="13.5" thickBot="1">
      <c r="A7" s="860" t="str">
        <f>RIGHT(Settings!B38,9)</f>
        <v>F&gt; PU [A]</v>
      </c>
      <c r="B7" s="860">
        <f>DIFI_1*In</f>
        <v>1</v>
      </c>
      <c r="C7" s="861">
        <f>$AB$16*DIFI_1</f>
        <v>0.36000000000000004</v>
      </c>
      <c r="D7" s="753">
        <f>$AB$17*DIFI_1</f>
        <v>7.2000000000000008E-2</v>
      </c>
      <c r="E7" s="759"/>
      <c r="F7" s="759"/>
      <c r="G7" s="754" t="s">
        <v>861</v>
      </c>
      <c r="H7" s="755">
        <v>1000</v>
      </c>
      <c r="I7" s="756" t="s">
        <v>861</v>
      </c>
      <c r="J7" s="757">
        <v>1000</v>
      </c>
      <c r="K7" s="759"/>
      <c r="L7" s="734"/>
      <c r="M7" s="734"/>
      <c r="N7" s="734"/>
      <c r="O7" s="733"/>
      <c r="P7" s="733"/>
      <c r="Q7" s="733"/>
      <c r="R7" s="734"/>
      <c r="S7" s="734"/>
      <c r="T7" s="734"/>
      <c r="U7" s="733"/>
      <c r="V7" s="759"/>
      <c r="W7" s="759"/>
      <c r="X7" s="759"/>
      <c r="Y7" s="731"/>
      <c r="Z7" s="733"/>
      <c r="AA7" s="758" t="s">
        <v>862</v>
      </c>
      <c r="AB7" s="24"/>
      <c r="AE7" s="707" t="s">
        <v>863</v>
      </c>
      <c r="AF7" s="707">
        <v>120</v>
      </c>
      <c r="AG7" s="707">
        <v>1</v>
      </c>
    </row>
    <row r="8" spans="1:34">
      <c r="A8" s="860" t="str">
        <f>RIGHT(Settings!J38,10)</f>
        <v>FF&gt;&gt; PU[A]</v>
      </c>
      <c r="B8" s="861">
        <f>DIFI_2</f>
        <v>6.8</v>
      </c>
      <c r="C8" s="861">
        <f>$AB$16*DIFI_2</f>
        <v>12.24</v>
      </c>
      <c r="D8" s="753">
        <f>$AB$17*DIFI_2</f>
        <v>2.4480000000000004</v>
      </c>
      <c r="E8" s="759"/>
      <c r="F8" s="759"/>
      <c r="G8" s="754" t="s">
        <v>854</v>
      </c>
      <c r="H8" s="755">
        <v>5</v>
      </c>
      <c r="I8" s="756" t="s">
        <v>854</v>
      </c>
      <c r="J8" s="757">
        <v>1</v>
      </c>
      <c r="K8" s="759"/>
      <c r="L8" s="734"/>
      <c r="M8" s="734"/>
      <c r="N8" s="734"/>
      <c r="O8" s="1217" t="s">
        <v>864</v>
      </c>
      <c r="P8" s="1218"/>
      <c r="Q8" s="1218"/>
      <c r="R8" s="1219"/>
      <c r="S8" s="734"/>
      <c r="T8" s="734"/>
      <c r="U8" s="733"/>
      <c r="V8" s="759"/>
      <c r="W8" s="759"/>
      <c r="X8" s="759"/>
      <c r="Y8" s="759"/>
      <c r="Z8" s="733"/>
      <c r="AA8" s="48" t="s">
        <v>865</v>
      </c>
      <c r="AB8" s="24"/>
      <c r="AE8" s="707" t="s">
        <v>853</v>
      </c>
      <c r="AF8" s="707">
        <v>0.14000000000000001</v>
      </c>
      <c r="AG8" s="707">
        <v>0.02</v>
      </c>
    </row>
    <row r="9" spans="1:34">
      <c r="A9" s="860" t="s">
        <v>936</v>
      </c>
      <c r="B9" s="912">
        <f>Settings!K7</f>
        <v>500</v>
      </c>
      <c r="C9" s="912">
        <f>B9</f>
        <v>500</v>
      </c>
      <c r="D9" s="913">
        <f>B9</f>
        <v>500</v>
      </c>
      <c r="E9" s="745"/>
      <c r="F9" s="760"/>
      <c r="G9" s="760"/>
      <c r="H9" s="760"/>
      <c r="I9" s="761"/>
      <c r="J9" s="743"/>
      <c r="K9" s="743"/>
      <c r="L9" s="743"/>
      <c r="M9" s="732"/>
      <c r="N9" s="733"/>
      <c r="O9" s="762"/>
      <c r="P9" s="763"/>
      <c r="Q9" s="764"/>
      <c r="R9" s="765"/>
      <c r="S9" s="734"/>
      <c r="T9" s="734"/>
      <c r="U9" s="733"/>
      <c r="V9" s="759"/>
      <c r="W9" s="759"/>
      <c r="X9" s="759"/>
      <c r="Y9" s="759"/>
      <c r="Z9" s="733"/>
      <c r="AA9" s="766" t="s">
        <v>862</v>
      </c>
      <c r="AB9" s="440">
        <f>IF(AA9="Varying",180,0)+IF(Starpoint=TRUE,0,-180)</f>
        <v>180</v>
      </c>
      <c r="AE9" s="707" t="s">
        <v>857</v>
      </c>
      <c r="AF9" s="707">
        <v>13.5</v>
      </c>
      <c r="AG9" s="707">
        <v>1</v>
      </c>
    </row>
    <row r="10" spans="1:34">
      <c r="A10" s="962" t="str">
        <f>Settings!D10</f>
        <v>[0251] k_alf/k_alf nominal</v>
      </c>
      <c r="B10" s="971">
        <f>Settings!E10</f>
        <v>1.5</v>
      </c>
      <c r="C10" s="962">
        <v>1.5</v>
      </c>
      <c r="D10" s="759"/>
      <c r="E10" s="745"/>
      <c r="F10" s="745"/>
      <c r="G10" s="759"/>
      <c r="H10" s="759"/>
      <c r="I10" s="761"/>
      <c r="J10" s="743"/>
      <c r="K10" s="743"/>
      <c r="L10" s="743"/>
      <c r="M10" s="732"/>
      <c r="N10" s="733"/>
      <c r="O10" s="767"/>
      <c r="P10" s="768"/>
      <c r="Q10" s="768"/>
      <c r="R10" s="769"/>
      <c r="S10" s="734"/>
      <c r="T10" s="734"/>
      <c r="U10" s="733"/>
      <c r="V10" s="759"/>
      <c r="W10" s="759"/>
      <c r="X10" s="759"/>
      <c r="Y10" s="759"/>
      <c r="Z10" s="733"/>
      <c r="AA10" s="24" t="s">
        <v>868</v>
      </c>
      <c r="AB10" s="440">
        <v>3</v>
      </c>
      <c r="AE10" s="770" t="s">
        <v>88</v>
      </c>
      <c r="AF10" s="770" t="s">
        <v>869</v>
      </c>
      <c r="AG10" s="770" t="s">
        <v>492</v>
      </c>
    </row>
    <row r="11" spans="1:34">
      <c r="A11" s="972" t="str">
        <f>Settings!H10</f>
        <v>[0253] CT Error at k_alf/k_alf nominal</v>
      </c>
      <c r="B11" s="973">
        <f>Settings!I10</f>
        <v>0.02</v>
      </c>
      <c r="C11" s="963">
        <v>0.02</v>
      </c>
      <c r="D11" s="771"/>
      <c r="E11" s="771"/>
      <c r="F11" s="771"/>
      <c r="G11" s="759"/>
      <c r="H11" s="759"/>
      <c r="I11" s="772"/>
      <c r="J11" s="743"/>
      <c r="K11" s="733"/>
      <c r="L11" s="733"/>
      <c r="M11" s="733"/>
      <c r="N11" s="733"/>
      <c r="O11" s="767"/>
      <c r="P11" s="773"/>
      <c r="Q11" s="773"/>
      <c r="R11" s="774"/>
      <c r="S11" s="733"/>
      <c r="T11" s="733"/>
      <c r="U11" s="733"/>
      <c r="V11" s="759"/>
      <c r="W11" s="759"/>
      <c r="X11" s="759"/>
      <c r="Y11" s="759"/>
      <c r="Z11" s="733"/>
      <c r="AA11" s="22"/>
      <c r="AB11" s="22"/>
      <c r="AE11" s="775" t="s">
        <v>853</v>
      </c>
      <c r="AF11" s="776">
        <f>VLOOKUP($AE11,$AE6:$AG9,2)</f>
        <v>0.14000000000000001</v>
      </c>
      <c r="AG11" s="776">
        <f>VLOOKUP($AE11,$AE6:$AG9,3)</f>
        <v>0.02</v>
      </c>
      <c r="AH11" s="526"/>
    </row>
    <row r="12" spans="1:34">
      <c r="A12" s="972" t="str">
        <f>Settings!L10</f>
        <v>[0254] CT Error at k_alf nominal</v>
      </c>
      <c r="B12" s="973">
        <f>Settings!M10</f>
        <v>0.1</v>
      </c>
      <c r="C12" s="963">
        <v>0.1</v>
      </c>
      <c r="D12" s="777"/>
      <c r="E12" s="896"/>
      <c r="F12" s="778"/>
      <c r="G12" s="777"/>
      <c r="H12" s="777"/>
      <c r="I12" s="772"/>
      <c r="J12" s="743"/>
      <c r="K12" s="743"/>
      <c r="L12" s="743"/>
      <c r="M12" s="743"/>
      <c r="N12" s="733"/>
      <c r="O12" s="779" t="s">
        <v>871</v>
      </c>
      <c r="P12" s="780">
        <v>4</v>
      </c>
      <c r="Q12" s="781" t="s">
        <v>872</v>
      </c>
      <c r="R12" s="782">
        <v>0.5</v>
      </c>
      <c r="S12" s="733"/>
      <c r="T12" s="733"/>
      <c r="U12" s="733"/>
      <c r="V12" s="759"/>
      <c r="W12" s="759"/>
      <c r="X12" s="759"/>
      <c r="Y12" s="759"/>
      <c r="Z12" s="733"/>
      <c r="AA12" s="1212" t="s">
        <v>873</v>
      </c>
      <c r="AB12" s="1212"/>
      <c r="AC12" s="1212"/>
      <c r="AD12" s="1212"/>
      <c r="AE12" s="783" t="s">
        <v>857</v>
      </c>
      <c r="AF12" s="783">
        <f>VLOOKUP($AE12,$AE6:$AG9,2)</f>
        <v>13.5</v>
      </c>
      <c r="AG12" s="783">
        <f>VLOOKUP($AE12,$AE6:$AG9,3)</f>
        <v>1</v>
      </c>
    </row>
    <row r="13" spans="1:34" ht="13.5" thickBot="1">
      <c r="A13" s="907" t="str">
        <f>Settings!Y36</f>
        <v>VT Ratio</v>
      </c>
      <c r="B13" s="907">
        <f>Settings!Z36</f>
        <v>2200</v>
      </c>
      <c r="C13" s="858"/>
      <c r="D13" s="777"/>
      <c r="E13" s="897"/>
      <c r="F13" s="777"/>
      <c r="G13" s="777"/>
      <c r="H13" s="777"/>
      <c r="I13" s="772"/>
      <c r="J13" s="743"/>
      <c r="K13" s="743"/>
      <c r="L13" s="743"/>
      <c r="M13" s="743"/>
      <c r="N13" s="733"/>
      <c r="O13" s="784" t="s">
        <v>875</v>
      </c>
      <c r="P13" s="785">
        <v>2</v>
      </c>
      <c r="Q13" s="786" t="s">
        <v>876</v>
      </c>
      <c r="R13" s="787">
        <v>0.2</v>
      </c>
      <c r="S13" s="733"/>
      <c r="T13" s="733"/>
      <c r="U13" s="733"/>
      <c r="V13" s="759"/>
      <c r="W13" s="759"/>
      <c r="X13" s="759"/>
      <c r="Y13" s="759"/>
      <c r="Z13" s="733"/>
      <c r="AA13" s="788" t="str">
        <f>IF(AD15=FALSE,"E/F is switched Off. No test points have been defined in the Test Plan.",IF(AND(TEF&gt;=TOC,EF/3&gt;=OC),"Not possible to test EF due to combination of OC &amp; EF settings!",""))</f>
        <v>E/F is switched Off. No test points have been defined in the Test Plan.</v>
      </c>
      <c r="AF13" s="641"/>
    </row>
    <row r="14" spans="1:34" ht="13.5" thickBot="1">
      <c r="A14" s="859">
        <f>Settings!A43</f>
        <v>0</v>
      </c>
      <c r="B14" s="760"/>
      <c r="C14" s="789">
        <f>(C8-$AB$16*DIFI_2)/($AB$16*DIFI_2)</f>
        <v>0</v>
      </c>
      <c r="D14" s="895">
        <f>(D8-$AB$17*DIFI_2)/($AB$17*DIFI_2)</f>
        <v>0</v>
      </c>
      <c r="E14" s="760"/>
      <c r="F14" s="760"/>
      <c r="G14" s="760"/>
      <c r="H14" s="760"/>
      <c r="I14" s="772"/>
      <c r="J14" s="760"/>
      <c r="K14" s="760"/>
      <c r="L14" s="760"/>
      <c r="M14" s="760"/>
      <c r="N14" s="733"/>
      <c r="O14" s="733"/>
      <c r="P14" s="733"/>
      <c r="Q14" s="733"/>
      <c r="R14" s="733"/>
      <c r="S14" s="733"/>
      <c r="T14" s="733"/>
      <c r="U14" s="733"/>
      <c r="V14" s="733"/>
      <c r="W14" s="733"/>
      <c r="X14" s="733"/>
      <c r="Y14" s="733"/>
      <c r="Z14" s="733"/>
      <c r="AE14" s="1232" t="s">
        <v>877</v>
      </c>
      <c r="AF14" s="1233"/>
      <c r="AG14" s="1230" t="s">
        <v>878</v>
      </c>
      <c r="AH14" s="1231"/>
    </row>
    <row r="15" spans="1:34">
      <c r="A15" s="790"/>
      <c r="B15" s="790"/>
      <c r="C15" s="790"/>
      <c r="D15" s="790"/>
      <c r="E15" s="790"/>
      <c r="F15" s="790"/>
      <c r="G15" s="790"/>
      <c r="H15" s="790"/>
      <c r="I15" s="790"/>
      <c r="J15" s="790"/>
      <c r="K15" s="790"/>
      <c r="L15" s="790"/>
      <c r="M15" s="790"/>
      <c r="N15" s="790"/>
      <c r="O15" s="790"/>
      <c r="P15" s="790"/>
      <c r="Q15" s="790"/>
      <c r="R15" s="790"/>
      <c r="S15" s="790"/>
      <c r="T15" s="790"/>
      <c r="U15" s="790"/>
      <c r="V15" s="790"/>
      <c r="W15" s="790"/>
      <c r="X15" s="790"/>
      <c r="Y15" s="790"/>
      <c r="Z15" s="790"/>
      <c r="AA15" s="791" t="s">
        <v>879</v>
      </c>
      <c r="AB15" s="171" t="s">
        <v>880</v>
      </c>
      <c r="AE15" s="792" t="s">
        <v>111</v>
      </c>
      <c r="AF15" s="792" t="s">
        <v>123</v>
      </c>
      <c r="AG15" s="793" t="s">
        <v>111</v>
      </c>
      <c r="AH15" s="793" t="s">
        <v>123</v>
      </c>
    </row>
    <row r="16" spans="1:34">
      <c r="A16" s="794" t="s">
        <v>881</v>
      </c>
      <c r="B16" s="731"/>
      <c r="C16" s="731"/>
      <c r="D16" s="731"/>
      <c r="E16" s="731"/>
      <c r="F16" s="731"/>
      <c r="G16" s="731"/>
      <c r="H16" s="731"/>
      <c r="I16" s="731"/>
      <c r="J16" s="731"/>
      <c r="K16" s="731"/>
      <c r="L16" s="734"/>
      <c r="M16" s="795"/>
      <c r="N16" s="734"/>
      <c r="O16" s="734"/>
      <c r="P16" s="734"/>
      <c r="Q16" s="734"/>
      <c r="R16" s="734"/>
      <c r="S16" s="734"/>
      <c r="T16" s="734"/>
      <c r="U16" s="734"/>
      <c r="V16" s="734"/>
      <c r="W16" s="734"/>
      <c r="X16" s="734"/>
      <c r="Y16" s="734"/>
      <c r="Z16" s="734"/>
      <c r="AB16" s="796">
        <f>(C3/H7)*(H8/C4)</f>
        <v>1.8</v>
      </c>
      <c r="AD16" s="22"/>
      <c r="AE16" s="797">
        <f>MIN(30,OCI*1.15)</f>
        <v>4.5999999999999996</v>
      </c>
      <c r="AF16" s="797">
        <f>TOCI*$AF$11/((AE16/OCI)^$AG$11-1)</f>
        <v>100.03039601529154</v>
      </c>
      <c r="AG16" s="798">
        <f>MIN(30,EFI*1.15)</f>
        <v>0.57499999999999996</v>
      </c>
      <c r="AH16" s="798">
        <f>TEFI*$AF$12/((AG16/EFI)^$AG$12-1)</f>
        <v>18.000000000000011</v>
      </c>
    </row>
    <row r="17" spans="1:61">
      <c r="A17" s="731"/>
      <c r="B17" s="731"/>
      <c r="C17" s="731"/>
      <c r="D17" s="731"/>
      <c r="E17" s="799"/>
      <c r="F17" s="731"/>
      <c r="G17" s="731"/>
      <c r="H17" s="731"/>
      <c r="I17" s="731"/>
      <c r="J17" s="731"/>
      <c r="K17" s="731"/>
      <c r="L17" s="734"/>
      <c r="M17" s="734"/>
      <c r="N17" s="734"/>
      <c r="O17" s="734"/>
      <c r="P17" s="734"/>
      <c r="Q17" s="734"/>
      <c r="R17" s="734"/>
      <c r="S17" s="734"/>
      <c r="T17" s="734"/>
      <c r="U17" s="734"/>
      <c r="V17" s="734"/>
      <c r="W17" s="734"/>
      <c r="X17" s="734"/>
      <c r="Y17" s="734"/>
      <c r="Z17" s="734"/>
      <c r="AA17" s="800" t="s">
        <v>882</v>
      </c>
      <c r="AB17" s="801">
        <f>(C3/J7)*(J8/C4)</f>
        <v>0.36000000000000004</v>
      </c>
      <c r="AE17" s="797">
        <f>MIN(30,OCI*2)</f>
        <v>8</v>
      </c>
      <c r="AF17" s="797">
        <f>TOCI*$AF$11/((AE17/OCI)^$AG$11-1)</f>
        <v>20.058054040093744</v>
      </c>
      <c r="AG17" s="798">
        <f>MIN(30,EFI*2)</f>
        <v>1</v>
      </c>
      <c r="AH17" s="798">
        <f>TEFI*$AF$12/((AG17/EFI)^$AG$12-1)</f>
        <v>2.7</v>
      </c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</row>
    <row r="18" spans="1:61">
      <c r="A18" s="731"/>
      <c r="B18" s="731"/>
      <c r="C18" s="802" t="s">
        <v>883</v>
      </c>
      <c r="D18" s="803">
        <f>AB10</f>
        <v>3</v>
      </c>
      <c r="E18" s="731"/>
      <c r="F18" s="731"/>
      <c r="G18" s="731"/>
      <c r="H18" s="731"/>
      <c r="I18" s="731"/>
      <c r="J18" s="731"/>
      <c r="K18" s="731"/>
      <c r="L18" s="734"/>
      <c r="M18" s="734"/>
      <c r="N18" s="734"/>
      <c r="O18" s="734"/>
      <c r="P18" s="734"/>
      <c r="Q18" s="734"/>
      <c r="R18" s="734"/>
      <c r="S18" s="734"/>
      <c r="T18" s="734"/>
      <c r="U18" s="734"/>
      <c r="V18" s="734"/>
      <c r="W18" s="734"/>
      <c r="X18" s="734"/>
      <c r="Y18" s="734"/>
      <c r="Z18" s="734"/>
      <c r="AA18" s="804" t="s">
        <v>884</v>
      </c>
      <c r="AB18" s="22"/>
      <c r="AE18" s="797">
        <f>MIN(30,OCI*5)</f>
        <v>20</v>
      </c>
      <c r="AF18" s="797">
        <f>TOCI*$AF$11/((AE18/OCI)^$AG$11-1)</f>
        <v>8.5594401418907484</v>
      </c>
      <c r="AG18" s="798">
        <f>MIN(30,EFI*5)</f>
        <v>2.5</v>
      </c>
      <c r="AH18" s="798">
        <f>TEFI*$AF$12/((AG18/EFI)^$AG$12-1)</f>
        <v>0.67500000000000004</v>
      </c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</row>
    <row r="19" spans="1:61">
      <c r="A19" s="731"/>
      <c r="B19" s="731"/>
      <c r="C19" s="1204" t="s">
        <v>885</v>
      </c>
      <c r="D19" s="1205"/>
      <c r="E19" s="1197" t="s">
        <v>886</v>
      </c>
      <c r="F19" s="1198"/>
      <c r="G19" s="905"/>
      <c r="H19" s="906"/>
      <c r="I19" s="1197" t="str">
        <f>E19</f>
        <v>No Load</v>
      </c>
      <c r="J19" s="1198"/>
      <c r="K19" s="905"/>
      <c r="L19" s="906"/>
      <c r="M19" s="1197" t="str">
        <f>I19</f>
        <v>No Load</v>
      </c>
      <c r="N19" s="1198"/>
      <c r="O19" s="905" t="s">
        <v>950</v>
      </c>
      <c r="P19" s="906"/>
      <c r="Q19" s="1197" t="str">
        <f>M19</f>
        <v>No Load</v>
      </c>
      <c r="R19" s="1198"/>
      <c r="S19" s="905"/>
      <c r="T19" s="906"/>
      <c r="U19" s="1197" t="str">
        <f>Q19</f>
        <v>No Load</v>
      </c>
      <c r="V19" s="1198"/>
      <c r="W19" s="1215"/>
      <c r="X19" s="1216"/>
      <c r="Y19" s="734"/>
      <c r="Z19" s="734"/>
      <c r="AA19" s="804" t="s">
        <v>887</v>
      </c>
      <c r="AB19" s="22"/>
      <c r="AE19" s="797">
        <f>MIN(30,OCI*10)</f>
        <v>30</v>
      </c>
      <c r="AF19" s="797">
        <f>TOCI*$AF$11/((AE19/OCI)^$AG$11-1)</f>
        <v>6.8091654909726671</v>
      </c>
      <c r="AG19" s="798">
        <f>MIN(30,EFI*10)</f>
        <v>5</v>
      </c>
      <c r="AH19" s="798">
        <f>TEFI*$AF$12/((AG19/EFI)^$AG$12-1)</f>
        <v>0.30000000000000004</v>
      </c>
      <c r="AV19" s="22"/>
      <c r="BB19" s="22"/>
      <c r="BC19" s="22"/>
      <c r="BD19" s="22"/>
      <c r="BE19" s="22"/>
      <c r="BF19" s="22"/>
    </row>
    <row r="20" spans="1:61">
      <c r="A20" s="731"/>
      <c r="B20" s="731"/>
      <c r="C20" s="806">
        <f>O20</f>
        <v>7.875</v>
      </c>
      <c r="D20" s="807">
        <f>IF($AA$9="Fixed",CT_dir,CT_dir-180)</f>
        <v>-180</v>
      </c>
      <c r="E20" s="808">
        <v>0</v>
      </c>
      <c r="F20" s="809">
        <f>D20</f>
        <v>-180</v>
      </c>
      <c r="G20" s="810">
        <f>O20</f>
        <v>7.875</v>
      </c>
      <c r="H20" s="811">
        <f>IF($AA$9="Fixed",CT_dir,L20+VLOOKUP($AB$10,$AB$23:$AK$31,6))</f>
        <v>163.08244246089515</v>
      </c>
      <c r="I20" s="808">
        <f>E20</f>
        <v>0</v>
      </c>
      <c r="J20" s="809">
        <f>D20</f>
        <v>-180</v>
      </c>
      <c r="K20" s="810">
        <f>O20</f>
        <v>7.875</v>
      </c>
      <c r="L20" s="811">
        <f>IF($AA$9="Fixed",CT_dir,P20+VLOOKUP($AB$10,$AB$23:$AK$31,6))</f>
        <v>162.13157466462161</v>
      </c>
      <c r="M20" s="808">
        <f>I20</f>
        <v>0</v>
      </c>
      <c r="N20" s="809">
        <f>D20</f>
        <v>-180</v>
      </c>
      <c r="O20" s="810">
        <f>VLOOKUP($AB$10,$AB$23:$AK$31,7)</f>
        <v>7.875</v>
      </c>
      <c r="P20" s="811">
        <f>IF($AA$9="Fixed",CT_dir,VLOOKUP($AB$10,$AB$23:$AK$31,5)+CT_dir)</f>
        <v>161.18070686834807</v>
      </c>
      <c r="Q20" s="808">
        <f>M20</f>
        <v>0</v>
      </c>
      <c r="R20" s="809">
        <f>D20</f>
        <v>-180</v>
      </c>
      <c r="S20" s="810">
        <f>O20</f>
        <v>7.875</v>
      </c>
      <c r="T20" s="811">
        <f>IF($AA$9="Fixed",CT_dir,P20-VLOOKUP($AB$10,$AB$23:$AK$31,6))</f>
        <v>160.22983907207453</v>
      </c>
      <c r="U20" s="808">
        <f>Q20</f>
        <v>0</v>
      </c>
      <c r="V20" s="809">
        <f>D20</f>
        <v>-180</v>
      </c>
      <c r="W20" s="810">
        <f>O20</f>
        <v>7.875</v>
      </c>
      <c r="X20" s="811">
        <f>IF($AA$9="Fixed",CT_dir,T20-VLOOKUP($AB$10,$AB$23:$AK$31,6))</f>
        <v>159.27897127580098</v>
      </c>
      <c r="Y20" s="734"/>
      <c r="Z20" s="734"/>
      <c r="AV20" s="22"/>
      <c r="BB20" s="22"/>
      <c r="BC20" s="22"/>
      <c r="BD20" s="899"/>
      <c r="BE20" s="22"/>
      <c r="BF20" s="22"/>
    </row>
    <row r="21" spans="1:61">
      <c r="A21" s="731"/>
      <c r="B21" s="731"/>
      <c r="C21" s="806">
        <f>C20</f>
        <v>7.875</v>
      </c>
      <c r="D21" s="807">
        <f>D20-180</f>
        <v>-360</v>
      </c>
      <c r="E21" s="808">
        <f>E20</f>
        <v>0</v>
      </c>
      <c r="F21" s="809">
        <f>D21</f>
        <v>-360</v>
      </c>
      <c r="G21" s="810">
        <f>G20</f>
        <v>7.875</v>
      </c>
      <c r="H21" s="811">
        <f>H20-180</f>
        <v>-16.917557539104848</v>
      </c>
      <c r="I21" s="808">
        <f>I20</f>
        <v>0</v>
      </c>
      <c r="J21" s="809">
        <f>D21</f>
        <v>-360</v>
      </c>
      <c r="K21" s="810">
        <f>K20</f>
        <v>7.875</v>
      </c>
      <c r="L21" s="811">
        <f>L20-180</f>
        <v>-17.86842533537839</v>
      </c>
      <c r="M21" s="808">
        <f>M20</f>
        <v>0</v>
      </c>
      <c r="N21" s="809">
        <f>D21</f>
        <v>-360</v>
      </c>
      <c r="O21" s="810">
        <f>O20</f>
        <v>7.875</v>
      </c>
      <c r="P21" s="811">
        <f>P20-180</f>
        <v>-18.819293131651932</v>
      </c>
      <c r="Q21" s="808">
        <f>Q20</f>
        <v>0</v>
      </c>
      <c r="R21" s="809">
        <f>D21</f>
        <v>-360</v>
      </c>
      <c r="S21" s="810">
        <f>S20</f>
        <v>7.875</v>
      </c>
      <c r="T21" s="811">
        <f>T20-180</f>
        <v>-19.770160927925474</v>
      </c>
      <c r="U21" s="808">
        <f>U20</f>
        <v>0</v>
      </c>
      <c r="V21" s="809">
        <f>D21</f>
        <v>-360</v>
      </c>
      <c r="W21" s="810">
        <f>W20</f>
        <v>7.875</v>
      </c>
      <c r="X21" s="811">
        <f>X20-180</f>
        <v>-20.721028724199016</v>
      </c>
      <c r="Y21" s="734"/>
      <c r="Z21" s="734"/>
      <c r="AV21" s="22"/>
      <c r="BB21" s="22"/>
      <c r="BC21" s="22"/>
      <c r="BD21" s="899"/>
      <c r="BE21" s="22"/>
      <c r="BF21" s="22"/>
    </row>
    <row r="22" spans="1:61">
      <c r="A22" s="731"/>
      <c r="B22" s="731"/>
      <c r="C22" s="806">
        <v>0</v>
      </c>
      <c r="D22" s="807">
        <v>0</v>
      </c>
      <c r="E22" s="808">
        <v>0</v>
      </c>
      <c r="F22" s="809">
        <v>0</v>
      </c>
      <c r="G22" s="810">
        <v>0</v>
      </c>
      <c r="H22" s="811">
        <v>0</v>
      </c>
      <c r="I22" s="808">
        <v>0</v>
      </c>
      <c r="J22" s="809">
        <v>0</v>
      </c>
      <c r="K22" s="810">
        <v>0</v>
      </c>
      <c r="L22" s="811">
        <v>0</v>
      </c>
      <c r="M22" s="808">
        <v>0</v>
      </c>
      <c r="N22" s="809">
        <v>0</v>
      </c>
      <c r="O22" s="810">
        <v>0</v>
      </c>
      <c r="P22" s="811">
        <v>0</v>
      </c>
      <c r="Q22" s="808">
        <v>0</v>
      </c>
      <c r="R22" s="809">
        <v>0</v>
      </c>
      <c r="S22" s="810">
        <v>0</v>
      </c>
      <c r="T22" s="811">
        <v>0</v>
      </c>
      <c r="U22" s="808">
        <v>0</v>
      </c>
      <c r="V22" s="809">
        <v>0</v>
      </c>
      <c r="W22" s="810">
        <v>0</v>
      </c>
      <c r="X22" s="811">
        <v>0</v>
      </c>
      <c r="Y22" s="734"/>
      <c r="Z22" s="734"/>
      <c r="AB22" s="352"/>
      <c r="AC22" s="944" t="s">
        <v>894</v>
      </c>
      <c r="AD22" s="944" t="s">
        <v>895</v>
      </c>
      <c r="AE22" s="1196" t="s">
        <v>71</v>
      </c>
      <c r="AF22" s="1196"/>
      <c r="AG22" s="945" t="s">
        <v>942</v>
      </c>
      <c r="AH22" s="945" t="s">
        <v>944</v>
      </c>
      <c r="AI22" s="945" t="s">
        <v>941</v>
      </c>
      <c r="AJ22" s="952">
        <v>1.1000000000000001</v>
      </c>
      <c r="AK22" s="945" t="s">
        <v>943</v>
      </c>
      <c r="AL22" s="965" t="s">
        <v>949</v>
      </c>
      <c r="AM22" s="824" t="s">
        <v>893</v>
      </c>
      <c r="BB22" s="22"/>
      <c r="BD22" s="22"/>
      <c r="BE22" s="22"/>
      <c r="BF22" s="22"/>
    </row>
    <row r="23" spans="1:61">
      <c r="A23" s="731"/>
      <c r="B23" s="731"/>
      <c r="C23" s="731"/>
      <c r="D23" s="731"/>
      <c r="E23" s="731"/>
      <c r="F23" s="731"/>
      <c r="G23" s="731"/>
      <c r="H23" s="731"/>
      <c r="I23" s="731"/>
      <c r="J23" s="731"/>
      <c r="K23" s="731"/>
      <c r="L23" s="734"/>
      <c r="M23" s="734"/>
      <c r="N23" s="731"/>
      <c r="O23" s="731"/>
      <c r="P23" s="731"/>
      <c r="Q23" s="731"/>
      <c r="R23" s="731"/>
      <c r="S23" s="731"/>
      <c r="T23" s="731"/>
      <c r="U23" s="731"/>
      <c r="V23" s="731"/>
      <c r="W23" s="731"/>
      <c r="X23" s="731"/>
      <c r="Y23" s="734"/>
      <c r="Z23" s="734"/>
      <c r="AB23" s="944">
        <v>0</v>
      </c>
      <c r="AC23" s="948">
        <f>Characteristic!C715</f>
        <v>1.02</v>
      </c>
      <c r="AD23" s="948">
        <v>0</v>
      </c>
      <c r="AE23" s="949" t="e">
        <f t="shared" ref="AE23:AE30" si="0">180-DEGREES(ACOS((AC23^2+AD23^2-AI23^2)/(2*AC23*AD23)))</f>
        <v>#DIV/0!</v>
      </c>
      <c r="AF23" s="949" t="e">
        <f>IF($AA$9="Fixed",0,AE23)</f>
        <v>#DIV/0!</v>
      </c>
      <c r="AG23" s="949" t="e">
        <f t="shared" ref="AG23:AG30" si="1">(AE23-AK23)/2</f>
        <v>#DIV/0!</v>
      </c>
      <c r="AH23" s="964">
        <f>ROUND(AL23,AM23)</f>
        <v>0</v>
      </c>
      <c r="AI23" s="950">
        <f>DIFI_1+AC23*CTerr_1+AD23*CTerr_1r</f>
        <v>0.22040000000000001</v>
      </c>
      <c r="AJ23" s="950">
        <f>AI23*$AJ$22</f>
        <v>0.24244000000000004</v>
      </c>
      <c r="AK23" s="951" t="e">
        <f t="shared" ref="AK23:AK30" si="2">180-DEGREES(ACOS((AC23^2+AD23^2-AJ23^2)/(2*AC23*AD23)))</f>
        <v>#DIV/0!</v>
      </c>
      <c r="AL23" s="609">
        <f t="shared" ref="AL23:AL30" si="3">IF($AA$9="Fixed",AC23,AD23)*In</f>
        <v>0</v>
      </c>
      <c r="AM23" s="681">
        <f>IF(AL23&gt;15,2,3)</f>
        <v>3</v>
      </c>
      <c r="AR23" s="22"/>
      <c r="AS23" s="22"/>
      <c r="BB23" s="22"/>
      <c r="BD23" s="22"/>
      <c r="BE23" s="22"/>
      <c r="BF23" s="22"/>
    </row>
    <row r="24" spans="1:61">
      <c r="A24" s="731"/>
      <c r="B24" s="731"/>
      <c r="C24" s="1204" t="s">
        <v>885</v>
      </c>
      <c r="D24" s="1205"/>
      <c r="E24" s="1199" t="s">
        <v>886</v>
      </c>
      <c r="F24" s="1200"/>
      <c r="G24" s="1201"/>
      <c r="H24" s="1201"/>
      <c r="I24" s="1199" t="s">
        <v>886</v>
      </c>
      <c r="J24" s="1200"/>
      <c r="K24" s="1201"/>
      <c r="L24" s="1201"/>
      <c r="M24" s="1199" t="s">
        <v>886</v>
      </c>
      <c r="N24" s="1200"/>
      <c r="O24" s="1201"/>
      <c r="P24" s="1201"/>
      <c r="Q24" s="1199" t="s">
        <v>886</v>
      </c>
      <c r="R24" s="1200"/>
      <c r="S24" s="1201"/>
      <c r="T24" s="1201"/>
      <c r="U24" s="1199" t="s">
        <v>886</v>
      </c>
      <c r="V24" s="1200"/>
      <c r="W24" s="1220"/>
      <c r="X24" s="1221"/>
      <c r="Y24" s="734"/>
      <c r="Z24" s="734"/>
      <c r="AB24" s="944">
        <v>1</v>
      </c>
      <c r="AC24" s="943">
        <f>CTerr_Thres*0.9</f>
        <v>1.35</v>
      </c>
      <c r="AD24" s="943">
        <f>C10*0.9</f>
        <v>1.35</v>
      </c>
      <c r="AE24" s="525">
        <f t="shared" si="0"/>
        <v>169.20394101237585</v>
      </c>
      <c r="AF24" s="525">
        <f t="shared" ref="AF24:AF30" si="4">IF($AA$9="Fixed",0,AE24)</f>
        <v>169.20394101237585</v>
      </c>
      <c r="AG24" s="525">
        <f t="shared" si="1"/>
        <v>0.81268050237392231</v>
      </c>
      <c r="AH24" s="524">
        <f t="shared" ref="AH24:AH30" si="5">ROUND(AL24,AM24)</f>
        <v>6.75</v>
      </c>
      <c r="AI24" s="946">
        <f>DIFI_1+AC24*CTerr_1+AD24*CTerr_1r</f>
        <v>0.254</v>
      </c>
      <c r="AJ24" s="953">
        <f>AI24*($AJ$22+0.05)</f>
        <v>0.29210000000000003</v>
      </c>
      <c r="AK24" s="947">
        <f t="shared" si="2"/>
        <v>167.57858000762801</v>
      </c>
      <c r="AL24" s="609">
        <f t="shared" si="3"/>
        <v>6.75</v>
      </c>
      <c r="AM24" s="681">
        <f>IF(AL24&gt;15,2,3)</f>
        <v>3</v>
      </c>
      <c r="AU24" s="22"/>
      <c r="AV24" s="22"/>
      <c r="AW24" s="22"/>
      <c r="AX24" s="22"/>
      <c r="AY24" s="22"/>
      <c r="AZ24" s="22"/>
      <c r="BB24" s="22"/>
      <c r="BC24" s="22"/>
      <c r="BD24" s="22"/>
      <c r="BE24" s="22"/>
      <c r="BF24" s="22"/>
      <c r="BG24" s="22"/>
    </row>
    <row r="25" spans="1:61">
      <c r="A25" s="731"/>
      <c r="B25" s="731"/>
      <c r="C25" s="812">
        <f>C20</f>
        <v>7.875</v>
      </c>
      <c r="D25" s="813">
        <f>D20</f>
        <v>-180</v>
      </c>
      <c r="E25" s="808">
        <v>0</v>
      </c>
      <c r="F25" s="809">
        <f>D25</f>
        <v>-180</v>
      </c>
      <c r="G25" s="812">
        <f>C25</f>
        <v>7.875</v>
      </c>
      <c r="H25" s="813">
        <f>H20</f>
        <v>163.08244246089515</v>
      </c>
      <c r="I25" s="808">
        <v>0</v>
      </c>
      <c r="J25" s="809">
        <f>H25</f>
        <v>163.08244246089515</v>
      </c>
      <c r="K25" s="812">
        <f>G25</f>
        <v>7.875</v>
      </c>
      <c r="L25" s="813">
        <f>L20</f>
        <v>162.13157466462161</v>
      </c>
      <c r="M25" s="808">
        <v>0</v>
      </c>
      <c r="N25" s="809">
        <f>H25</f>
        <v>163.08244246089515</v>
      </c>
      <c r="O25" s="812">
        <f>K25</f>
        <v>7.875</v>
      </c>
      <c r="P25" s="813">
        <f>P20</f>
        <v>161.18070686834807</v>
      </c>
      <c r="Q25" s="808">
        <v>0</v>
      </c>
      <c r="R25" s="809">
        <f>H25</f>
        <v>163.08244246089515</v>
      </c>
      <c r="S25" s="812">
        <f>O25</f>
        <v>7.875</v>
      </c>
      <c r="T25" s="813">
        <f>T20</f>
        <v>160.22983907207453</v>
      </c>
      <c r="U25" s="808">
        <v>0</v>
      </c>
      <c r="V25" s="809">
        <f>H25</f>
        <v>163.08244246089515</v>
      </c>
      <c r="W25" s="812">
        <f>S25</f>
        <v>7.875</v>
      </c>
      <c r="X25" s="813">
        <f>X20</f>
        <v>159.27897127580098</v>
      </c>
      <c r="Y25" s="734"/>
      <c r="Z25" s="734"/>
      <c r="AB25" s="945">
        <v>2</v>
      </c>
      <c r="AC25" s="943">
        <f>CTerr_Thres*1.05</f>
        <v>1.5750000000000002</v>
      </c>
      <c r="AD25" s="943">
        <f>AD24</f>
        <v>1.35</v>
      </c>
      <c r="AE25" s="525">
        <f t="shared" si="0"/>
        <v>167.7252257181585</v>
      </c>
      <c r="AF25" s="525">
        <f>IF($AA$9="Fixed",0,AE25)</f>
        <v>167.7252257181585</v>
      </c>
      <c r="AG25" s="525">
        <f t="shared" si="1"/>
        <v>0.91655090045836118</v>
      </c>
      <c r="AH25" s="524">
        <f t="shared" si="5"/>
        <v>6.75</v>
      </c>
      <c r="AI25" s="946">
        <f>DIFI_1+AC25*CTerr_2+AD25*CTerr_1r</f>
        <v>0.38450000000000006</v>
      </c>
      <c r="AJ25" s="946">
        <f t="shared" ref="AJ25:AJ30" si="6">AI25*$AJ$22</f>
        <v>0.4229500000000001</v>
      </c>
      <c r="AK25" s="947">
        <f t="shared" si="2"/>
        <v>165.89212391724178</v>
      </c>
      <c r="AL25" s="609">
        <f t="shared" si="3"/>
        <v>6.75</v>
      </c>
      <c r="AM25" s="681">
        <f t="shared" ref="AM25:AM30" si="7">IF(AL25&gt;15,2,3)</f>
        <v>3</v>
      </c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>
      <c r="A26" s="731"/>
      <c r="B26" s="731"/>
      <c r="C26" s="812">
        <v>0</v>
      </c>
      <c r="D26" s="813">
        <f t="shared" ref="D26:L27" si="8">D25</f>
        <v>-180</v>
      </c>
      <c r="E26" s="808">
        <f t="shared" si="8"/>
        <v>0</v>
      </c>
      <c r="F26" s="809">
        <f t="shared" si="8"/>
        <v>-180</v>
      </c>
      <c r="G26" s="812">
        <v>0</v>
      </c>
      <c r="H26" s="813">
        <f t="shared" si="8"/>
        <v>163.08244246089515</v>
      </c>
      <c r="I26" s="808">
        <f t="shared" si="8"/>
        <v>0</v>
      </c>
      <c r="J26" s="809">
        <f t="shared" si="8"/>
        <v>163.08244246089515</v>
      </c>
      <c r="K26" s="812">
        <v>0</v>
      </c>
      <c r="L26" s="813">
        <f t="shared" si="8"/>
        <v>162.13157466462161</v>
      </c>
      <c r="M26" s="808">
        <f t="shared" ref="M26:V27" si="9">M25</f>
        <v>0</v>
      </c>
      <c r="N26" s="809">
        <f t="shared" si="9"/>
        <v>163.08244246089515</v>
      </c>
      <c r="O26" s="812">
        <v>0</v>
      </c>
      <c r="P26" s="813">
        <f t="shared" si="9"/>
        <v>161.18070686834807</v>
      </c>
      <c r="Q26" s="808">
        <f t="shared" si="9"/>
        <v>0</v>
      </c>
      <c r="R26" s="809">
        <f t="shared" si="9"/>
        <v>163.08244246089515</v>
      </c>
      <c r="S26" s="812">
        <v>0</v>
      </c>
      <c r="T26" s="813">
        <f t="shared" si="9"/>
        <v>160.22983907207453</v>
      </c>
      <c r="U26" s="808">
        <f t="shared" si="9"/>
        <v>0</v>
      </c>
      <c r="V26" s="809">
        <f t="shared" si="9"/>
        <v>163.08244246089515</v>
      </c>
      <c r="W26" s="812">
        <v>0</v>
      </c>
      <c r="X26" s="813">
        <f>X25</f>
        <v>159.27897127580098</v>
      </c>
      <c r="Y26" s="734"/>
      <c r="Z26" s="734"/>
      <c r="AB26" s="944">
        <v>3</v>
      </c>
      <c r="AC26" s="943">
        <f>CTerr_Thres*1.05</f>
        <v>1.5750000000000002</v>
      </c>
      <c r="AD26" s="943">
        <f>C10*1.05</f>
        <v>1.5750000000000002</v>
      </c>
      <c r="AE26" s="525">
        <f t="shared" si="0"/>
        <v>161.18070686834807</v>
      </c>
      <c r="AF26" s="525">
        <f t="shared" si="4"/>
        <v>161.18070686834807</v>
      </c>
      <c r="AG26" s="525">
        <f t="shared" si="1"/>
        <v>0.95086779627352769</v>
      </c>
      <c r="AH26" s="524">
        <f t="shared" si="5"/>
        <v>7.875</v>
      </c>
      <c r="AI26" s="946">
        <f>DIFI_1+AC26*CTerr_2+AD26*CTerr_2r</f>
        <v>0.51500000000000012</v>
      </c>
      <c r="AJ26" s="946">
        <f t="shared" si="6"/>
        <v>0.56650000000000023</v>
      </c>
      <c r="AK26" s="947">
        <f t="shared" si="2"/>
        <v>159.27897127580101</v>
      </c>
      <c r="AL26" s="609">
        <f t="shared" si="3"/>
        <v>7.8750000000000009</v>
      </c>
      <c r="AM26" s="681">
        <f t="shared" si="7"/>
        <v>3</v>
      </c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>
      <c r="A27" s="731"/>
      <c r="B27" s="731"/>
      <c r="C27" s="812">
        <v>0</v>
      </c>
      <c r="D27" s="813">
        <f t="shared" si="8"/>
        <v>-180</v>
      </c>
      <c r="E27" s="808">
        <f t="shared" si="8"/>
        <v>0</v>
      </c>
      <c r="F27" s="809">
        <f t="shared" si="8"/>
        <v>-180</v>
      </c>
      <c r="G27" s="812">
        <v>0</v>
      </c>
      <c r="H27" s="813">
        <f t="shared" si="8"/>
        <v>163.08244246089515</v>
      </c>
      <c r="I27" s="808">
        <f t="shared" si="8"/>
        <v>0</v>
      </c>
      <c r="J27" s="809">
        <f t="shared" si="8"/>
        <v>163.08244246089515</v>
      </c>
      <c r="K27" s="812">
        <v>0</v>
      </c>
      <c r="L27" s="813">
        <f t="shared" si="8"/>
        <v>162.13157466462161</v>
      </c>
      <c r="M27" s="808">
        <f t="shared" si="9"/>
        <v>0</v>
      </c>
      <c r="N27" s="809">
        <f t="shared" si="9"/>
        <v>163.08244246089515</v>
      </c>
      <c r="O27" s="812">
        <v>0</v>
      </c>
      <c r="P27" s="813">
        <f t="shared" si="9"/>
        <v>161.18070686834807</v>
      </c>
      <c r="Q27" s="808">
        <f t="shared" si="9"/>
        <v>0</v>
      </c>
      <c r="R27" s="809">
        <f t="shared" si="9"/>
        <v>163.08244246089515</v>
      </c>
      <c r="S27" s="812">
        <v>0</v>
      </c>
      <c r="T27" s="813">
        <f t="shared" si="9"/>
        <v>160.22983907207453</v>
      </c>
      <c r="U27" s="808">
        <f t="shared" si="9"/>
        <v>0</v>
      </c>
      <c r="V27" s="809">
        <f t="shared" si="9"/>
        <v>163.08244246089515</v>
      </c>
      <c r="W27" s="812">
        <v>0</v>
      </c>
      <c r="X27" s="813">
        <f>X26</f>
        <v>159.27897127580098</v>
      </c>
      <c r="Y27" s="734"/>
      <c r="Z27" s="734"/>
      <c r="AB27" s="944">
        <v>4</v>
      </c>
      <c r="AC27" s="943">
        <f>AC26*2</f>
        <v>3.1500000000000004</v>
      </c>
      <c r="AD27" s="943">
        <f>AD26*2</f>
        <v>3.1500000000000004</v>
      </c>
      <c r="AE27" s="525">
        <f t="shared" si="0"/>
        <v>164.85899904603568</v>
      </c>
      <c r="AF27" s="525">
        <f t="shared" si="4"/>
        <v>164.85899904603568</v>
      </c>
      <c r="AG27" s="525">
        <f t="shared" si="1"/>
        <v>0.76218288426480285</v>
      </c>
      <c r="AH27" s="524">
        <f t="shared" si="5"/>
        <v>15.75</v>
      </c>
      <c r="AI27" s="946">
        <f>DIFI_1+AC27*CTerr_2+AD27*CTerr_2r</f>
        <v>0.83000000000000018</v>
      </c>
      <c r="AJ27" s="946">
        <f t="shared" si="6"/>
        <v>0.91300000000000026</v>
      </c>
      <c r="AK27" s="947">
        <f t="shared" si="2"/>
        <v>163.33463327750607</v>
      </c>
      <c r="AL27" s="609">
        <f t="shared" si="3"/>
        <v>15.750000000000002</v>
      </c>
      <c r="AM27" s="681">
        <f t="shared" si="7"/>
        <v>2</v>
      </c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ht="13.5" thickBot="1">
      <c r="A28" s="731"/>
      <c r="B28" s="731"/>
      <c r="C28" s="731"/>
      <c r="D28" s="731"/>
      <c r="E28" s="731"/>
      <c r="F28" s="731"/>
      <c r="G28" s="731"/>
      <c r="H28" s="731"/>
      <c r="I28" s="731"/>
      <c r="J28" s="731"/>
      <c r="K28" s="731"/>
      <c r="L28" s="734"/>
      <c r="M28" s="734"/>
      <c r="N28" s="731"/>
      <c r="O28" s="731"/>
      <c r="P28" s="731"/>
      <c r="Q28" s="731"/>
      <c r="R28" s="731"/>
      <c r="S28" s="731"/>
      <c r="T28" s="731"/>
      <c r="U28" s="731"/>
      <c r="V28" s="731"/>
      <c r="W28" s="731"/>
      <c r="X28" s="731"/>
      <c r="Y28" s="734"/>
      <c r="Z28" s="734"/>
      <c r="AB28" s="944">
        <v>5</v>
      </c>
      <c r="AC28" s="943">
        <f>AC27*2</f>
        <v>6.3000000000000007</v>
      </c>
      <c r="AD28" s="943">
        <f>AD27*2</f>
        <v>6.3000000000000007</v>
      </c>
      <c r="AE28" s="525">
        <f t="shared" si="0"/>
        <v>166.69203636521959</v>
      </c>
      <c r="AF28" s="525">
        <f t="shared" si="4"/>
        <v>166.69203636521959</v>
      </c>
      <c r="AG28" s="525">
        <f t="shared" si="1"/>
        <v>0.66887648943972522</v>
      </c>
      <c r="AH28" s="524">
        <f t="shared" si="5"/>
        <v>31.5</v>
      </c>
      <c r="AI28" s="946">
        <f>DIFI_1+AC28*CTerr_2+AD28*CTerr_2r</f>
        <v>1.4600000000000002</v>
      </c>
      <c r="AJ28" s="946">
        <f t="shared" si="6"/>
        <v>1.6060000000000003</v>
      </c>
      <c r="AK28" s="947">
        <f t="shared" si="2"/>
        <v>165.35428338634014</v>
      </c>
      <c r="AL28" s="609">
        <f t="shared" si="3"/>
        <v>31.500000000000004</v>
      </c>
      <c r="AM28" s="681">
        <f t="shared" si="7"/>
        <v>2</v>
      </c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>
      <c r="A29" s="790"/>
      <c r="B29" s="790"/>
      <c r="C29" s="790"/>
      <c r="D29" s="790"/>
      <c r="E29" s="790"/>
      <c r="F29" s="790"/>
      <c r="G29" s="790"/>
      <c r="H29" s="790"/>
      <c r="I29" s="790"/>
      <c r="J29" s="790"/>
      <c r="K29" s="790"/>
      <c r="L29" s="790"/>
      <c r="M29" s="790"/>
      <c r="N29" s="790"/>
      <c r="O29" s="790"/>
      <c r="P29" s="790"/>
      <c r="Q29" s="790"/>
      <c r="R29" s="790"/>
      <c r="S29" s="790"/>
      <c r="T29" s="790"/>
      <c r="U29" s="790"/>
      <c r="V29" s="790"/>
      <c r="W29" s="790"/>
      <c r="X29" s="790"/>
      <c r="Y29" s="790"/>
      <c r="Z29" s="790"/>
      <c r="AB29" s="944">
        <v>6</v>
      </c>
      <c r="AC29" s="943">
        <f>AC28*1.5</f>
        <v>9.4500000000000011</v>
      </c>
      <c r="AD29" s="943">
        <f>AD28*1.5</f>
        <v>9.4500000000000011</v>
      </c>
      <c r="AE29" s="525">
        <f t="shared" si="0"/>
        <v>167.30226598839059</v>
      </c>
      <c r="AF29" s="525">
        <f t="shared" si="4"/>
        <v>167.30226598839059</v>
      </c>
      <c r="AG29" s="525">
        <f t="shared" si="1"/>
        <v>0.63790630733345211</v>
      </c>
      <c r="AH29" s="524">
        <f t="shared" si="5"/>
        <v>47.25</v>
      </c>
      <c r="AI29" s="946">
        <f>DIFI_1+AC29*CTerr_2+AD29*CTerr_2r</f>
        <v>2.0900000000000003</v>
      </c>
      <c r="AJ29" s="946">
        <f t="shared" si="6"/>
        <v>2.2990000000000004</v>
      </c>
      <c r="AK29" s="947">
        <f t="shared" si="2"/>
        <v>166.02645337372368</v>
      </c>
      <c r="AL29" s="609">
        <f t="shared" si="3"/>
        <v>47.250000000000007</v>
      </c>
      <c r="AM29" s="681">
        <f t="shared" si="7"/>
        <v>2</v>
      </c>
    </row>
    <row r="30" spans="1:61">
      <c r="A30" s="814" t="s">
        <v>888</v>
      </c>
      <c r="B30" s="731"/>
      <c r="C30" s="731"/>
      <c r="D30" s="731"/>
      <c r="E30" s="731"/>
      <c r="F30" s="731"/>
      <c r="G30" s="814"/>
      <c r="H30" s="731"/>
      <c r="I30" s="731"/>
      <c r="J30" s="731"/>
      <c r="K30" s="731"/>
      <c r="L30" s="731"/>
      <c r="M30" s="731"/>
      <c r="N30" s="731"/>
      <c r="O30" s="731"/>
      <c r="P30" s="731"/>
      <c r="Q30" s="731"/>
      <c r="R30" s="731"/>
      <c r="S30" s="731"/>
      <c r="T30" s="731"/>
      <c r="U30" s="731"/>
      <c r="V30" s="731"/>
      <c r="W30" s="731"/>
      <c r="X30" s="731"/>
      <c r="Y30" s="731"/>
      <c r="Z30" s="731"/>
      <c r="AB30" s="944">
        <v>7</v>
      </c>
      <c r="AC30" s="943">
        <f>AC29*1.3</f>
        <v>12.285000000000002</v>
      </c>
      <c r="AD30" s="943">
        <f>AD29*1.3</f>
        <v>12.285000000000002</v>
      </c>
      <c r="AE30" s="525">
        <f t="shared" si="0"/>
        <v>167.58378746670104</v>
      </c>
      <c r="AF30" s="525">
        <f t="shared" si="4"/>
        <v>167.58378746670104</v>
      </c>
      <c r="AG30" s="525">
        <f t="shared" si="1"/>
        <v>0.62363305351529164</v>
      </c>
      <c r="AH30" s="524">
        <f t="shared" si="5"/>
        <v>61.43</v>
      </c>
      <c r="AI30" s="946">
        <f>DIFI_1+AC30*CTerr_2+AD30*CTerr_2r</f>
        <v>2.6570000000000009</v>
      </c>
      <c r="AJ30" s="946">
        <f t="shared" si="6"/>
        <v>2.9227000000000012</v>
      </c>
      <c r="AK30" s="947">
        <f t="shared" si="2"/>
        <v>166.33652135967046</v>
      </c>
      <c r="AL30" s="609">
        <f t="shared" si="3"/>
        <v>61.425000000000011</v>
      </c>
      <c r="AM30" s="681">
        <f t="shared" si="7"/>
        <v>2</v>
      </c>
    </row>
    <row r="31" spans="1:61">
      <c r="A31" s="731"/>
      <c r="B31" s="805"/>
      <c r="C31" s="815" t="s">
        <v>889</v>
      </c>
      <c r="D31" s="927">
        <v>120</v>
      </c>
      <c r="E31" s="731"/>
      <c r="F31" s="731"/>
      <c r="G31" s="731"/>
      <c r="H31" s="609">
        <f>DIFI_1</f>
        <v>0.2</v>
      </c>
      <c r="I31" s="609">
        <f>H31</f>
        <v>0.2</v>
      </c>
      <c r="J31" s="941">
        <f t="shared" ref="J31:J38" si="10">AI23</f>
        <v>0.22040000000000001</v>
      </c>
      <c r="K31" s="942">
        <f>J31</f>
        <v>0.22040000000000001</v>
      </c>
      <c r="L31" s="734"/>
      <c r="M31" s="731"/>
      <c r="N31" s="731"/>
      <c r="O31" s="731"/>
      <c r="P31" s="731"/>
      <c r="Q31" s="731"/>
      <c r="R31" s="731"/>
      <c r="S31" s="731"/>
      <c r="T31" s="731"/>
      <c r="U31" s="731"/>
      <c r="V31" s="731"/>
      <c r="W31" s="731"/>
      <c r="X31" s="731"/>
      <c r="Y31" s="731"/>
      <c r="Z31" s="731"/>
      <c r="AB31" s="352"/>
      <c r="AC31" s="449"/>
      <c r="AD31" s="449"/>
      <c r="AE31" s="449"/>
      <c r="AF31" s="449"/>
      <c r="AG31" s="449"/>
      <c r="AH31" s="449"/>
      <c r="AI31" s="351"/>
      <c r="AJ31" s="351"/>
      <c r="AK31" s="351"/>
      <c r="AL31" s="609"/>
      <c r="AM31" s="609"/>
      <c r="AR31" s="22"/>
    </row>
    <row r="32" spans="1:61">
      <c r="A32" s="731"/>
      <c r="B32" s="805"/>
      <c r="C32" s="815" t="s">
        <v>890</v>
      </c>
      <c r="D32" s="928">
        <v>0.04</v>
      </c>
      <c r="E32" s="731"/>
      <c r="F32" s="731"/>
      <c r="G32" s="731"/>
      <c r="H32" s="609">
        <f>DIFI_2*1.4</f>
        <v>9.52</v>
      </c>
      <c r="I32" s="609">
        <f>H32</f>
        <v>9.52</v>
      </c>
      <c r="J32" s="941">
        <f t="shared" si="10"/>
        <v>0.254</v>
      </c>
      <c r="K32" s="942">
        <f t="shared" ref="K32:K38" si="11">J32</f>
        <v>0.254</v>
      </c>
      <c r="L32" s="734"/>
      <c r="M32" s="731"/>
      <c r="N32" s="734"/>
      <c r="O32" s="734"/>
      <c r="P32" s="731"/>
      <c r="Q32" s="731"/>
      <c r="R32" s="734"/>
      <c r="S32" s="734"/>
      <c r="T32" s="901" t="s">
        <v>932</v>
      </c>
      <c r="U32" s="900">
        <v>10</v>
      </c>
      <c r="V32" s="734"/>
      <c r="W32" s="731"/>
      <c r="X32" s="685" t="s">
        <v>931</v>
      </c>
      <c r="Y32" s="903">
        <f>DIFI_1+IF(AD34&lt;CTerr_Thres,CTerr_1,CTerr_2)*AD34+IF(AD35&lt;C10,C11,C12)*AD35</f>
        <v>0.2</v>
      </c>
      <c r="Z32" s="731"/>
      <c r="AR32" s="22"/>
    </row>
    <row r="33" spans="1:44" ht="13.5" thickBot="1">
      <c r="A33" s="731"/>
      <c r="B33" s="805"/>
      <c r="C33" s="815" t="s">
        <v>891</v>
      </c>
      <c r="D33" s="929">
        <f>G3/D31*D32*1000/C3*C4</f>
        <v>0.20370370370370369</v>
      </c>
      <c r="E33" s="731"/>
      <c r="F33" s="731"/>
      <c r="G33" s="731"/>
      <c r="H33" s="919">
        <f>DIFI_1</f>
        <v>0.2</v>
      </c>
      <c r="I33" s="919">
        <f>DIFI_2</f>
        <v>6.8</v>
      </c>
      <c r="J33" s="941">
        <f t="shared" si="10"/>
        <v>0.38450000000000006</v>
      </c>
      <c r="K33" s="942">
        <f t="shared" si="11"/>
        <v>0.38450000000000006</v>
      </c>
      <c r="L33" s="734"/>
      <c r="M33" s="731"/>
      <c r="N33" s="734"/>
      <c r="O33" s="734"/>
      <c r="P33" s="731"/>
      <c r="Q33" s="731"/>
      <c r="R33" s="734"/>
      <c r="S33" s="734"/>
      <c r="T33" s="926" t="s">
        <v>894</v>
      </c>
      <c r="U33" s="924">
        <f>AD34*In</f>
        <v>0</v>
      </c>
      <c r="V33" s="673">
        <f>AE34</f>
        <v>0</v>
      </c>
      <c r="W33" s="731"/>
      <c r="X33" s="921" t="s">
        <v>929</v>
      </c>
      <c r="Y33" s="922">
        <f>AG37</f>
        <v>0</v>
      </c>
      <c r="Z33" s="731"/>
      <c r="AC33" s="915" t="s">
        <v>933</v>
      </c>
      <c r="AD33" s="916" t="s">
        <v>937</v>
      </c>
      <c r="AE33" s="516" t="s">
        <v>899</v>
      </c>
      <c r="AR33" s="22"/>
    </row>
    <row r="34" spans="1:44" ht="13.5" thickBot="1">
      <c r="A34" s="731"/>
      <c r="B34" s="805"/>
      <c r="C34" s="815" t="s">
        <v>892</v>
      </c>
      <c r="D34" s="929">
        <f>(D33-DIFIC)*C3</f>
        <v>204.66666666666666</v>
      </c>
      <c r="E34" s="731"/>
      <c r="F34" s="731"/>
      <c r="G34" s="731"/>
      <c r="H34" s="920">
        <f>H32</f>
        <v>9.52</v>
      </c>
      <c r="I34" s="920">
        <f>I33</f>
        <v>6.8</v>
      </c>
      <c r="J34" s="941">
        <f t="shared" si="10"/>
        <v>0.51500000000000012</v>
      </c>
      <c r="K34" s="942">
        <f t="shared" si="11"/>
        <v>0.51500000000000012</v>
      </c>
      <c r="L34" s="734"/>
      <c r="M34" s="731"/>
      <c r="N34" s="734"/>
      <c r="O34" s="734"/>
      <c r="P34" s="731"/>
      <c r="Q34" s="731"/>
      <c r="R34" s="805"/>
      <c r="S34" s="805"/>
      <c r="T34" s="904" t="s">
        <v>895</v>
      </c>
      <c r="U34" s="903">
        <f>AD35*H8</f>
        <v>0</v>
      </c>
      <c r="V34" s="917">
        <f>AC36/5</f>
        <v>175.6</v>
      </c>
      <c r="W34" s="731"/>
      <c r="X34" s="1206" t="str">
        <f>IF(Y33&gt;Y32,"Trip "&amp;IF(Y33&gt;Settings!K38,"&gt;&gt;","&gt;"),"Stable")</f>
        <v>Stable</v>
      </c>
      <c r="Y34" s="1207"/>
      <c r="Z34" s="731"/>
      <c r="AB34" s="673" t="s">
        <v>939</v>
      </c>
      <c r="AC34" s="923">
        <v>0</v>
      </c>
      <c r="AD34" s="924">
        <f>AC34/(1000/$U$32)</f>
        <v>0</v>
      </c>
      <c r="AE34" s="516">
        <v>0</v>
      </c>
      <c r="AF34" s="22"/>
      <c r="AG34" s="357">
        <f>AD34*COS(RADIANS(V33))</f>
        <v>0</v>
      </c>
      <c r="AH34" s="357">
        <f>AD34*SIN(RADIANS(V33))</f>
        <v>0</v>
      </c>
      <c r="AR34" s="22"/>
    </row>
    <row r="35" spans="1:44">
      <c r="A35" s="731"/>
      <c r="B35" s="731"/>
      <c r="C35" s="731"/>
      <c r="D35" s="731"/>
      <c r="E35" s="731"/>
      <c r="F35" s="731"/>
      <c r="G35" s="731"/>
      <c r="H35" s="918">
        <f>Y32</f>
        <v>0.2</v>
      </c>
      <c r="I35" s="918">
        <f>Y33</f>
        <v>0</v>
      </c>
      <c r="J35" s="941">
        <f t="shared" si="10"/>
        <v>0.83000000000000018</v>
      </c>
      <c r="K35" s="942">
        <f t="shared" si="11"/>
        <v>0.83000000000000018</v>
      </c>
      <c r="L35" s="734"/>
      <c r="M35" s="731"/>
      <c r="N35" s="731"/>
      <c r="O35" s="731"/>
      <c r="P35" s="731"/>
      <c r="Q35" s="731"/>
      <c r="R35" s="731"/>
      <c r="S35" s="731"/>
      <c r="T35" s="731"/>
      <c r="U35" s="731"/>
      <c r="V35" s="731"/>
      <c r="W35" s="731"/>
      <c r="X35" s="731"/>
      <c r="Y35" s="731"/>
      <c r="Z35" s="731"/>
      <c r="AB35" s="902" t="s">
        <v>940</v>
      </c>
      <c r="AC35" s="914">
        <v>0</v>
      </c>
      <c r="AD35" s="903">
        <f>AC35/(1000/$U$32)</f>
        <v>0</v>
      </c>
      <c r="AE35" s="525" t="e">
        <f>DEGREES(ACOS((AD34^2+AD35^2-AG37^2)/(2*AD34*AD35)))</f>
        <v>#DIV/0!</v>
      </c>
      <c r="AF35" s="22"/>
      <c r="AG35" s="925">
        <f>AD35*COS(RADIANS(V34))</f>
        <v>0</v>
      </c>
      <c r="AH35" s="925">
        <f>AD35*SIN(RADIANS(V34))</f>
        <v>0</v>
      </c>
    </row>
    <row r="36" spans="1:44">
      <c r="A36" s="759"/>
      <c r="B36" s="759"/>
      <c r="C36" s="759"/>
      <c r="D36" s="759"/>
      <c r="E36" s="759"/>
      <c r="F36" s="759"/>
      <c r="G36" s="759"/>
      <c r="H36" s="759"/>
      <c r="I36" s="759"/>
      <c r="J36" s="941">
        <f t="shared" si="10"/>
        <v>1.4600000000000002</v>
      </c>
      <c r="K36" s="942">
        <f t="shared" si="11"/>
        <v>1.4600000000000002</v>
      </c>
      <c r="L36" s="734"/>
      <c r="M36" s="734"/>
      <c r="N36" s="734"/>
      <c r="O36" s="734"/>
      <c r="P36" s="734"/>
      <c r="Q36" s="734"/>
      <c r="R36" s="734"/>
      <c r="S36" s="734"/>
      <c r="T36" s="734"/>
      <c r="U36" s="734"/>
      <c r="V36" s="759"/>
      <c r="W36" s="759"/>
      <c r="X36" s="759"/>
      <c r="Y36" s="759"/>
      <c r="Z36" s="759"/>
      <c r="AB36" s="919" t="s">
        <v>71</v>
      </c>
      <c r="AC36" s="940">
        <v>878</v>
      </c>
      <c r="AE36" s="525" t="e">
        <f>180-AE35</f>
        <v>#DIV/0!</v>
      </c>
      <c r="AF36" s="516" t="s">
        <v>929</v>
      </c>
      <c r="AG36" s="524">
        <f>SUM(AG34:AG35)</f>
        <v>0</v>
      </c>
      <c r="AH36" s="524">
        <f>SUM(AH34:AH35)</f>
        <v>0</v>
      </c>
    </row>
    <row r="37" spans="1:44">
      <c r="A37" s="731"/>
      <c r="B37" s="759"/>
      <c r="C37" s="759"/>
      <c r="D37" s="759"/>
      <c r="E37" s="759"/>
      <c r="F37" s="759"/>
      <c r="G37" s="759"/>
      <c r="H37" s="731"/>
      <c r="I37" s="731"/>
      <c r="J37" s="941">
        <f t="shared" si="10"/>
        <v>2.0900000000000003</v>
      </c>
      <c r="K37" s="942">
        <f t="shared" si="11"/>
        <v>2.0900000000000003</v>
      </c>
      <c r="L37" s="734"/>
      <c r="M37" s="734"/>
      <c r="N37" s="734"/>
      <c r="O37" s="734"/>
      <c r="P37" s="734"/>
      <c r="Q37" s="759"/>
      <c r="R37" s="734"/>
      <c r="S37" s="734"/>
      <c r="T37" s="734"/>
      <c r="U37" s="759"/>
      <c r="V37" s="759"/>
      <c r="W37" s="759"/>
      <c r="X37" s="759"/>
      <c r="Y37" s="759"/>
      <c r="Z37" s="759"/>
      <c r="AF37" s="516" t="s">
        <v>934</v>
      </c>
      <c r="AG37" s="600">
        <f>SQRT(SUMSQ(AG36,AH36))</f>
        <v>0</v>
      </c>
      <c r="AH37" s="525" t="e">
        <f>DEGREES(ATAN(AH36/AG36))</f>
        <v>#DIV/0!</v>
      </c>
    </row>
    <row r="38" spans="1:44" ht="13.5" thickBot="1">
      <c r="A38" s="1002"/>
      <c r="B38" s="759"/>
      <c r="C38" s="759"/>
      <c r="D38" s="759"/>
      <c r="E38" s="759"/>
      <c r="F38" s="759"/>
      <c r="G38" s="759"/>
      <c r="H38" s="731"/>
      <c r="I38" s="731"/>
      <c r="J38" s="941">
        <f t="shared" si="10"/>
        <v>2.6570000000000009</v>
      </c>
      <c r="K38" s="942">
        <f t="shared" si="11"/>
        <v>2.6570000000000009</v>
      </c>
      <c r="L38" s="734"/>
      <c r="M38" s="734"/>
      <c r="N38" s="734"/>
      <c r="O38" s="734"/>
      <c r="P38" s="734"/>
      <c r="Q38" s="759"/>
      <c r="R38" s="734"/>
      <c r="S38" s="734"/>
      <c r="T38" s="734"/>
      <c r="U38" s="734"/>
      <c r="V38" s="759"/>
      <c r="W38" s="759"/>
      <c r="X38" s="759"/>
      <c r="Y38" s="759"/>
      <c r="Z38" s="759"/>
    </row>
    <row r="39" spans="1:44" ht="13.5" thickBot="1">
      <c r="A39" s="731"/>
      <c r="B39" s="759"/>
      <c r="C39" s="759"/>
      <c r="D39" s="759"/>
      <c r="E39" s="759"/>
      <c r="F39" s="759"/>
      <c r="G39" s="759"/>
      <c r="H39" s="759"/>
      <c r="I39" s="731"/>
      <c r="J39" s="731"/>
      <c r="K39" s="759"/>
      <c r="L39" s="759"/>
      <c r="M39" s="759"/>
      <c r="N39" s="759"/>
      <c r="O39" s="731"/>
      <c r="P39" s="734"/>
      <c r="Q39" s="1224" t="s">
        <v>896</v>
      </c>
      <c r="R39" s="1225"/>
      <c r="S39" s="1225"/>
      <c r="T39" s="1226"/>
      <c r="U39" s="734"/>
      <c r="V39" s="1227" t="s">
        <v>897</v>
      </c>
      <c r="W39" s="1228"/>
      <c r="X39" s="1228"/>
      <c r="Y39" s="1229"/>
      <c r="Z39" s="759"/>
    </row>
    <row r="40" spans="1:44">
      <c r="A40" s="731"/>
      <c r="B40" s="759"/>
      <c r="C40" s="759"/>
      <c r="D40" s="759"/>
      <c r="E40" s="759"/>
      <c r="F40" s="759"/>
      <c r="G40" s="759"/>
      <c r="H40" s="759"/>
      <c r="I40" s="731"/>
      <c r="J40" s="731"/>
      <c r="K40" s="759"/>
      <c r="L40" s="759"/>
      <c r="M40" s="759"/>
      <c r="N40" s="759"/>
      <c r="O40" s="731"/>
      <c r="P40" s="734"/>
      <c r="Q40" s="816" t="s">
        <v>111</v>
      </c>
      <c r="R40" s="817" t="s">
        <v>123</v>
      </c>
      <c r="S40" s="827" t="s">
        <v>111</v>
      </c>
      <c r="T40" s="828" t="s">
        <v>123</v>
      </c>
      <c r="U40" s="734"/>
      <c r="V40" s="930" t="s">
        <v>111</v>
      </c>
      <c r="W40" s="931" t="s">
        <v>123</v>
      </c>
      <c r="X40" s="1213" t="s">
        <v>898</v>
      </c>
      <c r="Y40" s="1214"/>
      <c r="Z40" s="759"/>
    </row>
    <row r="41" spans="1:44">
      <c r="A41" s="731"/>
      <c r="B41" s="759"/>
      <c r="C41" s="759"/>
      <c r="D41" s="759"/>
      <c r="E41" s="759"/>
      <c r="F41" s="759"/>
      <c r="G41" s="759"/>
      <c r="H41" s="731"/>
      <c r="I41" s="731"/>
      <c r="J41" s="759"/>
      <c r="K41" s="759"/>
      <c r="L41" s="759"/>
      <c r="M41" s="759"/>
      <c r="N41" s="759"/>
      <c r="O41" s="731"/>
      <c r="P41" s="734"/>
      <c r="Q41" s="818">
        <f t="shared" ref="Q41:T44" si="12">AE16</f>
        <v>4.5999999999999996</v>
      </c>
      <c r="R41" s="819">
        <f t="shared" si="12"/>
        <v>100.03039601529154</v>
      </c>
      <c r="S41" s="820">
        <f t="shared" si="12"/>
        <v>0.57499999999999996</v>
      </c>
      <c r="T41" s="821">
        <f t="shared" si="12"/>
        <v>18.000000000000011</v>
      </c>
      <c r="U41" s="734"/>
      <c r="V41" s="932">
        <f>S44/3</f>
        <v>1.6666666666666667</v>
      </c>
      <c r="W41" s="933">
        <f>T44</f>
        <v>0.30000000000000004</v>
      </c>
      <c r="X41" s="936">
        <f>0.1/W41*100</f>
        <v>33.333333333333329</v>
      </c>
      <c r="Y41" s="937">
        <f>X41</f>
        <v>33.333333333333329</v>
      </c>
      <c r="Z41" s="759"/>
    </row>
    <row r="42" spans="1:44">
      <c r="A42" s="731"/>
      <c r="B42" s="731"/>
      <c r="C42" s="759"/>
      <c r="D42" s="759"/>
      <c r="E42" s="731"/>
      <c r="F42" s="731"/>
      <c r="G42" s="731"/>
      <c r="H42" s="731"/>
      <c r="I42" s="731"/>
      <c r="J42" s="759"/>
      <c r="K42" s="759"/>
      <c r="L42" s="759"/>
      <c r="M42" s="759"/>
      <c r="N42" s="759"/>
      <c r="O42" s="731"/>
      <c r="P42" s="734"/>
      <c r="Q42" s="818">
        <f t="shared" si="12"/>
        <v>8</v>
      </c>
      <c r="R42" s="819">
        <f t="shared" si="12"/>
        <v>20.058054040093744</v>
      </c>
      <c r="S42" s="820">
        <f t="shared" si="12"/>
        <v>1</v>
      </c>
      <c r="T42" s="821">
        <f t="shared" si="12"/>
        <v>2.7</v>
      </c>
      <c r="U42" s="734"/>
      <c r="V42" s="932">
        <f>S43/3</f>
        <v>0.83333333333333337</v>
      </c>
      <c r="W42" s="933">
        <f>T43</f>
        <v>0.67500000000000004</v>
      </c>
      <c r="X42" s="936">
        <f>0.1/W42*100</f>
        <v>14.814814814814813</v>
      </c>
      <c r="Y42" s="937">
        <f>X42</f>
        <v>14.814814814814813</v>
      </c>
      <c r="Z42" s="759"/>
    </row>
    <row r="43" spans="1:44">
      <c r="A43" s="731"/>
      <c r="B43" s="759"/>
      <c r="C43" s="759"/>
      <c r="D43" s="759"/>
      <c r="E43" s="731"/>
      <c r="F43" s="731"/>
      <c r="G43" s="731"/>
      <c r="H43" s="731"/>
      <c r="I43" s="731"/>
      <c r="J43" s="759"/>
      <c r="K43" s="759"/>
      <c r="L43" s="759"/>
      <c r="M43" s="759"/>
      <c r="N43" s="759"/>
      <c r="O43" s="731"/>
      <c r="P43" s="734"/>
      <c r="Q43" s="818">
        <f t="shared" si="12"/>
        <v>20</v>
      </c>
      <c r="R43" s="819">
        <f t="shared" si="12"/>
        <v>8.5594401418907484</v>
      </c>
      <c r="S43" s="820">
        <f t="shared" si="12"/>
        <v>2.5</v>
      </c>
      <c r="T43" s="821">
        <f t="shared" si="12"/>
        <v>0.67500000000000004</v>
      </c>
      <c r="U43" s="734"/>
      <c r="V43" s="932">
        <f>S42/3</f>
        <v>0.33333333333333331</v>
      </c>
      <c r="W43" s="933">
        <f>T42</f>
        <v>2.7</v>
      </c>
      <c r="X43" s="936">
        <f>0.1/W43*100</f>
        <v>3.7037037037037033</v>
      </c>
      <c r="Y43" s="937">
        <f>X43</f>
        <v>3.7037037037037033</v>
      </c>
      <c r="Z43" s="759"/>
    </row>
    <row r="44" spans="1:44" ht="13.5" thickBot="1">
      <c r="A44" s="731"/>
      <c r="B44" s="759"/>
      <c r="C44" s="759"/>
      <c r="D44" s="759"/>
      <c r="E44" s="731"/>
      <c r="F44" s="731"/>
      <c r="G44" s="731"/>
      <c r="H44" s="731"/>
      <c r="I44" s="731"/>
      <c r="J44" s="759"/>
      <c r="K44" s="759"/>
      <c r="L44" s="759"/>
      <c r="M44" s="759"/>
      <c r="N44" s="759"/>
      <c r="O44" s="731"/>
      <c r="P44" s="734"/>
      <c r="Q44" s="825">
        <f t="shared" si="12"/>
        <v>30</v>
      </c>
      <c r="R44" s="826">
        <f t="shared" si="12"/>
        <v>6.8091654909726671</v>
      </c>
      <c r="S44" s="822">
        <f t="shared" si="12"/>
        <v>5</v>
      </c>
      <c r="T44" s="823">
        <f t="shared" si="12"/>
        <v>0.30000000000000004</v>
      </c>
      <c r="U44" s="734"/>
      <c r="V44" s="934">
        <f>S41/3</f>
        <v>0.19166666666666665</v>
      </c>
      <c r="W44" s="935">
        <f>T41</f>
        <v>18.000000000000011</v>
      </c>
      <c r="X44" s="938">
        <f>0.1/W44*100</f>
        <v>0.55555555555555525</v>
      </c>
      <c r="Y44" s="939">
        <f>X44</f>
        <v>0.55555555555555525</v>
      </c>
      <c r="Z44" s="759"/>
    </row>
    <row r="45" spans="1:44">
      <c r="A45" s="731"/>
      <c r="B45" s="759"/>
      <c r="C45" s="759"/>
      <c r="D45" s="759"/>
      <c r="E45" s="731"/>
      <c r="F45" s="731"/>
      <c r="G45" s="731"/>
      <c r="H45" s="731"/>
      <c r="I45" s="731"/>
      <c r="J45" s="759"/>
      <c r="K45" s="759"/>
      <c r="L45" s="759"/>
      <c r="M45" s="759"/>
      <c r="N45" s="759"/>
      <c r="O45" s="731"/>
      <c r="P45" s="734"/>
      <c r="Q45" s="759"/>
      <c r="R45" s="734"/>
      <c r="S45" s="734"/>
      <c r="T45" s="734"/>
      <c r="U45" s="734"/>
      <c r="V45" s="759"/>
      <c r="W45" s="759"/>
      <c r="X45" s="759"/>
      <c r="Y45" s="759"/>
      <c r="Z45" s="759"/>
    </row>
    <row r="46" spans="1:44">
      <c r="A46" s="731"/>
      <c r="B46" s="759"/>
      <c r="C46" s="759"/>
      <c r="D46" s="759"/>
      <c r="E46" s="731"/>
      <c r="F46" s="731"/>
      <c r="G46" s="731"/>
      <c r="H46" s="731"/>
      <c r="I46" s="731"/>
      <c r="J46" s="759"/>
      <c r="K46" s="759"/>
      <c r="L46" s="759"/>
      <c r="M46" s="759"/>
      <c r="N46" s="759"/>
      <c r="O46" s="731"/>
      <c r="P46" s="734"/>
      <c r="Q46" s="734"/>
      <c r="R46" s="734"/>
      <c r="S46" s="734"/>
      <c r="T46" s="734"/>
      <c r="U46" s="734"/>
      <c r="V46" s="759"/>
      <c r="W46" s="759"/>
      <c r="X46" s="759"/>
      <c r="Y46" s="759"/>
      <c r="Z46" s="759"/>
    </row>
    <row r="47" spans="1:44" ht="13.5" thickBot="1">
      <c r="A47" s="759"/>
      <c r="B47" s="759"/>
      <c r="C47" s="759"/>
      <c r="D47" s="759"/>
      <c r="E47" s="759"/>
      <c r="F47" s="759"/>
      <c r="G47" s="759"/>
      <c r="H47" s="759"/>
      <c r="I47" s="731"/>
      <c r="J47" s="759"/>
      <c r="K47" s="759"/>
      <c r="L47" s="759"/>
      <c r="M47" s="759"/>
      <c r="N47" s="759"/>
      <c r="O47" s="731"/>
      <c r="P47" s="734"/>
      <c r="Q47" s="734"/>
      <c r="R47" s="734"/>
      <c r="S47" s="734"/>
      <c r="T47" s="734"/>
      <c r="U47" s="734"/>
      <c r="V47" s="759"/>
      <c r="W47" s="759"/>
      <c r="X47" s="759"/>
      <c r="Y47" s="759"/>
      <c r="Z47" s="759"/>
    </row>
    <row r="48" spans="1:44">
      <c r="A48" s="969"/>
      <c r="B48" s="969"/>
      <c r="C48" s="969"/>
      <c r="D48" s="969"/>
      <c r="E48" s="969"/>
      <c r="F48" s="969"/>
      <c r="G48" s="969"/>
      <c r="H48" s="969"/>
      <c r="I48" s="969"/>
      <c r="J48" s="969"/>
      <c r="K48" s="969"/>
      <c r="L48" s="969"/>
      <c r="M48" s="969"/>
      <c r="N48" s="969"/>
      <c r="O48" s="969"/>
      <c r="P48" s="969"/>
      <c r="Q48" s="969"/>
      <c r="R48" s="969"/>
      <c r="S48" s="969"/>
      <c r="T48" s="969"/>
      <c r="U48" s="969"/>
      <c r="V48" s="969"/>
      <c r="W48" s="969"/>
      <c r="X48" s="969"/>
      <c r="Y48" s="969"/>
      <c r="Z48" s="969"/>
      <c r="AA48" s="641"/>
      <c r="AB48" s="641"/>
      <c r="AC48" s="641"/>
      <c r="AD48" s="641"/>
      <c r="AE48" s="641"/>
      <c r="AF48" s="641"/>
      <c r="AG48" s="641"/>
      <c r="AH48" s="641"/>
      <c r="AI48" s="641"/>
      <c r="AJ48" s="641"/>
      <c r="AK48" s="641"/>
      <c r="AL48" s="641"/>
      <c r="AM48" s="641"/>
      <c r="AN48" s="641"/>
    </row>
    <row r="49" spans="1:40">
      <c r="A49" s="641"/>
      <c r="B49" s="641"/>
      <c r="C49" s="641"/>
      <c r="D49" s="641"/>
      <c r="E49" s="641"/>
      <c r="F49" s="641"/>
      <c r="G49" s="641"/>
      <c r="H49" s="641"/>
      <c r="I49" s="641"/>
      <c r="J49" s="641"/>
      <c r="K49" s="641"/>
      <c r="L49" s="641"/>
      <c r="M49" s="282"/>
      <c r="N49" s="282"/>
      <c r="O49" s="282"/>
      <c r="P49" s="282"/>
      <c r="Q49" s="282"/>
      <c r="R49" s="282"/>
      <c r="S49" s="282"/>
      <c r="T49" s="282"/>
      <c r="U49" s="641"/>
      <c r="V49" s="641"/>
      <c r="W49" s="641"/>
      <c r="X49" s="641"/>
      <c r="Y49" s="641"/>
      <c r="Z49" s="641"/>
      <c r="AA49" s="641"/>
      <c r="AB49" s="641"/>
      <c r="AC49" s="641"/>
      <c r="AD49" s="641"/>
      <c r="AE49" s="641"/>
      <c r="AF49" s="641"/>
      <c r="AG49" s="641"/>
      <c r="AH49" s="641"/>
      <c r="AI49" s="641"/>
      <c r="AJ49" s="641"/>
      <c r="AK49" s="641"/>
      <c r="AL49" s="641"/>
      <c r="AM49" s="641"/>
      <c r="AN49" s="641"/>
    </row>
    <row r="50" spans="1:40">
      <c r="A50" s="641"/>
      <c r="B50" s="641"/>
      <c r="C50" s="641"/>
      <c r="D50" s="641"/>
      <c r="E50" s="641"/>
      <c r="F50" s="641"/>
      <c r="G50" s="641"/>
      <c r="H50" s="641"/>
      <c r="I50" s="641"/>
      <c r="J50" s="830"/>
      <c r="K50" s="641"/>
      <c r="L50" s="282"/>
      <c r="M50" s="282"/>
      <c r="N50" s="282"/>
      <c r="O50" s="282"/>
      <c r="P50" s="282"/>
      <c r="Q50" s="282"/>
      <c r="R50" s="282"/>
      <c r="S50" s="282"/>
      <c r="T50" s="282"/>
      <c r="U50" s="641"/>
      <c r="V50" s="641"/>
      <c r="W50" s="641"/>
      <c r="X50" s="641"/>
      <c r="Y50" s="641"/>
      <c r="Z50" s="641"/>
      <c r="AA50" s="641"/>
      <c r="AB50" s="641"/>
      <c r="AC50" s="641"/>
      <c r="AD50" s="641"/>
      <c r="AE50" s="641"/>
      <c r="AF50" s="641"/>
      <c r="AG50" s="641"/>
      <c r="AH50" s="641"/>
      <c r="AI50" s="641"/>
      <c r="AJ50" s="641"/>
      <c r="AK50" s="641"/>
      <c r="AL50" s="641"/>
      <c r="AM50" s="641"/>
      <c r="AN50" s="641"/>
    </row>
    <row r="51" spans="1:40">
      <c r="A51" s="641"/>
      <c r="B51" s="641"/>
      <c r="C51" s="641"/>
      <c r="D51" s="641"/>
      <c r="E51" s="641"/>
      <c r="F51" s="641"/>
      <c r="G51" s="641"/>
      <c r="H51" s="641"/>
      <c r="I51" s="641"/>
      <c r="J51" s="830"/>
      <c r="K51" s="641"/>
      <c r="L51" s="282"/>
      <c r="M51" s="282"/>
      <c r="N51" s="282"/>
      <c r="O51" s="282"/>
      <c r="P51" s="282"/>
      <c r="Q51" s="282"/>
      <c r="R51" s="282"/>
      <c r="S51" s="282"/>
      <c r="T51" s="282"/>
      <c r="U51" s="641"/>
      <c r="V51" s="641"/>
      <c r="W51" s="641"/>
      <c r="X51" s="641"/>
      <c r="Y51" s="641"/>
      <c r="Z51" s="641"/>
      <c r="AA51" s="641"/>
      <c r="AB51" s="641"/>
      <c r="AC51" s="641"/>
      <c r="AD51" s="641"/>
      <c r="AE51" s="641"/>
      <c r="AF51" s="641"/>
      <c r="AG51" s="641"/>
      <c r="AH51" s="641"/>
      <c r="AI51" s="641"/>
      <c r="AJ51" s="641"/>
      <c r="AK51" s="641"/>
      <c r="AL51" s="641"/>
      <c r="AM51" s="641"/>
      <c r="AN51" s="641"/>
    </row>
    <row r="52" spans="1:40">
      <c r="A52" s="641"/>
      <c r="B52" s="641"/>
      <c r="C52" s="641"/>
      <c r="D52" s="641"/>
      <c r="E52" s="641"/>
      <c r="F52" s="641"/>
      <c r="G52" s="641"/>
      <c r="H52" s="641"/>
      <c r="I52" s="641"/>
      <c r="J52" s="830"/>
      <c r="K52" s="641"/>
      <c r="L52" s="282"/>
      <c r="M52" s="282"/>
      <c r="N52" s="282"/>
      <c r="O52" s="282"/>
      <c r="P52" s="282"/>
      <c r="Q52" s="282"/>
      <c r="R52" s="282"/>
      <c r="S52" s="282"/>
      <c r="T52" s="282"/>
      <c r="U52" s="641"/>
      <c r="V52" s="641"/>
      <c r="W52" s="641"/>
      <c r="X52" s="641"/>
      <c r="Y52" s="641"/>
      <c r="Z52" s="641"/>
      <c r="AA52" s="641"/>
      <c r="AB52" s="641"/>
      <c r="AC52" s="641"/>
      <c r="AD52" s="641"/>
      <c r="AE52" s="641"/>
      <c r="AF52" s="641"/>
      <c r="AG52" s="641"/>
      <c r="AH52" s="641"/>
      <c r="AI52" s="641"/>
      <c r="AJ52" s="641"/>
      <c r="AK52" s="641"/>
      <c r="AL52" s="641"/>
      <c r="AM52" s="641"/>
      <c r="AN52" s="641"/>
    </row>
    <row r="53" spans="1:40">
      <c r="A53" s="641"/>
      <c r="B53" s="641"/>
      <c r="C53" s="641"/>
      <c r="D53" s="641"/>
      <c r="E53" s="641"/>
      <c r="F53" s="641"/>
      <c r="G53" s="641"/>
      <c r="H53" s="641"/>
      <c r="I53" s="641"/>
      <c r="J53" s="830"/>
      <c r="K53" s="641"/>
      <c r="L53" s="282"/>
      <c r="M53" s="282"/>
      <c r="N53" s="282"/>
      <c r="O53" s="282"/>
      <c r="P53" s="282"/>
      <c r="Q53" s="282"/>
      <c r="R53" s="282"/>
      <c r="S53" s="282"/>
      <c r="T53" s="282"/>
      <c r="U53" s="282"/>
      <c r="V53" s="830"/>
      <c r="W53" s="830"/>
      <c r="X53" s="830"/>
      <c r="Y53" s="641"/>
      <c r="Z53" s="641"/>
      <c r="AA53" s="641"/>
      <c r="AB53" s="641"/>
      <c r="AC53" s="641"/>
      <c r="AD53" s="641"/>
      <c r="AE53" s="641"/>
      <c r="AF53" s="641"/>
      <c r="AG53" s="641"/>
      <c r="AH53" s="641"/>
      <c r="AI53" s="641"/>
      <c r="AJ53" s="641"/>
      <c r="AK53" s="641"/>
      <c r="AL53" s="641"/>
      <c r="AM53" s="641"/>
      <c r="AN53" s="641"/>
    </row>
    <row r="54" spans="1:40">
      <c r="A54" s="830"/>
      <c r="B54" s="830"/>
      <c r="C54" s="830"/>
      <c r="D54" s="830"/>
      <c r="E54" s="830"/>
      <c r="F54" s="970"/>
      <c r="G54" s="641"/>
      <c r="H54" s="641"/>
      <c r="I54" s="641"/>
      <c r="J54" s="830"/>
      <c r="K54" s="641"/>
      <c r="L54" s="282"/>
      <c r="M54" s="282"/>
      <c r="N54" s="282"/>
      <c r="O54" s="830"/>
      <c r="P54" s="282"/>
      <c r="Q54" s="282"/>
      <c r="R54" s="282"/>
      <c r="S54" s="282"/>
      <c r="T54" s="282"/>
      <c r="U54" s="282"/>
      <c r="V54" s="830"/>
      <c r="W54" s="830"/>
      <c r="X54" s="830"/>
      <c r="Y54" s="641"/>
      <c r="Z54" s="641"/>
      <c r="AA54" s="641"/>
      <c r="AB54" s="641"/>
      <c r="AC54" s="641"/>
      <c r="AD54" s="641"/>
      <c r="AE54" s="641"/>
      <c r="AF54" s="641"/>
      <c r="AG54" s="641"/>
      <c r="AH54" s="641"/>
      <c r="AI54" s="641"/>
      <c r="AJ54" s="641"/>
      <c r="AK54" s="641"/>
      <c r="AL54" s="641"/>
      <c r="AM54" s="641"/>
      <c r="AN54" s="641"/>
    </row>
    <row r="55" spans="1:40">
      <c r="A55" s="830"/>
      <c r="B55" s="830"/>
      <c r="C55" s="830"/>
      <c r="D55" s="830"/>
      <c r="E55" s="830"/>
      <c r="F55" s="970"/>
      <c r="G55" s="641"/>
      <c r="H55" s="641"/>
      <c r="I55" s="641"/>
      <c r="J55" s="641"/>
      <c r="K55" s="641"/>
      <c r="L55" s="282"/>
      <c r="M55" s="282"/>
      <c r="N55" s="282"/>
      <c r="O55" s="830"/>
      <c r="P55" s="282"/>
      <c r="Q55" s="282"/>
      <c r="R55" s="282"/>
      <c r="S55" s="282"/>
      <c r="T55" s="282"/>
      <c r="U55" s="282"/>
      <c r="V55" s="830"/>
      <c r="W55" s="830"/>
      <c r="X55" s="830"/>
      <c r="Y55" s="641"/>
      <c r="Z55" s="641"/>
      <c r="AA55" s="641"/>
      <c r="AB55" s="641"/>
      <c r="AC55" s="641"/>
      <c r="AD55" s="641"/>
      <c r="AE55" s="641"/>
      <c r="AF55" s="641"/>
      <c r="AG55" s="641"/>
      <c r="AH55" s="641"/>
      <c r="AI55" s="641"/>
      <c r="AJ55" s="641"/>
      <c r="AK55" s="641"/>
      <c r="AL55" s="641"/>
      <c r="AM55" s="641"/>
      <c r="AN55" s="641"/>
    </row>
    <row r="56" spans="1:40">
      <c r="A56" s="641"/>
      <c r="B56" s="641"/>
      <c r="C56" s="641"/>
      <c r="D56" s="641"/>
      <c r="E56" s="641"/>
      <c r="F56" s="641"/>
      <c r="G56" s="641"/>
      <c r="H56" s="641"/>
      <c r="I56" s="641"/>
      <c r="J56" s="641"/>
      <c r="K56" s="641"/>
      <c r="L56" s="282"/>
      <c r="M56" s="282"/>
      <c r="N56" s="282"/>
      <c r="O56" s="282"/>
      <c r="P56" s="282"/>
      <c r="Q56" s="282"/>
      <c r="R56" s="282"/>
      <c r="S56" s="282"/>
      <c r="T56" s="282"/>
      <c r="U56" s="282"/>
      <c r="V56" s="641"/>
      <c r="W56" s="641"/>
      <c r="X56" s="641"/>
      <c r="Y56" s="641"/>
      <c r="Z56" s="641"/>
      <c r="AA56" s="641"/>
      <c r="AB56" s="641"/>
      <c r="AC56" s="641"/>
      <c r="AD56" s="641"/>
      <c r="AE56" s="641"/>
      <c r="AF56" s="641"/>
      <c r="AG56" s="641"/>
      <c r="AH56" s="641"/>
      <c r="AI56" s="641"/>
      <c r="AJ56" s="641"/>
      <c r="AK56" s="641"/>
      <c r="AL56" s="641"/>
      <c r="AM56" s="641"/>
      <c r="AN56" s="641"/>
    </row>
    <row r="57" spans="1:40">
      <c r="A57" s="830"/>
      <c r="B57" s="830"/>
      <c r="C57" s="830"/>
      <c r="D57" s="830"/>
      <c r="E57" s="830"/>
      <c r="F57" s="970"/>
      <c r="G57" s="641"/>
      <c r="H57" s="641"/>
      <c r="I57" s="641"/>
      <c r="J57" s="641"/>
      <c r="K57" s="830"/>
      <c r="L57" s="830"/>
      <c r="M57" s="830"/>
      <c r="N57" s="830"/>
      <c r="O57" s="830"/>
      <c r="P57" s="282"/>
      <c r="Q57" s="282"/>
      <c r="R57" s="282"/>
      <c r="S57" s="282"/>
      <c r="T57" s="282"/>
      <c r="U57" s="282"/>
      <c r="V57" s="830"/>
      <c r="W57" s="641"/>
      <c r="X57" s="641"/>
      <c r="Y57" s="641"/>
      <c r="Z57" s="641"/>
      <c r="AA57" s="641"/>
      <c r="AB57" s="641"/>
      <c r="AC57" s="641"/>
      <c r="AD57" s="641"/>
      <c r="AE57" s="641"/>
      <c r="AF57" s="641"/>
      <c r="AG57" s="641"/>
      <c r="AH57" s="641"/>
      <c r="AI57" s="641"/>
      <c r="AJ57" s="641"/>
      <c r="AK57" s="641"/>
      <c r="AL57" s="641"/>
      <c r="AM57" s="641"/>
      <c r="AN57" s="641"/>
    </row>
    <row r="58" spans="1:40">
      <c r="A58" s="830"/>
      <c r="B58" s="830"/>
      <c r="C58" s="830"/>
      <c r="D58" s="830"/>
      <c r="E58" s="830"/>
      <c r="F58" s="970"/>
      <c r="G58" s="641"/>
      <c r="H58" s="641"/>
      <c r="I58" s="641"/>
      <c r="J58" s="641"/>
      <c r="K58" s="641"/>
      <c r="L58" s="282"/>
      <c r="M58" s="282"/>
      <c r="N58" s="282"/>
      <c r="O58" s="282"/>
      <c r="P58" s="282"/>
      <c r="Q58" s="282"/>
      <c r="R58" s="282"/>
      <c r="S58" s="282"/>
      <c r="T58" s="282"/>
      <c r="U58" s="282"/>
      <c r="V58" s="830"/>
      <c r="W58" s="641"/>
      <c r="X58" s="641"/>
      <c r="Y58" s="641"/>
      <c r="Z58" s="641"/>
      <c r="AA58" s="641"/>
      <c r="AB58" s="641"/>
      <c r="AC58" s="641"/>
      <c r="AD58" s="641"/>
      <c r="AE58" s="641"/>
      <c r="AF58" s="641"/>
      <c r="AG58" s="641"/>
      <c r="AH58" s="641"/>
      <c r="AI58" s="641"/>
      <c r="AJ58" s="641"/>
      <c r="AK58" s="641"/>
      <c r="AL58" s="641"/>
      <c r="AM58" s="641"/>
      <c r="AN58" s="641"/>
    </row>
    <row r="59" spans="1:40">
      <c r="A59" s="398"/>
      <c r="B59" s="398"/>
      <c r="C59" s="398"/>
      <c r="D59" s="398"/>
      <c r="E59" s="398"/>
      <c r="F59" s="829"/>
      <c r="V59" s="398"/>
    </row>
    <row r="60" spans="1:40">
      <c r="E60" s="398"/>
      <c r="F60" s="829"/>
      <c r="L60"/>
      <c r="M60"/>
      <c r="N60"/>
      <c r="O60"/>
      <c r="P60"/>
    </row>
    <row r="61" spans="1:40">
      <c r="E61" s="398"/>
      <c r="F61" s="829"/>
      <c r="L61"/>
      <c r="M61"/>
      <c r="N61"/>
      <c r="O61"/>
      <c r="P61"/>
    </row>
    <row r="62" spans="1:40">
      <c r="L62"/>
      <c r="M62"/>
      <c r="N62"/>
      <c r="O62"/>
      <c r="P62"/>
    </row>
    <row r="63" spans="1:40">
      <c r="L63"/>
      <c r="M63"/>
      <c r="N63"/>
      <c r="O63"/>
      <c r="P63"/>
    </row>
    <row r="64" spans="1:40">
      <c r="L64"/>
      <c r="M64"/>
      <c r="N64"/>
      <c r="O64"/>
      <c r="P64"/>
    </row>
    <row r="65" spans="12:23">
      <c r="L65"/>
      <c r="M65"/>
      <c r="N65"/>
      <c r="O65"/>
      <c r="P65"/>
    </row>
    <row r="66" spans="12:23">
      <c r="L66"/>
      <c r="M66"/>
      <c r="N66"/>
      <c r="O66"/>
      <c r="P66"/>
    </row>
    <row r="67" spans="12:23">
      <c r="L67"/>
      <c r="M67"/>
      <c r="N67"/>
      <c r="O67"/>
    </row>
    <row r="68" spans="12:23">
      <c r="L68"/>
      <c r="M68"/>
      <c r="N68"/>
      <c r="O68"/>
    </row>
    <row r="69" spans="12:23">
      <c r="L69"/>
      <c r="M69"/>
      <c r="N69"/>
      <c r="O69"/>
      <c r="P69"/>
      <c r="V69" s="22"/>
      <c r="W69" s="22"/>
    </row>
    <row r="70" spans="12:23">
      <c r="L70"/>
      <c r="M70"/>
      <c r="N70"/>
      <c r="O70"/>
      <c r="P70"/>
      <c r="V70" s="22"/>
      <c r="W70" s="22"/>
    </row>
    <row r="71" spans="12:23">
      <c r="N71"/>
      <c r="O71"/>
      <c r="P71"/>
      <c r="U71"/>
    </row>
    <row r="72" spans="12:23">
      <c r="N72"/>
      <c r="O72"/>
      <c r="P72"/>
    </row>
    <row r="73" spans="12:23">
      <c r="N73"/>
      <c r="O73"/>
      <c r="P73"/>
    </row>
    <row r="74" spans="12:23">
      <c r="N74"/>
      <c r="O74"/>
      <c r="P74"/>
    </row>
    <row r="75" spans="12:23">
      <c r="N75"/>
      <c r="O75"/>
      <c r="P75"/>
    </row>
    <row r="76" spans="12:23">
      <c r="N76"/>
      <c r="O76"/>
      <c r="P76"/>
    </row>
    <row r="77" spans="12:23">
      <c r="N77"/>
      <c r="O77"/>
      <c r="P77"/>
    </row>
    <row r="78" spans="12:23">
      <c r="N78"/>
      <c r="O78"/>
      <c r="P78"/>
    </row>
    <row r="79" spans="12:23">
      <c r="N79"/>
      <c r="O79"/>
      <c r="P79"/>
    </row>
    <row r="88" spans="2:21">
      <c r="B88" s="830"/>
      <c r="C88" s="830"/>
      <c r="D88" s="830"/>
      <c r="E88" s="830"/>
      <c r="F88" s="830"/>
      <c r="G88" s="830"/>
      <c r="H88" s="830"/>
      <c r="I88" s="830"/>
      <c r="J88" s="830"/>
      <c r="K88" s="830"/>
      <c r="L88" s="282"/>
      <c r="T88" s="159"/>
      <c r="U88" s="159"/>
    </row>
    <row r="130" spans="10:22">
      <c r="V130" s="22"/>
    </row>
    <row r="131" spans="10:22">
      <c r="V131" s="22"/>
    </row>
    <row r="132" spans="10:22">
      <c r="V132" s="22"/>
    </row>
    <row r="139" spans="10:22">
      <c r="J139" s="831"/>
    </row>
    <row r="146" spans="1:22" ht="13.5" thickBot="1"/>
    <row r="147" spans="1:22">
      <c r="A147" s="832" t="s">
        <v>900</v>
      </c>
      <c r="B147" s="833"/>
      <c r="C147" s="833"/>
      <c r="D147" s="833"/>
      <c r="E147" s="833"/>
      <c r="F147" s="833"/>
      <c r="G147" s="833"/>
      <c r="H147" s="834"/>
      <c r="I147" s="834"/>
      <c r="J147" s="834"/>
      <c r="K147" s="834"/>
      <c r="L147" s="834"/>
      <c r="M147" s="834"/>
      <c r="N147" s="834"/>
      <c r="O147" s="834"/>
      <c r="P147" s="834"/>
      <c r="Q147" s="834"/>
      <c r="R147" s="834"/>
      <c r="S147" s="834"/>
      <c r="T147" s="834"/>
      <c r="U147" s="834"/>
      <c r="V147" s="835"/>
    </row>
    <row r="148" spans="1:22">
      <c r="A148" s="1208" t="s">
        <v>885</v>
      </c>
      <c r="B148" s="1209"/>
      <c r="C148" s="836" t="s">
        <v>886</v>
      </c>
      <c r="D148" s="836"/>
      <c r="E148" s="1210" t="e">
        <f>#REF!</f>
        <v>#REF!</v>
      </c>
      <c r="F148" s="1209"/>
      <c r="G148" s="836" t="s">
        <v>886</v>
      </c>
      <c r="H148" s="837"/>
      <c r="I148" s="1210" t="e">
        <f>#REF!</f>
        <v>#REF!</v>
      </c>
      <c r="J148" s="1209"/>
      <c r="K148" s="836" t="s">
        <v>886</v>
      </c>
      <c r="L148" s="837"/>
      <c r="M148" s="1210" t="e">
        <f>#REF!</f>
        <v>#REF!</v>
      </c>
      <c r="N148" s="1209"/>
      <c r="O148" s="836" t="s">
        <v>886</v>
      </c>
      <c r="P148" s="837"/>
      <c r="Q148" s="1210" t="e">
        <f>#REF!</f>
        <v>#REF!</v>
      </c>
      <c r="R148" s="1209"/>
      <c r="S148" s="836" t="s">
        <v>886</v>
      </c>
      <c r="T148" s="837"/>
      <c r="U148" s="1210" t="e">
        <f>#REF!</f>
        <v>#REF!</v>
      </c>
      <c r="V148" s="1211"/>
    </row>
    <row r="149" spans="1:22">
      <c r="A149" s="838">
        <f>IF($AA$9="Varying",$AD$65,$AD$65)</f>
        <v>0</v>
      </c>
      <c r="B149" s="807">
        <f>IF($AA$9="Varying",$AD$66,$AD$66)</f>
        <v>0</v>
      </c>
      <c r="C149" s="808">
        <v>0</v>
      </c>
      <c r="D149" s="809">
        <f>IF($AA$9="Varying",-$AE$66,$AD$66)</f>
        <v>0</v>
      </c>
      <c r="E149" s="839" t="e">
        <f>IF($AA$9="Varying",$AE$65-(1-E148)*$AF$65,$AD$65)</f>
        <v>#REF!</v>
      </c>
      <c r="F149" s="840">
        <f t="shared" ref="F149:F154" si="13">D149</f>
        <v>0</v>
      </c>
      <c r="G149" s="808">
        <f>C149</f>
        <v>0</v>
      </c>
      <c r="H149" s="809">
        <f t="shared" ref="H149:H154" si="14">F149</f>
        <v>0</v>
      </c>
      <c r="I149" s="839" t="e">
        <f>IF($AA$9="Varying",$AE$65-(1-I148)*$AF$65,$AD$65)</f>
        <v>#REF!</v>
      </c>
      <c r="J149" s="840">
        <f t="shared" ref="J149:K151" si="15">F149</f>
        <v>0</v>
      </c>
      <c r="K149" s="808">
        <f t="shared" si="15"/>
        <v>0</v>
      </c>
      <c r="L149" s="809">
        <f t="shared" ref="L149:L154" si="16">J149</f>
        <v>0</v>
      </c>
      <c r="M149" s="839" t="e">
        <f>IF($AA$9="Varying",$AE$65-(1-M148)*$AF$65,$AD$65)</f>
        <v>#REF!</v>
      </c>
      <c r="N149" s="840">
        <f t="shared" ref="N149:O151" si="17">J149</f>
        <v>0</v>
      </c>
      <c r="O149" s="808">
        <f t="shared" si="17"/>
        <v>0</v>
      </c>
      <c r="P149" s="809">
        <f t="shared" ref="P149:P154" si="18">N149</f>
        <v>0</v>
      </c>
      <c r="Q149" s="839" t="e">
        <f>IF($AA$9="Varying",$AE$65-(1-Q148)*$AF$65,$AD$65)</f>
        <v>#REF!</v>
      </c>
      <c r="R149" s="840">
        <f t="shared" ref="R149:S151" si="19">N149</f>
        <v>0</v>
      </c>
      <c r="S149" s="808">
        <f t="shared" si="19"/>
        <v>0</v>
      </c>
      <c r="T149" s="809">
        <f t="shared" ref="T149:T154" si="20">R149</f>
        <v>0</v>
      </c>
      <c r="U149" s="839" t="e">
        <f>IF($AA$9="Varying",$AE$65-(1-U148)*$AF$65,$AD$65)</f>
        <v>#REF!</v>
      </c>
      <c r="V149" s="841">
        <f>R149</f>
        <v>0</v>
      </c>
    </row>
    <row r="150" spans="1:22">
      <c r="A150" s="838">
        <f>A149</f>
        <v>0</v>
      </c>
      <c r="B150" s="807">
        <f>B149-120</f>
        <v>-120</v>
      </c>
      <c r="C150" s="808">
        <f>C149</f>
        <v>0</v>
      </c>
      <c r="D150" s="809">
        <f>D149-120</f>
        <v>-120</v>
      </c>
      <c r="E150" s="839" t="e">
        <f>E149</f>
        <v>#REF!</v>
      </c>
      <c r="F150" s="840">
        <f t="shared" si="13"/>
        <v>-120</v>
      </c>
      <c r="G150" s="808">
        <f>C150</f>
        <v>0</v>
      </c>
      <c r="H150" s="809">
        <f t="shared" si="14"/>
        <v>-120</v>
      </c>
      <c r="I150" s="839" t="e">
        <f>I149</f>
        <v>#REF!</v>
      </c>
      <c r="J150" s="840">
        <f t="shared" si="15"/>
        <v>-120</v>
      </c>
      <c r="K150" s="808">
        <f t="shared" si="15"/>
        <v>0</v>
      </c>
      <c r="L150" s="809">
        <f t="shared" si="16"/>
        <v>-120</v>
      </c>
      <c r="M150" s="839" t="e">
        <f>M149</f>
        <v>#REF!</v>
      </c>
      <c r="N150" s="840">
        <f t="shared" si="17"/>
        <v>-120</v>
      </c>
      <c r="O150" s="808">
        <f t="shared" si="17"/>
        <v>0</v>
      </c>
      <c r="P150" s="809">
        <f t="shared" si="18"/>
        <v>-120</v>
      </c>
      <c r="Q150" s="839" t="e">
        <f>Q149</f>
        <v>#REF!</v>
      </c>
      <c r="R150" s="840">
        <f t="shared" si="19"/>
        <v>-120</v>
      </c>
      <c r="S150" s="808">
        <f t="shared" si="19"/>
        <v>0</v>
      </c>
      <c r="T150" s="809">
        <f t="shared" si="20"/>
        <v>-120</v>
      </c>
      <c r="U150" s="839" t="e">
        <f>U149</f>
        <v>#REF!</v>
      </c>
      <c r="V150" s="841">
        <f>R150</f>
        <v>-120</v>
      </c>
    </row>
    <row r="151" spans="1:22">
      <c r="A151" s="838">
        <f>A150</f>
        <v>0</v>
      </c>
      <c r="B151" s="807">
        <f>B150-120</f>
        <v>-240</v>
      </c>
      <c r="C151" s="808">
        <f>C150</f>
        <v>0</v>
      </c>
      <c r="D151" s="809">
        <f>D150-120</f>
        <v>-240</v>
      </c>
      <c r="E151" s="839" t="e">
        <f>E150</f>
        <v>#REF!</v>
      </c>
      <c r="F151" s="840">
        <f t="shared" si="13"/>
        <v>-240</v>
      </c>
      <c r="G151" s="808">
        <f>C151</f>
        <v>0</v>
      </c>
      <c r="H151" s="809">
        <f t="shared" si="14"/>
        <v>-240</v>
      </c>
      <c r="I151" s="839" t="e">
        <f>I150</f>
        <v>#REF!</v>
      </c>
      <c r="J151" s="840">
        <f t="shared" si="15"/>
        <v>-240</v>
      </c>
      <c r="K151" s="808">
        <f t="shared" si="15"/>
        <v>0</v>
      </c>
      <c r="L151" s="809">
        <f t="shared" si="16"/>
        <v>-240</v>
      </c>
      <c r="M151" s="839" t="e">
        <f>M150</f>
        <v>#REF!</v>
      </c>
      <c r="N151" s="840">
        <f t="shared" si="17"/>
        <v>-240</v>
      </c>
      <c r="O151" s="808">
        <f t="shared" si="17"/>
        <v>0</v>
      </c>
      <c r="P151" s="809">
        <f t="shared" si="18"/>
        <v>-240</v>
      </c>
      <c r="Q151" s="839" t="e">
        <f>Q150</f>
        <v>#REF!</v>
      </c>
      <c r="R151" s="840">
        <f t="shared" si="19"/>
        <v>-240</v>
      </c>
      <c r="S151" s="808">
        <f t="shared" si="19"/>
        <v>0</v>
      </c>
      <c r="T151" s="809">
        <f t="shared" si="20"/>
        <v>-240</v>
      </c>
      <c r="U151" s="839" t="e">
        <f>U150</f>
        <v>#REF!</v>
      </c>
      <c r="V151" s="841">
        <f>R151</f>
        <v>-240</v>
      </c>
    </row>
    <row r="152" spans="1:22">
      <c r="A152" s="838">
        <f>ROUND(G4/1.732,3)</f>
        <v>57.737000000000002</v>
      </c>
      <c r="B152" s="807">
        <v>0</v>
      </c>
      <c r="C152" s="808">
        <f t="shared" ref="C152:E154" si="21">A152</f>
        <v>57.737000000000002</v>
      </c>
      <c r="D152" s="809">
        <f t="shared" si="21"/>
        <v>0</v>
      </c>
      <c r="E152" s="839">
        <f t="shared" si="21"/>
        <v>57.737000000000002</v>
      </c>
      <c r="F152" s="840">
        <f t="shared" si="13"/>
        <v>0</v>
      </c>
      <c r="G152" s="808">
        <f>E152</f>
        <v>57.737000000000002</v>
      </c>
      <c r="H152" s="809">
        <f t="shared" si="14"/>
        <v>0</v>
      </c>
      <c r="I152" s="839">
        <f t="shared" ref="I152:K154" si="22">G152</f>
        <v>57.737000000000002</v>
      </c>
      <c r="J152" s="840">
        <f t="shared" si="22"/>
        <v>0</v>
      </c>
      <c r="K152" s="808">
        <f t="shared" si="22"/>
        <v>57.737000000000002</v>
      </c>
      <c r="L152" s="809">
        <f t="shared" si="16"/>
        <v>0</v>
      </c>
      <c r="M152" s="839">
        <f t="shared" ref="M152:O154" si="23">K152</f>
        <v>57.737000000000002</v>
      </c>
      <c r="N152" s="840">
        <f t="shared" si="23"/>
        <v>0</v>
      </c>
      <c r="O152" s="808">
        <f t="shared" si="23"/>
        <v>57.737000000000002</v>
      </c>
      <c r="P152" s="809">
        <f t="shared" si="18"/>
        <v>0</v>
      </c>
      <c r="Q152" s="839">
        <f t="shared" ref="Q152:S154" si="24">O152</f>
        <v>57.737000000000002</v>
      </c>
      <c r="R152" s="840">
        <f t="shared" si="24"/>
        <v>0</v>
      </c>
      <c r="S152" s="808">
        <f t="shared" si="24"/>
        <v>57.737000000000002</v>
      </c>
      <c r="T152" s="809">
        <f t="shared" si="20"/>
        <v>0</v>
      </c>
      <c r="U152" s="839">
        <f t="shared" ref="U152:V154" si="25">S152</f>
        <v>57.737000000000002</v>
      </c>
      <c r="V152" s="841">
        <f t="shared" si="25"/>
        <v>0</v>
      </c>
    </row>
    <row r="153" spans="1:22">
      <c r="A153" s="838">
        <f>A152</f>
        <v>57.737000000000002</v>
      </c>
      <c r="B153" s="807">
        <v>-120</v>
      </c>
      <c r="C153" s="808">
        <f t="shared" si="21"/>
        <v>57.737000000000002</v>
      </c>
      <c r="D153" s="809">
        <f t="shared" si="21"/>
        <v>-120</v>
      </c>
      <c r="E153" s="839">
        <f t="shared" si="21"/>
        <v>57.737000000000002</v>
      </c>
      <c r="F153" s="840">
        <f t="shared" si="13"/>
        <v>-120</v>
      </c>
      <c r="G153" s="808">
        <f>E153</f>
        <v>57.737000000000002</v>
      </c>
      <c r="H153" s="809">
        <f t="shared" si="14"/>
        <v>-120</v>
      </c>
      <c r="I153" s="839">
        <f t="shared" si="22"/>
        <v>57.737000000000002</v>
      </c>
      <c r="J153" s="840">
        <f t="shared" si="22"/>
        <v>-120</v>
      </c>
      <c r="K153" s="808">
        <f t="shared" si="22"/>
        <v>57.737000000000002</v>
      </c>
      <c r="L153" s="809">
        <f t="shared" si="16"/>
        <v>-120</v>
      </c>
      <c r="M153" s="839">
        <f t="shared" si="23"/>
        <v>57.737000000000002</v>
      </c>
      <c r="N153" s="840">
        <f t="shared" si="23"/>
        <v>-120</v>
      </c>
      <c r="O153" s="808">
        <f t="shared" si="23"/>
        <v>57.737000000000002</v>
      </c>
      <c r="P153" s="809">
        <f t="shared" si="18"/>
        <v>-120</v>
      </c>
      <c r="Q153" s="839">
        <f t="shared" si="24"/>
        <v>57.737000000000002</v>
      </c>
      <c r="R153" s="840">
        <f t="shared" si="24"/>
        <v>-120</v>
      </c>
      <c r="S153" s="808">
        <f t="shared" si="24"/>
        <v>57.737000000000002</v>
      </c>
      <c r="T153" s="809">
        <f t="shared" si="20"/>
        <v>-120</v>
      </c>
      <c r="U153" s="839">
        <f t="shared" si="25"/>
        <v>57.737000000000002</v>
      </c>
      <c r="V153" s="841">
        <f t="shared" si="25"/>
        <v>-120</v>
      </c>
    </row>
    <row r="154" spans="1:22" ht="13.5" thickBot="1">
      <c r="A154" s="842">
        <f>A153</f>
        <v>57.737000000000002</v>
      </c>
      <c r="B154" s="843">
        <v>120</v>
      </c>
      <c r="C154" s="844">
        <f t="shared" si="21"/>
        <v>57.737000000000002</v>
      </c>
      <c r="D154" s="845">
        <f t="shared" si="21"/>
        <v>120</v>
      </c>
      <c r="E154" s="846">
        <f t="shared" si="21"/>
        <v>57.737000000000002</v>
      </c>
      <c r="F154" s="847">
        <f t="shared" si="13"/>
        <v>120</v>
      </c>
      <c r="G154" s="844">
        <f>E154</f>
        <v>57.737000000000002</v>
      </c>
      <c r="H154" s="845">
        <f t="shared" si="14"/>
        <v>120</v>
      </c>
      <c r="I154" s="846">
        <f t="shared" si="22"/>
        <v>57.737000000000002</v>
      </c>
      <c r="J154" s="847">
        <f t="shared" si="22"/>
        <v>120</v>
      </c>
      <c r="K154" s="844">
        <f t="shared" si="22"/>
        <v>57.737000000000002</v>
      </c>
      <c r="L154" s="845">
        <f t="shared" si="16"/>
        <v>120</v>
      </c>
      <c r="M154" s="846">
        <f t="shared" si="23"/>
        <v>57.737000000000002</v>
      </c>
      <c r="N154" s="847">
        <f t="shared" si="23"/>
        <v>120</v>
      </c>
      <c r="O154" s="844">
        <f t="shared" si="23"/>
        <v>57.737000000000002</v>
      </c>
      <c r="P154" s="845">
        <f t="shared" si="18"/>
        <v>120</v>
      </c>
      <c r="Q154" s="846">
        <f t="shared" si="24"/>
        <v>57.737000000000002</v>
      </c>
      <c r="R154" s="847">
        <f t="shared" si="24"/>
        <v>120</v>
      </c>
      <c r="S154" s="844">
        <f t="shared" si="24"/>
        <v>57.737000000000002</v>
      </c>
      <c r="T154" s="845">
        <f t="shared" si="20"/>
        <v>120</v>
      </c>
      <c r="U154" s="846">
        <f t="shared" si="25"/>
        <v>57.737000000000002</v>
      </c>
      <c r="V154" s="848">
        <f t="shared" si="25"/>
        <v>120</v>
      </c>
    </row>
    <row r="158" spans="1:22">
      <c r="I158" s="1222" t="s">
        <v>901</v>
      </c>
      <c r="J158" s="1223"/>
    </row>
    <row r="159" spans="1:22">
      <c r="I159" s="604" t="s">
        <v>708</v>
      </c>
      <c r="J159" s="706">
        <f>IF(AB6=TRUE,MIN(C3,H7),MIN(C3,H7,J7))/C3*C4/2</f>
        <v>1.3888888888888888</v>
      </c>
    </row>
    <row r="160" spans="1:22">
      <c r="I160" s="604"/>
      <c r="J160" s="706"/>
    </row>
    <row r="161" spans="3:11">
      <c r="C161" s="179" t="s">
        <v>213</v>
      </c>
      <c r="D161" s="180">
        <v>30</v>
      </c>
      <c r="E161" s="849"/>
      <c r="I161" s="604" t="s">
        <v>71</v>
      </c>
      <c r="J161" s="706">
        <v>-15</v>
      </c>
    </row>
    <row r="162" spans="3:11">
      <c r="I162" s="524">
        <f>J159</f>
        <v>1.3888888888888888</v>
      </c>
      <c r="J162" s="525">
        <f>AB9+180+J161</f>
        <v>345</v>
      </c>
    </row>
    <row r="163" spans="3:11">
      <c r="C163" s="850" t="s">
        <v>902</v>
      </c>
      <c r="D163" s="851" t="str">
        <f>C3&amp;"/"&amp;C4</f>
        <v>1800/5</v>
      </c>
      <c r="E163" s="851" t="str">
        <f>H7&amp;"/"&amp;H8&amp;IF($AB$6=TRUE,"",", "&amp;J7&amp;"/"&amp;J8)</f>
        <v>1000/5</v>
      </c>
      <c r="I163" s="524">
        <f>I162</f>
        <v>1.3888888888888888</v>
      </c>
      <c r="J163" s="525">
        <f>J162-120</f>
        <v>225</v>
      </c>
    </row>
    <row r="164" spans="3:11">
      <c r="C164" s="850" t="s">
        <v>903</v>
      </c>
      <c r="D164" s="48">
        <f>ROUND(G4/1.732,2)</f>
        <v>57.74</v>
      </c>
      <c r="E164" s="13" t="s">
        <v>904</v>
      </c>
      <c r="I164" s="524">
        <f>I162</f>
        <v>1.3888888888888888</v>
      </c>
      <c r="J164" s="525">
        <f>J163-120</f>
        <v>105</v>
      </c>
      <c r="K164" s="1004"/>
    </row>
    <row r="165" spans="3:11">
      <c r="I165" s="600">
        <f>ROUND(G4/1.732,2)</f>
        <v>57.74</v>
      </c>
      <c r="J165" s="525">
        <v>0</v>
      </c>
    </row>
    <row r="166" spans="3:11">
      <c r="C166" s="516" t="s">
        <v>906</v>
      </c>
      <c r="D166" s="516">
        <f>DIFI_2</f>
        <v>6.8</v>
      </c>
      <c r="E166" s="516"/>
      <c r="I166" s="600">
        <f>I165</f>
        <v>57.74</v>
      </c>
      <c r="J166" s="525">
        <v>-120</v>
      </c>
    </row>
    <row r="167" spans="3:11">
      <c r="C167" s="516" t="s">
        <v>907</v>
      </c>
      <c r="D167" s="516">
        <f>DIFIC</f>
        <v>0.09</v>
      </c>
      <c r="E167" s="516"/>
      <c r="I167" s="600">
        <f>I166</f>
        <v>57.74</v>
      </c>
      <c r="J167" s="525">
        <v>120</v>
      </c>
    </row>
    <row r="168" spans="3:11">
      <c r="I168" s="957" t="s">
        <v>908</v>
      </c>
      <c r="J168" s="958">
        <f>ROUND(J170*J171*1.732/1000*COS(RADIANS(J161)),2)*IF($AA$9="Fixed",1,-1)</f>
        <v>-184.03</v>
      </c>
    </row>
    <row r="169" spans="3:11">
      <c r="I169" s="957" t="s">
        <v>909</v>
      </c>
      <c r="J169" s="958">
        <f>ROUND(-J170*J171*1.732/1000*SIN(RADIANS(J161)),2)*IF($AA$9="Fixed",1,-1)</f>
        <v>-49.31</v>
      </c>
    </row>
    <row r="170" spans="3:11">
      <c r="C170" s="689" t="s">
        <v>914</v>
      </c>
      <c r="D170" s="689">
        <f>IF(H38&lt;100,8,0)</f>
        <v>8</v>
      </c>
      <c r="E170" s="689" t="s">
        <v>915</v>
      </c>
      <c r="I170" s="957" t="s">
        <v>910</v>
      </c>
      <c r="J170" s="959">
        <f>ROUND(G3,1)</f>
        <v>220</v>
      </c>
    </row>
    <row r="171" spans="3:11">
      <c r="I171" s="957" t="s">
        <v>911</v>
      </c>
      <c r="J171" s="961">
        <f>ROUND(I162*C3/C4,2)</f>
        <v>500</v>
      </c>
      <c r="K171" s="339"/>
    </row>
    <row r="172" spans="3:11">
      <c r="I172" s="960" t="s">
        <v>912</v>
      </c>
      <c r="J172" s="958">
        <f>ROUND(J159*C3/C4/1000,2)</f>
        <v>0.5</v>
      </c>
    </row>
    <row r="173" spans="3:11">
      <c r="I173" s="957" t="s">
        <v>913</v>
      </c>
      <c r="J173" s="958">
        <v>0</v>
      </c>
    </row>
    <row r="174" spans="3:11">
      <c r="I174" s="57" t="s">
        <v>970</v>
      </c>
      <c r="J174" s="1001">
        <f>COS(RADIANS(J161))</f>
        <v>0.96592582628906831</v>
      </c>
    </row>
    <row r="175" spans="3:11">
      <c r="I175" s="957" t="s">
        <v>931</v>
      </c>
      <c r="J175" s="1001">
        <f>DIFI_1*In*(1+CTerr_1)/In</f>
        <v>0.20400000000000001</v>
      </c>
    </row>
  </sheetData>
  <sheetProtection sheet="1" objects="1" scenarios="1"/>
  <mergeCells count="36">
    <mergeCell ref="I158:J158"/>
    <mergeCell ref="Q39:T39"/>
    <mergeCell ref="V39:Y39"/>
    <mergeCell ref="AG14:AH14"/>
    <mergeCell ref="AE14:AF14"/>
    <mergeCell ref="K24:L24"/>
    <mergeCell ref="M19:N19"/>
    <mergeCell ref="Q19:R19"/>
    <mergeCell ref="U19:V19"/>
    <mergeCell ref="I24:J24"/>
    <mergeCell ref="AA12:AD12"/>
    <mergeCell ref="X40:Y40"/>
    <mergeCell ref="W19:X19"/>
    <mergeCell ref="O8:R8"/>
    <mergeCell ref="O24:P24"/>
    <mergeCell ref="S24:T24"/>
    <mergeCell ref="W24:X24"/>
    <mergeCell ref="U24:V24"/>
    <mergeCell ref="Q24:R24"/>
    <mergeCell ref="X34:Y34"/>
    <mergeCell ref="A148:B148"/>
    <mergeCell ref="U148:V148"/>
    <mergeCell ref="I148:J148"/>
    <mergeCell ref="M148:N148"/>
    <mergeCell ref="Q148:R148"/>
    <mergeCell ref="E148:F148"/>
    <mergeCell ref="G6:H6"/>
    <mergeCell ref="A6:B6"/>
    <mergeCell ref="I19:J19"/>
    <mergeCell ref="C19:D19"/>
    <mergeCell ref="C24:D24"/>
    <mergeCell ref="AE22:AF22"/>
    <mergeCell ref="E19:F19"/>
    <mergeCell ref="E24:F24"/>
    <mergeCell ref="M24:N24"/>
    <mergeCell ref="G24:H24"/>
  </mergeCells>
  <phoneticPr fontId="29" type="noConversion"/>
  <conditionalFormatting sqref="E20:E21 G20:G21 I20:I21 K20:K21 M20:M21 O20:O21 Q20:Q21 S20:S21 U20:U21 W20:W21">
    <cfRule type="expression" dxfId="19" priority="1" stopIfTrue="1">
      <formula>E$20&gt;#REF!*50</formula>
    </cfRule>
  </conditionalFormatting>
  <conditionalFormatting sqref="D7">
    <cfRule type="expression" dxfId="18" priority="2" stopIfTrue="1">
      <formula>$AB$6=TRUE</formula>
    </cfRule>
    <cfRule type="expression" dxfId="17" priority="3" stopIfTrue="1">
      <formula>$D7/$J$8&lt;0.1</formula>
    </cfRule>
    <cfRule type="expression" dxfId="16" priority="4" stopIfTrue="1">
      <formula>$D7/$J$8&gt;2</formula>
    </cfRule>
  </conditionalFormatting>
  <conditionalFormatting sqref="D8">
    <cfRule type="expression" dxfId="15" priority="5" stopIfTrue="1">
      <formula>$AB$6=TRUE</formula>
    </cfRule>
    <cfRule type="expression" dxfId="14" priority="6" stopIfTrue="1">
      <formula>$D8/$J$8&lt;0.6</formula>
    </cfRule>
    <cfRule type="expression" dxfId="13" priority="7" stopIfTrue="1">
      <formula>$D8/$J$8&gt;24</formula>
    </cfRule>
  </conditionalFormatting>
  <conditionalFormatting sqref="I6:J8">
    <cfRule type="expression" dxfId="12" priority="8" stopIfTrue="1">
      <formula>$AB$6=FALSE</formula>
    </cfRule>
  </conditionalFormatting>
  <conditionalFormatting sqref="A149:A154 Q149:Q154 O152:O154 S152:S154 U149:U154">
    <cfRule type="expression" dxfId="11" priority="9" stopIfTrue="1">
      <formula>AA$25*3&gt;$C$4*2</formula>
    </cfRule>
  </conditionalFormatting>
  <conditionalFormatting sqref="B149:B154 R149:R154 P152:P154 T152:T154 V149:V154">
    <cfRule type="expression" dxfId="10" priority="10" stopIfTrue="1">
      <formula>AA$25*3&gt;$C$4*2</formula>
    </cfRule>
  </conditionalFormatting>
  <conditionalFormatting sqref="X34">
    <cfRule type="cellIs" dxfId="9" priority="11" stopIfTrue="1" operator="notEqual">
      <formula>"Stable"</formula>
    </cfRule>
  </conditionalFormatting>
  <conditionalFormatting sqref="C152:C154 I149:I154 G152:G154 M149:M154 K152:K154 E149:E154">
    <cfRule type="expression" dxfId="8" priority="12" stopIfTrue="1">
      <formula>#REF!*3&gt;$C$4*2</formula>
    </cfRule>
  </conditionalFormatting>
  <conditionalFormatting sqref="D152:D154 F149:F154 H152:H154 L152:L154 J149:J154 N149:N154">
    <cfRule type="expression" dxfId="7" priority="13" stopIfTrue="1">
      <formula>#REF!*3&gt;$C$4*2</formula>
    </cfRule>
  </conditionalFormatting>
  <conditionalFormatting sqref="G1:H1 E1">
    <cfRule type="expression" dxfId="6" priority="14" stopIfTrue="1">
      <formula>$AB$6=FALSE</formula>
    </cfRule>
  </conditionalFormatting>
  <conditionalFormatting sqref="F1">
    <cfRule type="expression" dxfId="5" priority="15" stopIfTrue="1">
      <formula>$AB$6=FALSE</formula>
    </cfRule>
  </conditionalFormatting>
  <conditionalFormatting sqref="S11:U14 N12:N14 O14:R14 AE14:AE15 AG14:AH15 AF15 N9:N10 I11:I14 K11:N11 K5:L5 Q1:Q7 Z7:Z14 U5:U10 O5:P7 N1:P3 N4:N5 V14:Y14">
    <cfRule type="expression" dxfId="4" priority="16" stopIfTrue="1">
      <formula>#REF!=FALSE</formula>
    </cfRule>
  </conditionalFormatting>
  <conditionalFormatting sqref="D6 D14 D9">
    <cfRule type="expression" dxfId="3" priority="17" stopIfTrue="1">
      <formula>$AB$6=TRUE</formula>
    </cfRule>
  </conditionalFormatting>
  <conditionalFormatting sqref="F3:G4">
    <cfRule type="expression" dxfId="2" priority="18" stopIfTrue="1">
      <formula>#REF!=FALSE</formula>
    </cfRule>
  </conditionalFormatting>
  <conditionalFormatting sqref="A30:D34">
    <cfRule type="expression" dxfId="1" priority="19" stopIfTrue="1">
      <formula>$AD$1=FALSE</formula>
    </cfRule>
  </conditionalFormatting>
  <conditionalFormatting sqref="C20:C21">
    <cfRule type="expression" dxfId="0" priority="20" stopIfTrue="1">
      <formula>$C$20&gt;#REF!*50</formula>
    </cfRule>
  </conditionalFormatting>
  <pageMargins left="0.75" right="0.75" top="0.57999999999999996" bottom="0.56000000000000005" header="0.5" footer="0.5"/>
  <pageSetup orientation="portrait" horizontalDpi="36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57378" r:id="rId4" name="SpinButton3">
          <controlPr defaultSize="0" autoLine="0" autoPict="0" linkedCell="AB10" r:id="rId5">
            <anchor moveWithCells="1">
              <from>
                <xdr:col>3</xdr:col>
                <xdr:colOff>47625</xdr:colOff>
                <xdr:row>16</xdr:row>
                <xdr:rowOff>142875</xdr:rowOff>
              </from>
              <to>
                <xdr:col>3</xdr:col>
                <xdr:colOff>257175</xdr:colOff>
                <xdr:row>18</xdr:row>
                <xdr:rowOff>9525</xdr:rowOff>
              </to>
            </anchor>
          </controlPr>
        </control>
      </mc:Choice>
      <mc:Fallback>
        <control shapeId="357378" r:id="rId4" name="SpinButton3"/>
      </mc:Fallback>
    </mc:AlternateContent>
    <mc:AlternateContent xmlns:mc="http://schemas.openxmlformats.org/markup-compatibility/2006">
      <mc:Choice Requires="x14">
        <control shapeId="357379" r:id="rId6" name="ComboBox2">
          <controlPr locked="0" defaultSize="0" autoLine="0" linkedCell="AA9" listFillRange="AA7:AA8" r:id="rId7">
            <anchor moveWithCells="1">
              <from>
                <xdr:col>1</xdr:col>
                <xdr:colOff>323850</xdr:colOff>
                <xdr:row>14</xdr:row>
                <xdr:rowOff>123825</xdr:rowOff>
              </from>
              <to>
                <xdr:col>3</xdr:col>
                <xdr:colOff>304800</xdr:colOff>
                <xdr:row>16</xdr:row>
                <xdr:rowOff>19050</xdr:rowOff>
              </to>
            </anchor>
          </controlPr>
        </control>
      </mc:Choice>
      <mc:Fallback>
        <control shapeId="357379" r:id="rId6" name="ComboBox2"/>
      </mc:Fallback>
    </mc:AlternateContent>
    <mc:AlternateContent xmlns:mc="http://schemas.openxmlformats.org/markup-compatibility/2006">
      <mc:Choice Requires="x14">
        <control shapeId="357380" r:id="rId8" name="CommandButton2">
          <controlPr locked="0" defaultSize="0" print="0" autoLine="0" r:id="rId9">
            <anchor moveWithCells="1">
              <from>
                <xdr:col>0</xdr:col>
                <xdr:colOff>85725</xdr:colOff>
                <xdr:row>19</xdr:row>
                <xdr:rowOff>95250</xdr:rowOff>
              </from>
              <to>
                <xdr:col>1</xdr:col>
                <xdr:colOff>333375</xdr:colOff>
                <xdr:row>21</xdr:row>
                <xdr:rowOff>85725</xdr:rowOff>
              </to>
            </anchor>
          </controlPr>
        </control>
      </mc:Choice>
      <mc:Fallback>
        <control shapeId="357380" r:id="rId8" name="CommandButton2"/>
      </mc:Fallback>
    </mc:AlternateContent>
    <mc:AlternateContent xmlns:mc="http://schemas.openxmlformats.org/markup-compatibility/2006">
      <mc:Choice Requires="x14">
        <control shapeId="357381" r:id="rId10" name="CommandButton3">
          <controlPr defaultSize="0" disabled="1" autoLine="0" r:id="rId11">
            <anchor moveWithCells="1">
              <from>
                <xdr:col>22</xdr:col>
                <xdr:colOff>333375</xdr:colOff>
                <xdr:row>10</xdr:row>
                <xdr:rowOff>152400</xdr:rowOff>
              </from>
              <to>
                <xdr:col>24</xdr:col>
                <xdr:colOff>495300</xdr:colOff>
                <xdr:row>12</xdr:row>
                <xdr:rowOff>152400</xdr:rowOff>
              </to>
            </anchor>
          </controlPr>
        </control>
      </mc:Choice>
      <mc:Fallback>
        <control shapeId="357381" r:id="rId10" name="CommandButton3"/>
      </mc:Fallback>
    </mc:AlternateContent>
    <mc:AlternateContent xmlns:mc="http://schemas.openxmlformats.org/markup-compatibility/2006">
      <mc:Choice Requires="x14">
        <control shapeId="357383" r:id="rId12" name="CommandButton4">
          <controlPr locked="0" defaultSize="0" print="0" autoLine="0" r:id="rId13">
            <anchor moveWithCells="1">
              <from>
                <xdr:col>0</xdr:col>
                <xdr:colOff>66675</xdr:colOff>
                <xdr:row>24</xdr:row>
                <xdr:rowOff>66675</xdr:rowOff>
              </from>
              <to>
                <xdr:col>1</xdr:col>
                <xdr:colOff>314325</xdr:colOff>
                <xdr:row>26</xdr:row>
                <xdr:rowOff>57150</xdr:rowOff>
              </to>
            </anchor>
          </controlPr>
        </control>
      </mc:Choice>
      <mc:Fallback>
        <control shapeId="357383" r:id="rId12" name="CommandButton4"/>
      </mc:Fallback>
    </mc:AlternateContent>
    <mc:AlternateContent xmlns:mc="http://schemas.openxmlformats.org/markup-compatibility/2006">
      <mc:Choice Requires="x14">
        <control shapeId="357385" r:id="rId14" name="ComboBox3">
          <controlPr locked="0" defaultSize="0" autoLine="0" linkedCell="AE11" listFillRange="AE2:AE5" r:id="rId15">
            <anchor moveWithCells="1" sizeWithCells="1">
              <from>
                <xdr:col>14</xdr:col>
                <xdr:colOff>0</xdr:colOff>
                <xdr:row>9</xdr:row>
                <xdr:rowOff>57150</xdr:rowOff>
              </from>
              <to>
                <xdr:col>16</xdr:col>
                <xdr:colOff>0</xdr:colOff>
                <xdr:row>10</xdr:row>
                <xdr:rowOff>104775</xdr:rowOff>
              </to>
            </anchor>
          </controlPr>
        </control>
      </mc:Choice>
      <mc:Fallback>
        <control shapeId="357385" r:id="rId14" name="ComboBox3"/>
      </mc:Fallback>
    </mc:AlternateContent>
    <mc:AlternateContent xmlns:mc="http://schemas.openxmlformats.org/markup-compatibility/2006">
      <mc:Choice Requires="x14">
        <control shapeId="357386" r:id="rId16" name="Label1">
          <controlPr autoLine="0" r:id="rId17">
            <anchor moveWithCells="1" sizeWithCells="1">
              <from>
                <xdr:col>14</xdr:col>
                <xdr:colOff>0</xdr:colOff>
                <xdr:row>8</xdr:row>
                <xdr:rowOff>104775</xdr:rowOff>
              </from>
              <to>
                <xdr:col>16</xdr:col>
                <xdr:colOff>28575</xdr:colOff>
                <xdr:row>9</xdr:row>
                <xdr:rowOff>95250</xdr:rowOff>
              </to>
            </anchor>
          </controlPr>
        </control>
      </mc:Choice>
      <mc:Fallback>
        <control shapeId="357386" r:id="rId16" name="Label1"/>
      </mc:Fallback>
    </mc:AlternateContent>
    <mc:AlternateContent xmlns:mc="http://schemas.openxmlformats.org/markup-compatibility/2006">
      <mc:Choice Requires="x14">
        <control shapeId="357388" r:id="rId18" name="ComboBox1">
          <controlPr locked="0" defaultSize="0" autoLine="0" linkedCell="AE12" listFillRange="AE2:AE5" r:id="rId19">
            <anchor moveWithCells="1" sizeWithCells="1">
              <from>
                <xdr:col>16</xdr:col>
                <xdr:colOff>19050</xdr:colOff>
                <xdr:row>9</xdr:row>
                <xdr:rowOff>57150</xdr:rowOff>
              </from>
              <to>
                <xdr:col>18</xdr:col>
                <xdr:colOff>9525</xdr:colOff>
                <xdr:row>10</xdr:row>
                <xdr:rowOff>104775</xdr:rowOff>
              </to>
            </anchor>
          </controlPr>
        </control>
      </mc:Choice>
      <mc:Fallback>
        <control shapeId="357388" r:id="rId18" name="ComboBox1"/>
      </mc:Fallback>
    </mc:AlternateContent>
    <mc:AlternateContent xmlns:mc="http://schemas.openxmlformats.org/markup-compatibility/2006">
      <mc:Choice Requires="x14">
        <control shapeId="357389" r:id="rId20" name="Label2">
          <controlPr autoLine="0" r:id="rId21">
            <anchor moveWithCells="1" sizeWithCells="1">
              <from>
                <xdr:col>16</xdr:col>
                <xdr:colOff>28575</xdr:colOff>
                <xdr:row>8</xdr:row>
                <xdr:rowOff>95250</xdr:rowOff>
              </from>
              <to>
                <xdr:col>18</xdr:col>
                <xdr:colOff>47625</xdr:colOff>
                <xdr:row>9</xdr:row>
                <xdr:rowOff>95250</xdr:rowOff>
              </to>
            </anchor>
          </controlPr>
        </control>
      </mc:Choice>
      <mc:Fallback>
        <control shapeId="357389" r:id="rId20" name="Label2"/>
      </mc:Fallback>
    </mc:AlternateContent>
    <mc:AlternateContent xmlns:mc="http://schemas.openxmlformats.org/markup-compatibility/2006">
      <mc:Choice Requires="x14">
        <control shapeId="357392" r:id="rId22" name="CommandButton5">
          <controlPr locked="0" defaultSize="0" print="0" autoFill="0" autoLine="0" r:id="rId23">
            <anchor moveWithCells="1">
              <from>
                <xdr:col>0</xdr:col>
                <xdr:colOff>85725</xdr:colOff>
                <xdr:row>16</xdr:row>
                <xdr:rowOff>57150</xdr:rowOff>
              </from>
              <to>
                <xdr:col>1</xdr:col>
                <xdr:colOff>285750</xdr:colOff>
                <xdr:row>18</xdr:row>
                <xdr:rowOff>47625</xdr:rowOff>
              </to>
            </anchor>
          </controlPr>
        </control>
      </mc:Choice>
      <mc:Fallback>
        <control shapeId="357392" r:id="rId22" name="CommandButton5"/>
      </mc:Fallback>
    </mc:AlternateContent>
    <mc:AlternateContent xmlns:mc="http://schemas.openxmlformats.org/markup-compatibility/2006">
      <mc:Choice Requires="x14">
        <control shapeId="357393" r:id="rId24" name="CommandButton6">
          <controlPr defaultSize="0" print="0" disabled="1" autoFill="0" autoLine="0" autoPict="0" r:id="rId25">
            <anchor moveWithCells="1">
              <from>
                <xdr:col>7</xdr:col>
                <xdr:colOff>38100</xdr:colOff>
                <xdr:row>15</xdr:row>
                <xdr:rowOff>38100</xdr:rowOff>
              </from>
              <to>
                <xdr:col>10</xdr:col>
                <xdr:colOff>266700</xdr:colOff>
                <xdr:row>17</xdr:row>
                <xdr:rowOff>28575</xdr:rowOff>
              </to>
            </anchor>
          </controlPr>
        </control>
      </mc:Choice>
      <mc:Fallback>
        <control shapeId="357393" r:id="rId24" name="CommandButton6"/>
      </mc:Fallback>
    </mc:AlternateContent>
    <mc:AlternateContent xmlns:mc="http://schemas.openxmlformats.org/markup-compatibility/2006">
      <mc:Choice Requires="x14">
        <control shapeId="357417" r:id="rId26" name="OptionButton1">
          <controlPr defaultSize="0" disabled="1" autoLine="0" autoPict="0" linkedCell="AF1" r:id="rId27">
            <anchor moveWithCells="1" sizeWithCells="1">
              <from>
                <xdr:col>18</xdr:col>
                <xdr:colOff>47625</xdr:colOff>
                <xdr:row>0</xdr:row>
                <xdr:rowOff>152400</xdr:rowOff>
              </from>
              <to>
                <xdr:col>20</xdr:col>
                <xdr:colOff>0</xdr:colOff>
                <xdr:row>2</xdr:row>
                <xdr:rowOff>19050</xdr:rowOff>
              </to>
            </anchor>
          </controlPr>
        </control>
      </mc:Choice>
      <mc:Fallback>
        <control shapeId="357417" r:id="rId26" name="OptionButton1"/>
      </mc:Fallback>
    </mc:AlternateContent>
    <mc:AlternateContent xmlns:mc="http://schemas.openxmlformats.org/markup-compatibility/2006">
      <mc:Choice Requires="x14">
        <control shapeId="357418" r:id="rId28" name="OptionButton2">
          <controlPr defaultSize="0" disabled="1" autoLine="0" r:id="rId29">
            <anchor moveWithCells="1" sizeWithCells="1">
              <from>
                <xdr:col>18</xdr:col>
                <xdr:colOff>47625</xdr:colOff>
                <xdr:row>2</xdr:row>
                <xdr:rowOff>0</xdr:rowOff>
              </from>
              <to>
                <xdr:col>19</xdr:col>
                <xdr:colOff>190500</xdr:colOff>
                <xdr:row>3</xdr:row>
                <xdr:rowOff>0</xdr:rowOff>
              </to>
            </anchor>
          </controlPr>
        </control>
      </mc:Choice>
      <mc:Fallback>
        <control shapeId="357418" r:id="rId28" name="OptionButton2"/>
      </mc:Fallback>
    </mc:AlternateContent>
    <mc:AlternateContent xmlns:mc="http://schemas.openxmlformats.org/markup-compatibility/2006">
      <mc:Choice Requires="x14">
        <control shapeId="357421" r:id="rId30" name="OptionButton3">
          <controlPr defaultSize="0" disabled="1" autoLine="0" linkedCell="AB6" r:id="rId31">
            <anchor moveWithCells="1" sizeWithCells="1">
              <from>
                <xdr:col>15</xdr:col>
                <xdr:colOff>323850</xdr:colOff>
                <xdr:row>0</xdr:row>
                <xdr:rowOff>152400</xdr:rowOff>
              </from>
              <to>
                <xdr:col>17</xdr:col>
                <xdr:colOff>257175</xdr:colOff>
                <xdr:row>2</xdr:row>
                <xdr:rowOff>19050</xdr:rowOff>
              </to>
            </anchor>
          </controlPr>
        </control>
      </mc:Choice>
      <mc:Fallback>
        <control shapeId="357421" r:id="rId30" name="OptionButton3"/>
      </mc:Fallback>
    </mc:AlternateContent>
    <mc:AlternateContent xmlns:mc="http://schemas.openxmlformats.org/markup-compatibility/2006">
      <mc:Choice Requires="x14">
        <control shapeId="357422" r:id="rId32" name="OptionButton4">
          <controlPr defaultSize="0" disabled="1" autoLine="0" r:id="rId33">
            <anchor moveWithCells="1" sizeWithCells="1">
              <from>
                <xdr:col>15</xdr:col>
                <xdr:colOff>323850</xdr:colOff>
                <xdr:row>2</xdr:row>
                <xdr:rowOff>0</xdr:rowOff>
              </from>
              <to>
                <xdr:col>17</xdr:col>
                <xdr:colOff>257175</xdr:colOff>
                <xdr:row>3</xdr:row>
                <xdr:rowOff>19050</xdr:rowOff>
              </to>
            </anchor>
          </controlPr>
        </control>
      </mc:Choice>
      <mc:Fallback>
        <control shapeId="357422" r:id="rId32" name="OptionButton4"/>
      </mc:Fallback>
    </mc:AlternateContent>
    <mc:AlternateContent xmlns:mc="http://schemas.openxmlformats.org/markup-compatibility/2006">
      <mc:Choice Requires="x14">
        <control shapeId="357423" r:id="rId34" name="CheckBox3">
          <controlPr locked="0" defaultSize="0" autoLine="0" linkedCell="AD1" r:id="rId35">
            <anchor moveWithCells="1">
              <from>
                <xdr:col>7</xdr:col>
                <xdr:colOff>19050</xdr:colOff>
                <xdr:row>2</xdr:row>
                <xdr:rowOff>152400</xdr:rowOff>
              </from>
              <to>
                <xdr:col>8</xdr:col>
                <xdr:colOff>476250</xdr:colOff>
                <xdr:row>4</xdr:row>
                <xdr:rowOff>47625</xdr:rowOff>
              </to>
            </anchor>
          </controlPr>
        </control>
      </mc:Choice>
      <mc:Fallback>
        <control shapeId="357423" r:id="rId34" name="CheckBox3"/>
      </mc:Fallback>
    </mc:AlternateContent>
    <mc:AlternateContent xmlns:mc="http://schemas.openxmlformats.org/markup-compatibility/2006">
      <mc:Choice Requires="x14">
        <control shapeId="357464" r:id="rId36" name="SpinButton1">
          <controlPr locked="0" defaultSize="0" autoLine="0" linkedCell="AC34" r:id="rId37">
            <anchor moveWithCells="1">
              <from>
                <xdr:col>20</xdr:col>
                <xdr:colOff>9525</xdr:colOff>
                <xdr:row>31</xdr:row>
                <xdr:rowOff>133350</xdr:rowOff>
              </from>
              <to>
                <xdr:col>20</xdr:col>
                <xdr:colOff>123825</xdr:colOff>
                <xdr:row>32</xdr:row>
                <xdr:rowOff>161925</xdr:rowOff>
              </to>
            </anchor>
          </controlPr>
        </control>
      </mc:Choice>
      <mc:Fallback>
        <control shapeId="357464" r:id="rId36" name="SpinButton1"/>
      </mc:Fallback>
    </mc:AlternateContent>
    <mc:AlternateContent xmlns:mc="http://schemas.openxmlformats.org/markup-compatibility/2006">
      <mc:Choice Requires="x14">
        <control shapeId="357465" r:id="rId38" name="SpinButton2">
          <controlPr locked="0" defaultSize="0" autoLine="0" linkedCell="AC35" r:id="rId37">
            <anchor moveWithCells="1">
              <from>
                <xdr:col>20</xdr:col>
                <xdr:colOff>9525</xdr:colOff>
                <xdr:row>33</xdr:row>
                <xdr:rowOff>9525</xdr:rowOff>
              </from>
              <to>
                <xdr:col>20</xdr:col>
                <xdr:colOff>123825</xdr:colOff>
                <xdr:row>34</xdr:row>
                <xdr:rowOff>28575</xdr:rowOff>
              </to>
            </anchor>
          </controlPr>
        </control>
      </mc:Choice>
      <mc:Fallback>
        <control shapeId="357465" r:id="rId38" name="SpinButton2"/>
      </mc:Fallback>
    </mc:AlternateContent>
    <mc:AlternateContent xmlns:mc="http://schemas.openxmlformats.org/markup-compatibility/2006">
      <mc:Choice Requires="x14">
        <control shapeId="357470" r:id="rId39" name="SpinButton4">
          <controlPr locked="0" defaultSize="0" autoLine="0" linkedCell="AC36" r:id="rId37">
            <anchor moveWithCells="1">
              <from>
                <xdr:col>21</xdr:col>
                <xdr:colOff>447675</xdr:colOff>
                <xdr:row>33</xdr:row>
                <xdr:rowOff>0</xdr:rowOff>
              </from>
              <to>
                <xdr:col>22</xdr:col>
                <xdr:colOff>104775</xdr:colOff>
                <xdr:row>34</xdr:row>
                <xdr:rowOff>19050</xdr:rowOff>
              </to>
            </anchor>
          </controlPr>
        </control>
      </mc:Choice>
      <mc:Fallback>
        <control shapeId="357470" r:id="rId39" name="SpinButton4"/>
      </mc:Fallback>
    </mc:AlternateContent>
    <mc:AlternateContent xmlns:mc="http://schemas.openxmlformats.org/markup-compatibility/2006">
      <mc:Choice Requires="x14">
        <control shapeId="357419" r:id="rId40" name="Group Box 43">
          <controlPr defaultSize="0" autoFill="0" autoPict="0">
            <anchor moveWithCells="1" sizeWithCells="1">
              <from>
                <xdr:col>18</xdr:col>
                <xdr:colOff>0</xdr:colOff>
                <xdr:row>0</xdr:row>
                <xdr:rowOff>57150</xdr:rowOff>
              </from>
              <to>
                <xdr:col>20</xdr:col>
                <xdr:colOff>0</xdr:colOff>
                <xdr:row>4</xdr:row>
                <xdr:rowOff>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357420" r:id="rId41" name="Group Box 44">
          <controlPr defaultSize="0" autoFill="0" autoPict="0">
            <anchor moveWithCells="1" sizeWithCells="1">
              <from>
                <xdr:col>15</xdr:col>
                <xdr:colOff>266700</xdr:colOff>
                <xdr:row>0</xdr:row>
                <xdr:rowOff>57150</xdr:rowOff>
              </from>
              <to>
                <xdr:col>17</xdr:col>
                <xdr:colOff>266700</xdr:colOff>
                <xdr:row>4</xdr:row>
                <xdr:rowOff>0</xdr:rowOff>
              </to>
            </anchor>
          </controlPr>
        </control>
      </mc:Choice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2:O38"/>
  <sheetViews>
    <sheetView tabSelected="1" workbookViewId="0">
      <selection activeCell="T19" sqref="T19"/>
    </sheetView>
  </sheetViews>
  <sheetFormatPr defaultRowHeight="12.75"/>
  <cols>
    <col min="5" max="5" width="2.5703125" customWidth="1"/>
    <col min="15" max="15" width="9.5703125" bestFit="1" customWidth="1"/>
  </cols>
  <sheetData>
    <row r="2" spans="2:15">
      <c r="B2" s="1235" t="s">
        <v>721</v>
      </c>
      <c r="C2" s="1235"/>
      <c r="F2" s="1" t="s">
        <v>722</v>
      </c>
      <c r="G2" s="58">
        <f>F5/F4</f>
        <v>0.99995599967733806</v>
      </c>
      <c r="O2" s="142" t="s">
        <v>956</v>
      </c>
    </row>
    <row r="3" spans="2:15">
      <c r="B3" s="608">
        <f>SQRT(F23^2+G23^2)</f>
        <v>2.9335484583110335E-3</v>
      </c>
      <c r="C3" s="609">
        <f>DEGREES(ATAN(G23/F23))</f>
        <v>0</v>
      </c>
      <c r="J3" s="1236" t="s">
        <v>839</v>
      </c>
      <c r="K3" s="1236"/>
      <c r="N3" s="984" t="s">
        <v>957</v>
      </c>
      <c r="O3" s="725">
        <v>38.5</v>
      </c>
    </row>
    <row r="4" spans="2:15">
      <c r="B4" s="95">
        <f>F4/1.732</f>
        <v>33.335289003621547</v>
      </c>
      <c r="C4" s="96">
        <f>G4</f>
        <v>0</v>
      </c>
      <c r="E4" s="610" t="s">
        <v>26</v>
      </c>
      <c r="F4" s="611">
        <f>C11</f>
        <v>57.736720554272516</v>
      </c>
      <c r="G4" s="610">
        <f>D11</f>
        <v>0</v>
      </c>
      <c r="J4" s="611">
        <f>F4</f>
        <v>57.736720554272516</v>
      </c>
      <c r="K4" s="610">
        <f>G4+180</f>
        <v>180</v>
      </c>
      <c r="N4" s="594"/>
      <c r="O4" s="985">
        <f>F4*$O$3/100</f>
        <v>22.228637413394917</v>
      </c>
    </row>
    <row r="5" spans="2:15">
      <c r="B5" s="95">
        <f>F5/1.732</f>
        <v>33.33382224014936</v>
      </c>
      <c r="C5" s="96">
        <f>G5</f>
        <v>-119.99854440632126</v>
      </c>
      <c r="E5" s="351" t="s">
        <v>723</v>
      </c>
      <c r="F5" s="612">
        <f>C15</f>
        <v>57.734180119938685</v>
      </c>
      <c r="G5" s="613">
        <f>D15</f>
        <v>-119.99854440632126</v>
      </c>
      <c r="J5" s="612">
        <f>F5</f>
        <v>57.734180119938685</v>
      </c>
      <c r="K5" s="613">
        <f>G5+180</f>
        <v>60.001455593678742</v>
      </c>
      <c r="N5" s="594"/>
      <c r="O5" s="946">
        <f>F5*$O$3/100</f>
        <v>22.227659346176392</v>
      </c>
    </row>
    <row r="6" spans="2:15">
      <c r="B6" s="95">
        <f>F6/1.732</f>
        <v>33.33382224014936</v>
      </c>
      <c r="C6" s="96">
        <f>G6</f>
        <v>119.99854440632126</v>
      </c>
      <c r="E6" s="614" t="s">
        <v>724</v>
      </c>
      <c r="F6" s="615">
        <f>C17</f>
        <v>57.734180119938685</v>
      </c>
      <c r="G6" s="616">
        <f>D17</f>
        <v>119.99854440632126</v>
      </c>
      <c r="J6" s="615">
        <f>F6</f>
        <v>57.734180119938685</v>
      </c>
      <c r="K6" s="616">
        <f>G6+180</f>
        <v>299.99854440632123</v>
      </c>
      <c r="N6" s="594"/>
      <c r="O6" s="987">
        <f>F6*$O$3/100</f>
        <v>22.227659346176392</v>
      </c>
    </row>
    <row r="7" spans="2:15">
      <c r="N7" s="986" t="s">
        <v>955</v>
      </c>
      <c r="O7" s="925">
        <f>O3/1.732-O4</f>
        <v>0</v>
      </c>
    </row>
    <row r="10" spans="2:15">
      <c r="B10" t="s">
        <v>741</v>
      </c>
      <c r="F10" s="57">
        <v>0</v>
      </c>
      <c r="G10" s="57">
        <v>0</v>
      </c>
      <c r="J10" s="57">
        <v>0</v>
      </c>
      <c r="K10" s="57">
        <v>0</v>
      </c>
    </row>
    <row r="11" spans="2:15">
      <c r="B11" s="610" t="s">
        <v>725</v>
      </c>
      <c r="C11" s="617">
        <f>(100-B13)/1.732</f>
        <v>57.736720554272516</v>
      </c>
      <c r="D11" s="610">
        <v>0</v>
      </c>
      <c r="F11" s="618">
        <f>C11*COS(RADIANS(D11))</f>
        <v>57.736720554272516</v>
      </c>
      <c r="G11" s="611">
        <f>C11*SIN(RADIANS(D11))</f>
        <v>0</v>
      </c>
      <c r="J11" s="95">
        <f>B4*COS(RADIANS(C4))</f>
        <v>33.335289003621547</v>
      </c>
      <c r="K11" s="57">
        <f>B4*SIN(RADIANS(C4))</f>
        <v>0</v>
      </c>
    </row>
    <row r="12" spans="2:15">
      <c r="B12" t="s">
        <v>726</v>
      </c>
      <c r="F12" s="619">
        <f>F11+F19</f>
        <v>-28.865819824171361</v>
      </c>
      <c r="G12" s="620">
        <f>G11+G19</f>
        <v>-49.999999999999993</v>
      </c>
      <c r="J12" s="58">
        <f>J11+J17</f>
        <v>16.669111276039935</v>
      </c>
      <c r="K12" s="58">
        <f>K11+K17</f>
        <v>-28.868360277136258</v>
      </c>
    </row>
    <row r="13" spans="2:15">
      <c r="B13" s="526">
        <v>0</v>
      </c>
      <c r="F13" s="619">
        <f>F12</f>
        <v>-28.865819824171361</v>
      </c>
      <c r="G13" s="620">
        <f>-G12</f>
        <v>49.999999999999993</v>
      </c>
      <c r="J13" s="58">
        <f>J12+J18</f>
        <v>2.9335484583228322E-3</v>
      </c>
      <c r="K13" s="58">
        <f>K12+K18</f>
        <v>0</v>
      </c>
    </row>
    <row r="14" spans="2:15">
      <c r="E14" s="57"/>
      <c r="F14" s="619">
        <f>F11</f>
        <v>57.736720554272516</v>
      </c>
      <c r="G14" s="620">
        <f>G11</f>
        <v>0</v>
      </c>
    </row>
    <row r="15" spans="2:15">
      <c r="B15" s="351" t="s">
        <v>727</v>
      </c>
      <c r="C15" s="612">
        <f>SQRT(F15^2+G15^2)</f>
        <v>57.734180119938685</v>
      </c>
      <c r="D15" s="613">
        <f>DEGREES(ATAN(G15/F15))-180</f>
        <v>-119.99854440632126</v>
      </c>
      <c r="E15" s="57"/>
      <c r="F15" s="621">
        <f>F12</f>
        <v>-28.865819824171361</v>
      </c>
      <c r="G15" s="612">
        <f>G12</f>
        <v>-49.999999999999993</v>
      </c>
    </row>
    <row r="16" spans="2:15">
      <c r="F16" s="57">
        <v>0</v>
      </c>
      <c r="G16" s="57">
        <v>0</v>
      </c>
    </row>
    <row r="17" spans="2:11">
      <c r="B17" s="614" t="s">
        <v>728</v>
      </c>
      <c r="C17" s="615">
        <f>SQRT(F17^2+G17^2)</f>
        <v>57.734180119938685</v>
      </c>
      <c r="D17" s="616">
        <f>DEGREES(ATAN(G17/F17))+180</f>
        <v>119.99854440632126</v>
      </c>
      <c r="F17" s="622">
        <f>F13</f>
        <v>-28.865819824171361</v>
      </c>
      <c r="G17" s="615">
        <f>G13</f>
        <v>49.999999999999993</v>
      </c>
      <c r="J17" s="95">
        <f>B5*COS(RADIANS(C5))</f>
        <v>-16.666177727581612</v>
      </c>
      <c r="K17" s="57">
        <f>B5*SIN(RADIANS(C5))</f>
        <v>-28.868360277136258</v>
      </c>
    </row>
    <row r="18" spans="2:11">
      <c r="J18" s="95">
        <f>B6*COS(RADIANS(C6))</f>
        <v>-16.666177727581612</v>
      </c>
      <c r="K18" s="57">
        <f>B6*SIN(RADIANS(C6))</f>
        <v>28.868360277136258</v>
      </c>
    </row>
    <row r="19" spans="2:11">
      <c r="B19" s="57" t="s">
        <v>75</v>
      </c>
      <c r="C19" s="95">
        <v>100</v>
      </c>
      <c r="D19" s="57">
        <v>-150</v>
      </c>
      <c r="F19" s="619">
        <f>C19*COS(RADIANS(D19))</f>
        <v>-86.602540378443877</v>
      </c>
      <c r="G19" s="620">
        <f>C19*SIN(RADIANS(D19))</f>
        <v>-49.999999999999993</v>
      </c>
    </row>
    <row r="20" spans="2:11">
      <c r="B20" s="57" t="s">
        <v>76</v>
      </c>
      <c r="C20" s="95">
        <v>100</v>
      </c>
      <c r="D20" s="57">
        <v>150</v>
      </c>
      <c r="F20" s="619">
        <f>C20*COS(RADIANS(D20))</f>
        <v>-86.602540378443877</v>
      </c>
      <c r="G20" s="620">
        <f>C20*SIN(RADIANS(D20))</f>
        <v>49.999999999999993</v>
      </c>
    </row>
    <row r="22" spans="2:11">
      <c r="F22" s="1234" t="s">
        <v>721</v>
      </c>
      <c r="G22" s="1234"/>
    </row>
    <row r="23" spans="2:11">
      <c r="F23" s="95">
        <f>(F11+F15+F17)/1.732</f>
        <v>2.9335484583110335E-3</v>
      </c>
      <c r="G23" s="95">
        <f>G11+G15+G17</f>
        <v>0</v>
      </c>
    </row>
    <row r="28" spans="2:11">
      <c r="B28" t="s">
        <v>740</v>
      </c>
      <c r="F28" s="57">
        <v>0</v>
      </c>
      <c r="G28" s="57">
        <v>0</v>
      </c>
    </row>
    <row r="29" spans="2:11">
      <c r="B29" s="610" t="s">
        <v>725</v>
      </c>
      <c r="C29" s="617">
        <f>(100-B31)/1.732</f>
        <v>4.7771399999999984</v>
      </c>
      <c r="D29" s="610">
        <v>0</v>
      </c>
      <c r="F29" s="618">
        <f>C29*COS(RADIANS(D29))</f>
        <v>4.7771399999999984</v>
      </c>
      <c r="G29" s="611">
        <f>C29*SIN(RADIANS(D29))</f>
        <v>0</v>
      </c>
    </row>
    <row r="30" spans="2:11">
      <c r="B30" t="s">
        <v>726</v>
      </c>
      <c r="F30" s="619">
        <f>F29+F37</f>
        <v>-81.825400378443874</v>
      </c>
      <c r="G30" s="620">
        <f>G29+G37</f>
        <v>-49.999999999999993</v>
      </c>
    </row>
    <row r="31" spans="2:11">
      <c r="B31" s="526">
        <v>91.725993520000003</v>
      </c>
      <c r="F31" s="619">
        <f>F30</f>
        <v>-81.825400378443874</v>
      </c>
      <c r="G31" s="620">
        <f>-G30</f>
        <v>49.999999999999993</v>
      </c>
    </row>
    <row r="32" spans="2:11">
      <c r="E32" s="57"/>
      <c r="F32" s="619">
        <f>F29</f>
        <v>4.7771399999999984</v>
      </c>
      <c r="G32" s="620">
        <f>G29</f>
        <v>0</v>
      </c>
    </row>
    <row r="33" spans="2:7">
      <c r="B33" s="351" t="s">
        <v>727</v>
      </c>
      <c r="C33" s="612">
        <f>SQRT(F33^2+G33^2)</f>
        <v>95.892628220800376</v>
      </c>
      <c r="D33" s="613">
        <f>DEGREES(ATAN(G33/F33))-180</f>
        <v>-148.57268344327161</v>
      </c>
      <c r="E33" s="57"/>
      <c r="F33" s="621">
        <f>F30</f>
        <v>-81.825400378443874</v>
      </c>
      <c r="G33" s="612">
        <f>G30</f>
        <v>-49.999999999999993</v>
      </c>
    </row>
    <row r="34" spans="2:7">
      <c r="F34" s="57">
        <v>0</v>
      </c>
      <c r="G34" s="57">
        <v>0</v>
      </c>
    </row>
    <row r="35" spans="2:7">
      <c r="B35" s="614" t="s">
        <v>728</v>
      </c>
      <c r="C35" s="615">
        <f>SQRT(F35^2+G35^2)</f>
        <v>95.892628220800376</v>
      </c>
      <c r="D35" s="616">
        <f>DEGREES(ATAN(G35/F35))+180</f>
        <v>148.57268344327161</v>
      </c>
      <c r="F35" s="622">
        <f>F31</f>
        <v>-81.825400378443874</v>
      </c>
      <c r="G35" s="615">
        <f>G31</f>
        <v>49.999999999999993</v>
      </c>
    </row>
    <row r="37" spans="2:7">
      <c r="B37" s="57" t="s">
        <v>75</v>
      </c>
      <c r="C37" s="95">
        <v>100</v>
      </c>
      <c r="D37" s="57">
        <v>-150</v>
      </c>
      <c r="F37" s="619">
        <f>C37*COS(RADIANS(D37))</f>
        <v>-86.602540378443877</v>
      </c>
      <c r="G37" s="620">
        <f>C37*SIN(RADIANS(D37))</f>
        <v>-49.999999999999993</v>
      </c>
    </row>
    <row r="38" spans="2:7">
      <c r="B38" s="57" t="s">
        <v>76</v>
      </c>
      <c r="C38" s="95">
        <v>100</v>
      </c>
      <c r="D38" s="57">
        <v>150</v>
      </c>
      <c r="F38" s="619">
        <f>C38*COS(RADIANS(D38))</f>
        <v>-86.602540378443877</v>
      </c>
      <c r="G38" s="620">
        <f>C38*SIN(RADIANS(D38))</f>
        <v>49.999999999999993</v>
      </c>
    </row>
  </sheetData>
  <mergeCells count="3">
    <mergeCell ref="F22:G22"/>
    <mergeCell ref="B2:C2"/>
    <mergeCell ref="J3:K3"/>
  </mergeCells>
  <phoneticPr fontId="29" type="noConversion"/>
  <pageMargins left="0.75" right="0.75" top="1" bottom="1" header="0.5" footer="0.5"/>
  <pageSetup paperSize="9"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348162" r:id="rId4" name="SpinButton1">
          <controlPr locked="0" defaultSize="0" autoLine="0" linkedCell="B13" r:id="rId5">
            <anchor moveWithCells="1">
              <from>
                <xdr:col>2</xdr:col>
                <xdr:colOff>381000</xdr:colOff>
                <xdr:row>0</xdr:row>
                <xdr:rowOff>57150</xdr:rowOff>
              </from>
              <to>
                <xdr:col>2</xdr:col>
                <xdr:colOff>600075</xdr:colOff>
                <xdr:row>2</xdr:row>
                <xdr:rowOff>0</xdr:rowOff>
              </to>
            </anchor>
          </controlPr>
        </control>
      </mc:Choice>
      <mc:Fallback>
        <control shapeId="348162" r:id="rId4" name="Spin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292</vt:i4>
      </vt:variant>
    </vt:vector>
  </HeadingPairs>
  <TitlesOfParts>
    <vt:vector size="296" baseType="lpstr">
      <vt:lpstr>Settings</vt:lpstr>
      <vt:lpstr>Characteristic</vt:lpstr>
      <vt:lpstr>7SD522</vt:lpstr>
      <vt:lpstr>EF calcs</vt:lpstr>
      <vt:lpstr>_Ang1</vt:lpstr>
      <vt:lpstr>_Ang2</vt:lpstr>
      <vt:lpstr>_Ang3</vt:lpstr>
      <vt:lpstr>_Dir1</vt:lpstr>
      <vt:lpstr>_Dir2</vt:lpstr>
      <vt:lpstr>_Dir3</vt:lpstr>
      <vt:lpstr>_Dir4</vt:lpstr>
      <vt:lpstr>_Dir5</vt:lpstr>
      <vt:lpstr>Alpha</vt:lpstr>
      <vt:lpstr>Ang1B</vt:lpstr>
      <vt:lpstr>Angle</vt:lpstr>
      <vt:lpstr>AngQ2</vt:lpstr>
      <vt:lpstr>AngQ2E</vt:lpstr>
      <vt:lpstr>AngQ4</vt:lpstr>
      <vt:lpstr>AngQ4E</vt:lpstr>
      <vt:lpstr>Beta</vt:lpstr>
      <vt:lpstr>CBF_I</vt:lpstr>
      <vt:lpstr>CBF_OC</vt:lpstr>
      <vt:lpstr>CBF_T1</vt:lpstr>
      <vt:lpstr>CBF_T2</vt:lpstr>
      <vt:lpstr>CBF_T3</vt:lpstr>
      <vt:lpstr>CT_dir</vt:lpstr>
      <vt:lpstr>CTerr_1</vt:lpstr>
      <vt:lpstr>CTerr_1r</vt:lpstr>
      <vt:lpstr>CTerr_2</vt:lpstr>
      <vt:lpstr>CTerr_2r</vt:lpstr>
      <vt:lpstr>CTerr_Thres</vt:lpstr>
      <vt:lpstr>DCEF_J</vt:lpstr>
      <vt:lpstr>DCEF_V</vt:lpstr>
      <vt:lpstr>DeadTime1</vt:lpstr>
      <vt:lpstr>DeadTime3</vt:lpstr>
      <vt:lpstr>DEF_Ang</vt:lpstr>
      <vt:lpstr>Delay_time</vt:lpstr>
      <vt:lpstr>Delta_I</vt:lpstr>
      <vt:lpstr>DeltaAng</vt:lpstr>
      <vt:lpstr>Diff_Time</vt:lpstr>
      <vt:lpstr>DIFG1</vt:lpstr>
      <vt:lpstr>DIFI_1</vt:lpstr>
      <vt:lpstr>DIFI_2</vt:lpstr>
      <vt:lpstr>DIFIC</vt:lpstr>
      <vt:lpstr>Dir1B</vt:lpstr>
      <vt:lpstr>DirDelta</vt:lpstr>
      <vt:lpstr>EFI</vt:lpstr>
      <vt:lpstr>ER_1</vt:lpstr>
      <vt:lpstr>ER_1B</vt:lpstr>
      <vt:lpstr>ER_2</vt:lpstr>
      <vt:lpstr>ER_3</vt:lpstr>
      <vt:lpstr>ER_4</vt:lpstr>
      <vt:lpstr>ER_5</vt:lpstr>
      <vt:lpstr>EX_1</vt:lpstr>
      <vt:lpstr>EX_1B</vt:lpstr>
      <vt:lpstr>EX_2</vt:lpstr>
      <vt:lpstr>EX_3</vt:lpstr>
      <vt:lpstr>EX_4</vt:lpstr>
      <vt:lpstr>EX_5</vt:lpstr>
      <vt:lpstr>FD_611</vt:lpstr>
      <vt:lpstr>FDe_611</vt:lpstr>
      <vt:lpstr>Feeder</vt:lpstr>
      <vt:lpstr>ForwardAng</vt:lpstr>
      <vt:lpstr>FwdAng1</vt:lpstr>
      <vt:lpstr>Gen_Trafo</vt:lpstr>
      <vt:lpstr>I_Nom</vt:lpstr>
      <vt:lpstr>In</vt:lpstr>
      <vt:lpstr>Inv_EF_Setting</vt:lpstr>
      <vt:lpstr>J_</vt:lpstr>
      <vt:lpstr>J_HS</vt:lpstr>
      <vt:lpstr>J_LS</vt:lpstr>
      <vt:lpstr>Je_</vt:lpstr>
      <vt:lpstr>Je_HS</vt:lpstr>
      <vt:lpstr>Je_LS</vt:lpstr>
      <vt:lpstr>Load_Ang_E</vt:lpstr>
      <vt:lpstr>Load_Comp</vt:lpstr>
      <vt:lpstr>Load_Comp_Ang</vt:lpstr>
      <vt:lpstr>Load_comp_Ang_E</vt:lpstr>
      <vt:lpstr>Load_Comp_Z1</vt:lpstr>
      <vt:lpstr>Load_Comp_Z1E</vt:lpstr>
      <vt:lpstr>LoadAng</vt:lpstr>
      <vt:lpstr>ManClose</vt:lpstr>
      <vt:lpstr>Max_Z</vt:lpstr>
      <vt:lpstr>Max_Ze</vt:lpstr>
      <vt:lpstr>Min_Op_time</vt:lpstr>
      <vt:lpstr>MVar</vt:lpstr>
      <vt:lpstr>MW</vt:lpstr>
      <vt:lpstr>NomVESF</vt:lpstr>
      <vt:lpstr>NomVESR</vt:lpstr>
      <vt:lpstr>NomVPh1</vt:lpstr>
      <vt:lpstr>NomVPh1B</vt:lpstr>
      <vt:lpstr>NomVPh2</vt:lpstr>
      <vt:lpstr>NomVPh3</vt:lpstr>
      <vt:lpstr>NomVPhSF</vt:lpstr>
      <vt:lpstr>NomVPhSR</vt:lpstr>
      <vt:lpstr>NomVZ1BE</vt:lpstr>
      <vt:lpstr>NomVZ1E</vt:lpstr>
      <vt:lpstr>NomVZ2E</vt:lpstr>
      <vt:lpstr>NomVZ3E</vt:lpstr>
      <vt:lpstr>OCI</vt:lpstr>
      <vt:lpstr>open_line</vt:lpstr>
      <vt:lpstr>OpTime</vt:lpstr>
      <vt:lpstr>Outlet</vt:lpstr>
      <vt:lpstr>Outlet_2</vt:lpstr>
      <vt:lpstr>PointA</vt:lpstr>
      <vt:lpstr>PointB</vt:lpstr>
      <vt:lpstr>PointC</vt:lpstr>
      <vt:lpstr>'7SD522'!Print_Area</vt:lpstr>
      <vt:lpstr>Settings!Print_Area</vt:lpstr>
      <vt:lpstr>PTTMode</vt:lpstr>
      <vt:lpstr>R_1</vt:lpstr>
      <vt:lpstr>R_1B</vt:lpstr>
      <vt:lpstr>R_1BE</vt:lpstr>
      <vt:lpstr>R_1E</vt:lpstr>
      <vt:lpstr>R_2</vt:lpstr>
      <vt:lpstr>R_2E</vt:lpstr>
      <vt:lpstr>R_3</vt:lpstr>
      <vt:lpstr>R_3E</vt:lpstr>
      <vt:lpstr>R_4</vt:lpstr>
      <vt:lpstr>R_4E</vt:lpstr>
      <vt:lpstr>R_5</vt:lpstr>
      <vt:lpstr>R_5E</vt:lpstr>
      <vt:lpstr>R_Load</vt:lpstr>
      <vt:lpstr>R_Load_E</vt:lpstr>
      <vt:lpstr>RBB_Coupler</vt:lpstr>
      <vt:lpstr>RE_RL</vt:lpstr>
      <vt:lpstr>RE_RL_Z1</vt:lpstr>
      <vt:lpstr>RefAng</vt:lpstr>
      <vt:lpstr>Rev_Vh_e</vt:lpstr>
      <vt:lpstr>Rev_Vh_e_Ang</vt:lpstr>
      <vt:lpstr>RevAng1</vt:lpstr>
      <vt:lpstr>ReverseAng</vt:lpstr>
      <vt:lpstr>SEF_I</vt:lpstr>
      <vt:lpstr>SEF_t</vt:lpstr>
      <vt:lpstr>SEF_V</vt:lpstr>
      <vt:lpstr>SEF_Vmax</vt:lpstr>
      <vt:lpstr>SEF_Vmin</vt:lpstr>
      <vt:lpstr>Slope</vt:lpstr>
      <vt:lpstr>SOTF_Isc</vt:lpstr>
      <vt:lpstr>'7SD522'!Starpoint</vt:lpstr>
      <vt:lpstr>Starpoint</vt:lpstr>
      <vt:lpstr>Station</vt:lpstr>
      <vt:lpstr>T_1</vt:lpstr>
      <vt:lpstr>T_1B</vt:lpstr>
      <vt:lpstr>T_2</vt:lpstr>
      <vt:lpstr>T_3</vt:lpstr>
      <vt:lpstr>T_4</vt:lpstr>
      <vt:lpstr>T_5</vt:lpstr>
      <vt:lpstr>t_J_HS</vt:lpstr>
      <vt:lpstr>t_J_LS</vt:lpstr>
      <vt:lpstr>t_Je_HS</vt:lpstr>
      <vt:lpstr>t_Je_LS</vt:lpstr>
      <vt:lpstr>Table</vt:lpstr>
      <vt:lpstr>TBF_1</vt:lpstr>
      <vt:lpstr>TBF_2</vt:lpstr>
      <vt:lpstr>TEFI</vt:lpstr>
      <vt:lpstr>TestV_SOTF_E</vt:lpstr>
      <vt:lpstr>TestVPTT</vt:lpstr>
      <vt:lpstr>TestVSOTF</vt:lpstr>
      <vt:lpstr>TestVZ1</vt:lpstr>
      <vt:lpstr>TestVZ1B</vt:lpstr>
      <vt:lpstr>TestVZ1BE</vt:lpstr>
      <vt:lpstr>TestVZ1E</vt:lpstr>
      <vt:lpstr>TestVZ2</vt:lpstr>
      <vt:lpstr>TestVZ2E</vt:lpstr>
      <vt:lpstr>TestVZ3</vt:lpstr>
      <vt:lpstr>TestVZ3E</vt:lpstr>
      <vt:lpstr>TestVZ4</vt:lpstr>
      <vt:lpstr>TestVZ4E</vt:lpstr>
      <vt:lpstr>TestVZ5</vt:lpstr>
      <vt:lpstr>TestVZ5E</vt:lpstr>
      <vt:lpstr>TimesTest_R_V</vt:lpstr>
      <vt:lpstr>TimesTest_R_V_E</vt:lpstr>
      <vt:lpstr>TimesTestV</vt:lpstr>
      <vt:lpstr>TimesTestV_E</vt:lpstr>
      <vt:lpstr>TimesTestV_PhF</vt:lpstr>
      <vt:lpstr>TimesTestVF</vt:lpstr>
      <vt:lpstr>TOCI</vt:lpstr>
      <vt:lpstr>V_Scaler_E</vt:lpstr>
      <vt:lpstr>Ve_F</vt:lpstr>
      <vt:lpstr>Ve_R</vt:lpstr>
      <vt:lpstr>Vh</vt:lpstr>
      <vt:lpstr>Vh_e</vt:lpstr>
      <vt:lpstr>Vh_e_Ang</vt:lpstr>
      <vt:lpstr>Vn</vt:lpstr>
      <vt:lpstr>WEI_UV</vt:lpstr>
      <vt:lpstr>X_1</vt:lpstr>
      <vt:lpstr>X_1B</vt:lpstr>
      <vt:lpstr>X_2</vt:lpstr>
      <vt:lpstr>X_3</vt:lpstr>
      <vt:lpstr>X_4</vt:lpstr>
      <vt:lpstr>X_5</vt:lpstr>
      <vt:lpstr>XE_XL</vt:lpstr>
      <vt:lpstr>XE_XL_Z1</vt:lpstr>
      <vt:lpstr>Z1_Ang</vt:lpstr>
      <vt:lpstr>Z1_Ang2</vt:lpstr>
      <vt:lpstr>Z1_Ang3</vt:lpstr>
      <vt:lpstr>Z1_Blinder1</vt:lpstr>
      <vt:lpstr>Z1_Blinder2</vt:lpstr>
      <vt:lpstr>Z1_C</vt:lpstr>
      <vt:lpstr>Z1_C2</vt:lpstr>
      <vt:lpstr>Z1_C3</vt:lpstr>
      <vt:lpstr>Z1_Mag</vt:lpstr>
      <vt:lpstr>Z1_Mag2</vt:lpstr>
      <vt:lpstr>Z1_Mag3</vt:lpstr>
      <vt:lpstr>Z1B_Ang</vt:lpstr>
      <vt:lpstr>Z1B_Ang2</vt:lpstr>
      <vt:lpstr>Z1B_Ang3</vt:lpstr>
      <vt:lpstr>Z1B_Blinder1</vt:lpstr>
      <vt:lpstr>Z1B_Blinder2</vt:lpstr>
      <vt:lpstr>Z1B_C</vt:lpstr>
      <vt:lpstr>Z1B_C2</vt:lpstr>
      <vt:lpstr>Z1B_C3</vt:lpstr>
      <vt:lpstr>Z1B_Mag</vt:lpstr>
      <vt:lpstr>Z1B_Mag2</vt:lpstr>
      <vt:lpstr>Z1B_Mag3</vt:lpstr>
      <vt:lpstr>Z1BE_Ang</vt:lpstr>
      <vt:lpstr>Z1BE_Ang2</vt:lpstr>
      <vt:lpstr>Z1BE_C</vt:lpstr>
      <vt:lpstr>Z1BE_C2</vt:lpstr>
      <vt:lpstr>Z1BE_Mag</vt:lpstr>
      <vt:lpstr>Z1BE_Mag2</vt:lpstr>
      <vt:lpstr>Z1E_Ang</vt:lpstr>
      <vt:lpstr>Z1E_Ang2</vt:lpstr>
      <vt:lpstr>Z1E_C</vt:lpstr>
      <vt:lpstr>Z1E_C2</vt:lpstr>
      <vt:lpstr>Z1E_Mag</vt:lpstr>
      <vt:lpstr>Z1E_Mag2</vt:lpstr>
      <vt:lpstr>Z2_Ang</vt:lpstr>
      <vt:lpstr>Z2_Ang2</vt:lpstr>
      <vt:lpstr>Z2_Ang3</vt:lpstr>
      <vt:lpstr>Z2_Blinder1</vt:lpstr>
      <vt:lpstr>Z2_Blinder2</vt:lpstr>
      <vt:lpstr>Z2_C</vt:lpstr>
      <vt:lpstr>Z2_C2</vt:lpstr>
      <vt:lpstr>Z2_C3</vt:lpstr>
      <vt:lpstr>Z2_Mag</vt:lpstr>
      <vt:lpstr>Z2_Mag2</vt:lpstr>
      <vt:lpstr>Z2_Mag3</vt:lpstr>
      <vt:lpstr>Z2E_Ang</vt:lpstr>
      <vt:lpstr>Z2E_Ang2</vt:lpstr>
      <vt:lpstr>Z2E_C</vt:lpstr>
      <vt:lpstr>Z2E_C2</vt:lpstr>
      <vt:lpstr>Z2E_Mag</vt:lpstr>
      <vt:lpstr>Z2E_Mag2</vt:lpstr>
      <vt:lpstr>Z3_Ang</vt:lpstr>
      <vt:lpstr>Z3_Ang2</vt:lpstr>
      <vt:lpstr>Z3_Ang3</vt:lpstr>
      <vt:lpstr>Z3_Blinder1</vt:lpstr>
      <vt:lpstr>Z3_Blinder2</vt:lpstr>
      <vt:lpstr>Z3_C</vt:lpstr>
      <vt:lpstr>Z3_C2</vt:lpstr>
      <vt:lpstr>Z3_C3</vt:lpstr>
      <vt:lpstr>Z3_Mag</vt:lpstr>
      <vt:lpstr>Z3_Mag2</vt:lpstr>
      <vt:lpstr>Z3_Mag3</vt:lpstr>
      <vt:lpstr>Z3E_Ang</vt:lpstr>
      <vt:lpstr>Z3E_Ang2</vt:lpstr>
      <vt:lpstr>Z3E_C</vt:lpstr>
      <vt:lpstr>Z3E_C2</vt:lpstr>
      <vt:lpstr>Z3E_Mag</vt:lpstr>
      <vt:lpstr>Z3E_Mag2</vt:lpstr>
      <vt:lpstr>Z4_Ang</vt:lpstr>
      <vt:lpstr>Z4_Ang2</vt:lpstr>
      <vt:lpstr>Z4_Ang3</vt:lpstr>
      <vt:lpstr>Z4_Blinder1</vt:lpstr>
      <vt:lpstr>Z4_Blinder2</vt:lpstr>
      <vt:lpstr>Z4_C</vt:lpstr>
      <vt:lpstr>Z4_C2</vt:lpstr>
      <vt:lpstr>Z4_C3</vt:lpstr>
      <vt:lpstr>Z4_Mag</vt:lpstr>
      <vt:lpstr>Z4_Mag2</vt:lpstr>
      <vt:lpstr>Z4_Mag3</vt:lpstr>
      <vt:lpstr>Z4E_Ang</vt:lpstr>
      <vt:lpstr>Z4E_Ang2</vt:lpstr>
      <vt:lpstr>Z4E_C</vt:lpstr>
      <vt:lpstr>Z4E_C2</vt:lpstr>
      <vt:lpstr>Z4E_Mag</vt:lpstr>
      <vt:lpstr>Z4E_Mag2</vt:lpstr>
      <vt:lpstr>Z5_Ang</vt:lpstr>
      <vt:lpstr>Z5_Ang2</vt:lpstr>
      <vt:lpstr>Z5_Ang3</vt:lpstr>
      <vt:lpstr>Z5_Blinder1</vt:lpstr>
      <vt:lpstr>Z5_Blinder2</vt:lpstr>
      <vt:lpstr>Z5_C</vt:lpstr>
      <vt:lpstr>Z5_C2</vt:lpstr>
      <vt:lpstr>Z5_C3</vt:lpstr>
      <vt:lpstr>Z5_Mag</vt:lpstr>
      <vt:lpstr>Z5_mag2</vt:lpstr>
      <vt:lpstr>Z5_Mag3</vt:lpstr>
      <vt:lpstr>Z5E_Ang</vt:lpstr>
      <vt:lpstr>Z5E_Ang2</vt:lpstr>
      <vt:lpstr>Z5E_C</vt:lpstr>
      <vt:lpstr>Z5E_C2</vt:lpstr>
      <vt:lpstr>Z5E_Mag</vt:lpstr>
      <vt:lpstr>Z5E_Mag2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RAM</dc:creator>
  <cp:lastModifiedBy>NARESH RAM</cp:lastModifiedBy>
  <cp:lastPrinted>2008-12-16T16:12:13Z</cp:lastPrinted>
  <dcterms:created xsi:type="dcterms:W3CDTF">1997-09-13T20:19:26Z</dcterms:created>
  <dcterms:modified xsi:type="dcterms:W3CDTF">2025-05-15T10:25:12Z</dcterms:modified>
</cp:coreProperties>
</file>