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ARESH RAM\Desktop\references\olver macros\"/>
    </mc:Choice>
  </mc:AlternateContent>
  <bookViews>
    <workbookView xWindow="28125" yWindow="570" windowWidth="17865" windowHeight="10785" tabRatio="601"/>
  </bookViews>
  <sheets>
    <sheet name="Settings" sheetId="1" r:id="rId1"/>
    <sheet name="Characteristic" sheetId="5" r:id="rId2"/>
  </sheets>
  <externalReferences>
    <externalReference r:id="rId3"/>
  </externalReferences>
  <definedNames>
    <definedName name="_Ang1">Characteristic!$AP$11</definedName>
    <definedName name="_Ang2">Characteristic!$AQ$11</definedName>
    <definedName name="_Ang3">Characteristic!$AP$13</definedName>
    <definedName name="_Ang6">Characteristic!$AP$15</definedName>
    <definedName name="_Dir1">Settings!$AD$29</definedName>
    <definedName name="_Dir2">Settings!$AF$29</definedName>
    <definedName name="_Dir3">Settings!$AG$29</definedName>
    <definedName name="_Dir4">Settings!$AH$29</definedName>
    <definedName name="_Dir5">Settings!$AI$29</definedName>
    <definedName name="_Dir6">Settings!$AJ$29</definedName>
    <definedName name="_OC1">'[1]7SD522'!#REF!</definedName>
    <definedName name="_R1_Z1">'[1]7SD522'!#REF!</definedName>
    <definedName name="_R1_Z2">'[1]7SD522'!#REF!</definedName>
    <definedName name="_R1_Z3">'[1]7SD522'!#REF!</definedName>
    <definedName name="_R1_Z4">'[1]7SD522'!#REF!</definedName>
    <definedName name="_R1_Z5">'[1]7SD522'!#REF!</definedName>
    <definedName name="_R1E_Z1">'[1]7SD522'!#REF!</definedName>
    <definedName name="_R1E_Z2">'[1]7SD522'!#REF!</definedName>
    <definedName name="_R1E_Z3">'[1]7SD522'!#REF!</definedName>
    <definedName name="_R1E_Z4">'[1]7SD522'!#REF!</definedName>
    <definedName name="_R1E_Z5">'[1]7SD522'!#REF!</definedName>
    <definedName name="_RA1">Settings!#REF!</definedName>
    <definedName name="_RA2">Settings!#REF!</definedName>
    <definedName name="Alpha">Settings!#REF!</definedName>
    <definedName name="Ang">Characteristic!#REF!</definedName>
    <definedName name="Ang1B">Characteristic!$AQ$13</definedName>
    <definedName name="Angle">Settings!#REF!</definedName>
    <definedName name="Angle1">#REF!</definedName>
    <definedName name="AngQ2">Settings!$AE$5</definedName>
    <definedName name="AngQ2E">Settings!$AG$5</definedName>
    <definedName name="AngQ4">Settings!$AD$5</definedName>
    <definedName name="AngQ4E">Settings!$AF$5</definedName>
    <definedName name="Beta">Settings!#REF!</definedName>
    <definedName name="BFLG">Settings!$Q$12</definedName>
    <definedName name="BFLS">Settings!$K$11</definedName>
    <definedName name="BFRG">Settings!$Q$11</definedName>
    <definedName name="Blinder_1">'[1]7SD522'!#REF!</definedName>
    <definedName name="Blinder_2">'[1]7SD522'!#REF!</definedName>
    <definedName name="BRLG">Settings!$AF$2</definedName>
    <definedName name="BRLG_Ang">Settings!$AG$2</definedName>
    <definedName name="BRLS">Settings!$AD$2</definedName>
    <definedName name="BRLS_ang">Settings!$AE$2</definedName>
    <definedName name="BRRG">Settings!$Q$16</definedName>
    <definedName name="BRRS">Settings!$K$15</definedName>
    <definedName name="BU_HS">'[1]7SD522'!#REF!</definedName>
    <definedName name="BU_J_HS">Settings!#REF!</definedName>
    <definedName name="BU_J_LS">Settings!#REF!</definedName>
    <definedName name="BU_Je_HS">Settings!#REF!</definedName>
    <definedName name="BU_Je_LS">Settings!#REF!</definedName>
    <definedName name="BU_LS">'[1]7SD522'!#REF!</definedName>
    <definedName name="BU_t_J_HS">Settings!#REF!</definedName>
    <definedName name="BU_t_J_LS">Settings!#REF!</definedName>
    <definedName name="BU_t_Je_HS">Settings!#REF!</definedName>
    <definedName name="BU_t_Je_LS">Settings!#REF!</definedName>
    <definedName name="BUOC_t">'[1]7SD522'!#REF!</definedName>
    <definedName name="CBF_I">Settings!$AC$90</definedName>
    <definedName name="CBF_T1">Settings!$AE$90</definedName>
    <definedName name="CBF_T2">Settings!$AG$90</definedName>
    <definedName name="CBF_T3">Settings!$AJ$90</definedName>
    <definedName name="Clip_R1_R2">Characteristic!#REF!</definedName>
    <definedName name="Column">#REF!</definedName>
    <definedName name="CrossP">'[1]7SD522'!#REF!</definedName>
    <definedName name="CT_StarPoint">'[1]7SD522'!#REF!</definedName>
    <definedName name="CTerr_1">[1]Settings!$I$10</definedName>
    <definedName name="CTFactor">'[1]7SD522'!#REF!</definedName>
    <definedName name="CTFactor1">'[1]7SD522'!#REF!</definedName>
    <definedName name="CTFactor2">'[1]7SD522'!#REF!</definedName>
    <definedName name="DCEF">'[1]7SD522'!#REF!</definedName>
    <definedName name="DCEF_J">Settings!$T$12</definedName>
    <definedName name="DCEF_V">Settings!$T$13</definedName>
    <definedName name="DeadTime">Settings!#REF!</definedName>
    <definedName name="DeadTime1">Settings!$C$27</definedName>
    <definedName name="DeadTime3">Settings!$C$26</definedName>
    <definedName name="DEF_Ang">Settings!$T$16</definedName>
    <definedName name="DEFRI">Settings!$T$14</definedName>
    <definedName name="DEFRV">Settings!$T$15</definedName>
    <definedName name="Delay_time">Settings!$AE$96</definedName>
    <definedName name="Delta_I">Characteristic!$AS$1</definedName>
    <definedName name="DeltaAng">Settings!$W$5</definedName>
    <definedName name="Diff_Time">[1]Settings!$G$38</definedName>
    <definedName name="DIFI_1">[1]Settings!$T$10</definedName>
    <definedName name="DIFI_2">[1]Settings!$K$38</definedName>
    <definedName name="Dir1B">Settings!$AE$29</definedName>
    <definedName name="DirDelta">Settings!$AH$5</definedName>
    <definedName name="Echo_Del">Settings!$E$22</definedName>
    <definedName name="EF">'[1]7SD522'!#REF!</definedName>
    <definedName name="EF_t_2">'[1]7SD522'!#REF!</definedName>
    <definedName name="EF_t_3">'[1]7SD522'!#REF!</definedName>
    <definedName name="EF_t_4">'[1]7SD522'!#REF!</definedName>
    <definedName name="EF_TestV">#REF!</definedName>
    <definedName name="EFCA_U">'[1]7SD522'!#REF!</definedName>
    <definedName name="Em_EF">Settings!$AO$17</definedName>
    <definedName name="Em_OC">Settings!$AO$16</definedName>
    <definedName name="ER_1">Settings!$AI$35</definedName>
    <definedName name="ER_1B">Settings!$AI$36</definedName>
    <definedName name="ER_2">Settings!$AI$37</definedName>
    <definedName name="ER_3">Settings!$AI$38</definedName>
    <definedName name="ER_4">Settings!$AI$39</definedName>
    <definedName name="ER_5">Settings!$AI$40</definedName>
    <definedName name="ER_6">Settings!$AI$41</definedName>
    <definedName name="EX_1">Settings!$AJ$35</definedName>
    <definedName name="EX_1B">Settings!$AJ$36</definedName>
    <definedName name="EX_2">Settings!$AJ$37</definedName>
    <definedName name="EX_3">Settings!$AJ$38</definedName>
    <definedName name="EX_4">Settings!$AJ$39</definedName>
    <definedName name="EX_5">Settings!$AJ$40</definedName>
    <definedName name="EX_6">Settings!$AJ$41</definedName>
    <definedName name="F_1Bst">Settings!#REF!</definedName>
    <definedName name="F_1st">Settings!#REF!</definedName>
    <definedName name="F_2nd">Settings!#REF!</definedName>
    <definedName name="F_3rd">Settings!#REF!</definedName>
    <definedName name="F_4th">Settings!#REF!</definedName>
    <definedName name="FD_611">Settings!$AH$6</definedName>
    <definedName name="FDe_611">Settings!$AH$6</definedName>
    <definedName name="Feeder">Settings!$F$1</definedName>
    <definedName name="ForwardAng">Characteristic!$AP$9</definedName>
    <definedName name="FwdAng1">Characteristic!$AP$11</definedName>
    <definedName name="FwdERounding">#REF!</definedName>
    <definedName name="FwdRounding">#REF!</definedName>
    <definedName name="Gen_Trafo">Settings!$AB$10</definedName>
    <definedName name="I_Nom">Settings!$AC$5</definedName>
    <definedName name="IDifLv1">'[1]7SD522'!#REF!</definedName>
    <definedName name="IDifLv2">'[1]7SD522'!#REF!</definedName>
    <definedName name="ILv1_2Cr">'[1]7SD522'!#REF!</definedName>
    <definedName name="IMinOp">'[1]7SD522'!#REF!</definedName>
    <definedName name="In">Settings!$AB$5</definedName>
    <definedName name="IN_2">'[1]7SD522'!#REF!</definedName>
    <definedName name="IN_3">'[1]7SD522'!#REF!</definedName>
    <definedName name="IN_4">'[1]7SD522'!#REF!</definedName>
    <definedName name="IN_HS">'[1]7SD522'!#REF!</definedName>
    <definedName name="IN_LS">'[1]7SD522'!#REF!</definedName>
    <definedName name="Inv_EF_Setting">Settings!$AE$95</definedName>
    <definedName name="IP_HS">'[1]7SD522'!#REF!</definedName>
    <definedName name="IP_LS">'[1]7SD522'!#REF!</definedName>
    <definedName name="Ir">'[1]7SD522'!#REF!</definedName>
    <definedName name="Is">'[1]7SD522'!#REF!</definedName>
    <definedName name="J_">Settings!$AB$11</definedName>
    <definedName name="J_HS">Settings!#REF!</definedName>
    <definedName name="J_LS">Settings!$T$19</definedName>
    <definedName name="Je_">Settings!$AC$21</definedName>
    <definedName name="Je_HS">Settings!#REF!</definedName>
    <definedName name="Je_LS">Settings!$T$21</definedName>
    <definedName name="k_">Settings!#REF!</definedName>
    <definedName name="K_PSB">#REF!</definedName>
    <definedName name="K_R">'[1]7SD522'!#REF!</definedName>
    <definedName name="K_X">'[1]7SD522'!#REF!</definedName>
    <definedName name="Load_Ang_E">Settings!#REF!</definedName>
    <definedName name="Load_Comp">Settings!$H$10</definedName>
    <definedName name="Load_Comp_Ang">Characteristic!#REF!</definedName>
    <definedName name="Load_comp_Ang_E">Characteristic!$AL$183</definedName>
    <definedName name="Load_Comp_Z1">Characteristic!#REF!</definedName>
    <definedName name="Load_Comp_Z1E">Characteristic!$AM$183</definedName>
    <definedName name="LoadAng">Settings!$AB$59</definedName>
    <definedName name="M_Ze">Characteristic!#REF!</definedName>
    <definedName name="ManClose">Settings!#REF!</definedName>
    <definedName name="Max_TestVe">Characteristic!$AQ$83</definedName>
    <definedName name="Max_Z">Characteristic!$AI$188</definedName>
    <definedName name="Max_Ze">Characteristic!$AM$184</definedName>
    <definedName name="MVar">Settings!$F$75</definedName>
    <definedName name="MW">Settings!$F$74</definedName>
    <definedName name="N_Dir">#REF!</definedName>
    <definedName name="NEW">#REF!</definedName>
    <definedName name="NomVESF">Characteristic!#REF!</definedName>
    <definedName name="NomVESR">Characteristic!#REF!</definedName>
    <definedName name="NomVPh1">Characteristic!#REF!</definedName>
    <definedName name="NomVPh1B">Characteristic!#REF!</definedName>
    <definedName name="NomVPh2">Characteristic!#REF!</definedName>
    <definedName name="NomVPh3">Characteristic!#REF!</definedName>
    <definedName name="NomVPhSF">Characteristic!#REF!</definedName>
    <definedName name="NomVPhSR">Characteristic!#REF!</definedName>
    <definedName name="NomVSF">#REF!</definedName>
    <definedName name="NomVSR">#REF!</definedName>
    <definedName name="NomVZ1BE">Characteristic!#REF!</definedName>
    <definedName name="NomVZ1E">Characteristic!#REF!</definedName>
    <definedName name="NomVZ2E">Characteristic!#REF!</definedName>
    <definedName name="NomVZ3E">Characteristic!#REF!</definedName>
    <definedName name="OC">'[1]7SD522'!#REF!</definedName>
    <definedName name="OCH">Settings!$T$9</definedName>
    <definedName name="open_line">Settings!$T$10</definedName>
    <definedName name="OpTime">Settings!$AB$7</definedName>
    <definedName name="PCB_C">Characteristic!#REF!</definedName>
    <definedName name="Ph_TestV">#REF!</definedName>
    <definedName name="PhiA">Settings!#REF!</definedName>
    <definedName name="PhiAE">Settings!#REF!</definedName>
    <definedName name="Point_B">'[1]7SD522'!#REF!</definedName>
    <definedName name="PointD">'[1]7SD522'!#REF!</definedName>
    <definedName name="_xlnm.Print_Area" localSheetId="0">Settings!$B$3:$Q$66</definedName>
    <definedName name="PSB_Ang">Characteristic!#REF!</definedName>
    <definedName name="PSB_Ang2">Characteristic!#REF!</definedName>
    <definedName name="PSB_C">Characteristic!#REF!</definedName>
    <definedName name="PSB_C2">Characteristic!#REF!</definedName>
    <definedName name="PSB_F_R">Settings!$AK$11</definedName>
    <definedName name="PSB_F_X">Settings!$AK$10</definedName>
    <definedName name="PSB_Mag">Characteristic!#REF!</definedName>
    <definedName name="PSB_Mag2">Characteristic!#REF!</definedName>
    <definedName name="PSB_Mag3">Characteristic!#REF!</definedName>
    <definedName name="PSB_R_R">Settings!$AK$13</definedName>
    <definedName name="PSB_R_X">Settings!$AK$12</definedName>
    <definedName name="PSBe_F_R">Settings!$AL$11</definedName>
    <definedName name="PSBe_F_X">Settings!$AL$10</definedName>
    <definedName name="PSBe_R_R">Settings!$AL$13</definedName>
    <definedName name="PSBe_R_X">Settings!$AL$12</definedName>
    <definedName name="PSBGZ">Settings!$Q$24</definedName>
    <definedName name="PSBSZ">Settings!$Q$23</definedName>
    <definedName name="PTT_Mode">'[1]7SD522'!#REF!</definedName>
    <definedName name="PTT_Rx_Z_Sel">Settings!$AH$12</definedName>
    <definedName name="PTTMode">Settings!$AE$19</definedName>
    <definedName name="PUTTMode">Settings!#REF!</definedName>
    <definedName name="R_1">Settings!$AB$17</definedName>
    <definedName name="R_1B">Settings!$AB$18</definedName>
    <definedName name="R_1BE">Settings!$AG$47</definedName>
    <definedName name="R_1E">Settings!$AF$47</definedName>
    <definedName name="R_1st">Settings!#REF!</definedName>
    <definedName name="R_2">Settings!$AH$45</definedName>
    <definedName name="R_2E">Settings!$AH$47</definedName>
    <definedName name="R_2nd">Settings!#REF!</definedName>
    <definedName name="R_3">Settings!$AI$45</definedName>
    <definedName name="R_3E">Settings!$AI$47</definedName>
    <definedName name="R_3rd">Settings!#REF!</definedName>
    <definedName name="R_4">Settings!$AJ$45</definedName>
    <definedName name="R_4E">Settings!$AJ$47</definedName>
    <definedName name="R_5">Settings!$AK$45</definedName>
    <definedName name="R_5E">Settings!$AK$47</definedName>
    <definedName name="R_6">Settings!$AL$45</definedName>
    <definedName name="R_6E">Settings!$AL$47</definedName>
    <definedName name="R_Load">Settings!#REF!</definedName>
    <definedName name="R_Load_E">Settings!#REF!</definedName>
    <definedName name="R_ND">Settings!$K$17</definedName>
    <definedName name="R_NDE">Settings!$K$21</definedName>
    <definedName name="R0_Z1">'[1]7SD522'!#REF!</definedName>
    <definedName name="R0_Z2">'[1]7SD522'!#REF!</definedName>
    <definedName name="R0_Z3">'[1]7SD522'!#REF!</definedName>
    <definedName name="R0_Z4">'[1]7SD522'!#REF!</definedName>
    <definedName name="R0_Z5">'[1]7SD522'!#REF!</definedName>
    <definedName name="RA1E">Settings!#REF!</definedName>
    <definedName name="RA2E">Settings!#REF!</definedName>
    <definedName name="RBB_Coupler">Settings!$AE$9</definedName>
    <definedName name="RE_RL">Settings!$Q$17</definedName>
    <definedName name="RE_RL_Z1">Settings!#REF!</definedName>
    <definedName name="RefAng">Settings!#REF!</definedName>
    <definedName name="Rev_FD_611">Settings!#REF!</definedName>
    <definedName name="Rev_SOTF_OC_Only">Settings!$AL$8</definedName>
    <definedName name="Rev_Vh_e">Settings!$AH$8</definedName>
    <definedName name="Rev_Vh_e_Ang">Settings!$AI$8</definedName>
    <definedName name="RevAng1">Characteristic!$AQ$11</definedName>
    <definedName name="RevERounding">#REF!</definedName>
    <definedName name="ReverseAng">Characteristic!$AQ$9</definedName>
    <definedName name="RevRounding">#REF!</definedName>
    <definedName name="RF_PHS">'[1]7SD522'!#REF!</definedName>
    <definedName name="RF_PSB">'[1]7SD522'!#REF!</definedName>
    <definedName name="RF_Z1">'[1]7SD522'!#REF!</definedName>
    <definedName name="RF_Z2">'[1]7SD522'!#REF!</definedName>
    <definedName name="RF_Z3">'[1]7SD522'!#REF!</definedName>
    <definedName name="RF_Z4">'[1]7SD522'!#REF!</definedName>
    <definedName name="RF_Z5">'[1]7SD522'!#REF!</definedName>
    <definedName name="RFN_PHS">'[1]7SD522'!#REF!</definedName>
    <definedName name="RFN_Z1">'[1]7SD522'!#REF!</definedName>
    <definedName name="RFN_Z2">'[1]7SD522'!#REF!</definedName>
    <definedName name="RFN_Z3">'[1]7SD522'!#REF!</definedName>
    <definedName name="RFN_Z4">'[1]7SD522'!#REF!</definedName>
    <definedName name="RFN_Z5">'[1]7SD522'!#REF!</definedName>
    <definedName name="Rnd_E_Fwd">Characteristic!$L$133</definedName>
    <definedName name="Rnd_E_Rev">Characteristic!$L$140</definedName>
    <definedName name="Rnd_Ph_Fwd">Characteristic!$F$133</definedName>
    <definedName name="Rnd_Ph_Rev">Characteristic!$F$140</definedName>
    <definedName name="SEF_I">Settings!$Q$33</definedName>
    <definedName name="SEF_t">Settings!$S$33</definedName>
    <definedName name="SEF_V">Settings!$S$31</definedName>
    <definedName name="SEF_Vmax">Settings!$S$32</definedName>
    <definedName name="SEF_Vmin">Settings!$Q$32</definedName>
    <definedName name="SelectRelay2">'[1]7SD522'!#REF!</definedName>
    <definedName name="ShowPhSL">'[1]7SD522'!#REF!</definedName>
    <definedName name="ShowPSB">'[1]7SD522'!#REF!</definedName>
    <definedName name="Slope">Settings!$AB$12</definedName>
    <definedName name="SOTF">'[1]7SD522'!#REF!</definedName>
    <definedName name="SOTF_Fwd">Settings!$AL$3</definedName>
    <definedName name="SOTF_Isc">Settings!$AL$2</definedName>
    <definedName name="SOTF_OC_Only">Settings!$AL$7</definedName>
    <definedName name="SOTF_Rev">Settings!$AL$5</definedName>
    <definedName name="Starpoint">Settings!$AC$29</definedName>
    <definedName name="Start_Z1_Slope">Settings!$H$11</definedName>
    <definedName name="Station">Settings!$C$1</definedName>
    <definedName name="T_1">Settings!$AI$18</definedName>
    <definedName name="T_1B">Settings!$AB$93</definedName>
    <definedName name="T_2">Settings!$AH$48</definedName>
    <definedName name="T_3">Settings!$AI$48</definedName>
    <definedName name="T_4">Settings!$AJ$48</definedName>
    <definedName name="T_5">Settings!$N$11</definedName>
    <definedName name="t_BU">'[1]7SD522'!#REF!</definedName>
    <definedName name="t_BU_HS">'[1]7SD522'!#REF!</definedName>
    <definedName name="t_J_HS">Settings!#REF!</definedName>
    <definedName name="t_J_LS">Settings!$T$20</definedName>
    <definedName name="t_Je_HS">Settings!#REF!</definedName>
    <definedName name="t_Je_LS">Settings!$T$22</definedName>
    <definedName name="t_N">'[1]7SD522'!#REF!</definedName>
    <definedName name="t_ND">Settings!$N$12</definedName>
    <definedName name="t_P">'[1]7SD522'!#REF!</definedName>
    <definedName name="TDEFF">Settings!$W$19</definedName>
    <definedName name="TDEFR">Settings!$W$20</definedName>
    <definedName name="TDIFG">[1]Settings!#REF!</definedName>
    <definedName name="TEF">'[1]7SD522'!#REF!</definedName>
    <definedName name="TestV_SOTF_E">Characteristic!$AE$32</definedName>
    <definedName name="TestV_Z1">#REF!</definedName>
    <definedName name="TestV_Z2">#REF!</definedName>
    <definedName name="TestV_Z3">#REF!</definedName>
    <definedName name="TestV_Z4">#REF!</definedName>
    <definedName name="TestV_Z5">#REF!</definedName>
    <definedName name="TestVFwd">Settings!#REF!</definedName>
    <definedName name="TestVFwdE">Settings!#REF!</definedName>
    <definedName name="TestVNDE">Characteristic!$V$32</definedName>
    <definedName name="TestVPh">#REF!</definedName>
    <definedName name="TestVPTT">Characteristic!$AB$10</definedName>
    <definedName name="TestVPUTT">#REF!</definedName>
    <definedName name="TestVRev">Settings!#REF!</definedName>
    <definedName name="TestVRevE">Settings!#REF!</definedName>
    <definedName name="TestVSOTF">Characteristic!$AE$10</definedName>
    <definedName name="TestVSOTF2">Characteristic!#REF!</definedName>
    <definedName name="TestVZ1">Characteristic!$D$10</definedName>
    <definedName name="TestVZ1B">Characteristic!$G$10</definedName>
    <definedName name="TestVZ1BE">Characteristic!$G$32</definedName>
    <definedName name="TestVZ1E">Characteristic!$D$32</definedName>
    <definedName name="TestVZ2">Characteristic!$J$10</definedName>
    <definedName name="TestVZ2E">Characteristic!$J$32</definedName>
    <definedName name="TestVZ3">Characteristic!$M$10</definedName>
    <definedName name="TestVZ3E">Characteristic!$M$32</definedName>
    <definedName name="TestVZ4">Characteristic!$P$10</definedName>
    <definedName name="TestVZ4E">Characteristic!$P$32</definedName>
    <definedName name="TestVZ5">Characteristic!$S$10</definedName>
    <definedName name="TestVZ5E">Characteristic!$S$32</definedName>
    <definedName name="TestVZ6">Characteristic!$Y$10</definedName>
    <definedName name="TestVZ6E">Characteristic!$Y$32</definedName>
    <definedName name="TestVZND">Characteristic!$V$10</definedName>
    <definedName name="TimesError">Settings!#REF!</definedName>
    <definedName name="TimesTest_R_V">Characteristic!$AR$73</definedName>
    <definedName name="TimesTest_R_V_E">Characteristic!$AS$73</definedName>
    <definedName name="TimesTestV">Characteristic!$AP$73</definedName>
    <definedName name="TimesTestV_E">Characteristic!$AQ$73</definedName>
    <definedName name="TimesTestV_PhF">Characteristic!$AP$73</definedName>
    <definedName name="TimesTestVF">Characteristic!$AP$73</definedName>
    <definedName name="TMS">'[1]7SD522'!#REF!</definedName>
    <definedName name="TOC">'[1]7SD522'!#REF!</definedName>
    <definedName name="TREBK">Settings!$W$21</definedName>
    <definedName name="Type">#REF!</definedName>
    <definedName name="Un">Settings!$C$4</definedName>
    <definedName name="Under_V">'[1]7SD522'!#REF!</definedName>
    <definedName name="UVCV">Settings!$W$9</definedName>
    <definedName name="UVCZ">Settings!$W$11</definedName>
    <definedName name="UVFG">Settings!$W$15</definedName>
    <definedName name="UVFS">Settings!$W$13</definedName>
    <definedName name="UVLG">Settings!$W$16</definedName>
    <definedName name="UVLS">Settings!$W$14</definedName>
    <definedName name="V_Scaler">#REF!</definedName>
    <definedName name="V_Scaler_E">Characteristic!$AQ$72</definedName>
    <definedName name="Ve_F">Characteristic!$C$219</definedName>
    <definedName name="Ve_R">Characteristic!$C$220</definedName>
    <definedName name="Vh">Settings!$AF$7</definedName>
    <definedName name="Vh_e">Settings!$AF$8</definedName>
    <definedName name="Vh_e_Ang">Settings!$AG$8</definedName>
    <definedName name="Vn">[1]Settings!$Z$34</definedName>
    <definedName name="WEI_UV">Settings!#REF!</definedName>
    <definedName name="WKIT">Settings!$AO$19</definedName>
    <definedName name="X_1">Settings!$H$9</definedName>
    <definedName name="X_1B">Settings!$H$12</definedName>
    <definedName name="X_2">Settings!$AH$46</definedName>
    <definedName name="X_3">Settings!$AI$46</definedName>
    <definedName name="X_4">Settings!$AJ$46</definedName>
    <definedName name="X_5">Settings!$K$13</definedName>
    <definedName name="X_6">Settings!$K$14</definedName>
    <definedName name="X_echo">Settings!#REF!</definedName>
    <definedName name="X_ND">Settings!$K$16</definedName>
    <definedName name="X_NDE">Settings!$K$20</definedName>
    <definedName name="X0_PHS">'[1]7SD522'!#REF!</definedName>
    <definedName name="X0_Z1">'[1]7SD522'!#REF!</definedName>
    <definedName name="X0_Z2">'[1]7SD522'!#REF!</definedName>
    <definedName name="X0_Z3">'[1]7SD522'!#REF!</definedName>
    <definedName name="X0_Z4">'[1]7SD522'!#REF!</definedName>
    <definedName name="X0_Z5">'[1]7SD522'!#REF!</definedName>
    <definedName name="X1_PE">'[1]7SD522'!#REF!</definedName>
    <definedName name="X1_PHS">'[1]7SD522'!#REF!</definedName>
    <definedName name="X1_PSB">'[1]7SD522'!#REF!</definedName>
    <definedName name="X1_Z1">'[1]7SD522'!#REF!</definedName>
    <definedName name="X1_Z2">'[1]7SD522'!#REF!</definedName>
    <definedName name="X1_Z3">'[1]7SD522'!#REF!</definedName>
    <definedName name="X1_Z4">'[1]7SD522'!#REF!</definedName>
    <definedName name="X1_Z5">'[1]7SD522'!#REF!</definedName>
    <definedName name="X1E_Z1">'[1]7SD522'!#REF!</definedName>
    <definedName name="X1E_Z2">'[1]7SD522'!#REF!</definedName>
    <definedName name="X1E_Z3">'[1]7SD522'!#REF!</definedName>
    <definedName name="X1E_Z4">'[1]7SD522'!#REF!</definedName>
    <definedName name="X1E_Z5">'[1]7SD522'!#REF!</definedName>
    <definedName name="X1Z1">'[1]7SD522'!#REF!</definedName>
    <definedName name="Xe_1">Settings!$N$13</definedName>
    <definedName name="Xe_2">Settings!$N$19</definedName>
    <definedName name="Xe_3">Settings!$Q$9</definedName>
    <definedName name="Xe_4">Settings!$Q$13</definedName>
    <definedName name="Xe_5">Settings!$Q$14</definedName>
    <definedName name="Xe_6">Settings!$Q$15</definedName>
    <definedName name="Xe_echo">Settings!#REF!</definedName>
    <definedName name="Xe_X">Settings!$N$14</definedName>
    <definedName name="XE_XL">Settings!$Q$20</definedName>
    <definedName name="XE_XL_Z1">Settings!#REF!</definedName>
    <definedName name="XminusA">Settings!#REF!</definedName>
    <definedName name="XplusA">Settings!#REF!</definedName>
    <definedName name="Z_Blinder">Characteristic!$BA$78</definedName>
    <definedName name="Z_Intersect">Characteristic!#REF!</definedName>
    <definedName name="Z1_Ang">Characteristic!$AV$2</definedName>
    <definedName name="Z1_Ang2">Characteristic!$AV$8</definedName>
    <definedName name="Z1_Ang3">Characteristic!$AV$14</definedName>
    <definedName name="Z1_Blinder1">Characteristic!$C$13</definedName>
    <definedName name="Z1_Blinder2">Characteristic!$C$23</definedName>
    <definedName name="Z1_C">Characteristic!$AV$3</definedName>
    <definedName name="Z1_C2">Characteristic!$AV$9</definedName>
    <definedName name="Z1_C3">Characteristic!$AV$15</definedName>
    <definedName name="Z1_Mag">Characteristic!$AV$7</definedName>
    <definedName name="Z1_Mag2">Characteristic!$AV$13</definedName>
    <definedName name="Z1_Mag3">Characteristic!$AV$19</definedName>
    <definedName name="Z1B_Ang">Characteristic!$AW$2</definedName>
    <definedName name="Z1B_Ang2">Characteristic!$AW$8</definedName>
    <definedName name="Z1B_Ang3">Characteristic!$AW$14</definedName>
    <definedName name="Z1B_Blinder1">Characteristic!$F$13</definedName>
    <definedName name="Z1B_Blinder2">Characteristic!$F$23</definedName>
    <definedName name="Z1B_C">Characteristic!$AW$3</definedName>
    <definedName name="Z1B_C2">Characteristic!$AW$9</definedName>
    <definedName name="Z1B_C3">Characteristic!$AW$15</definedName>
    <definedName name="Z1B_Mag">Characteristic!$AW$7</definedName>
    <definedName name="Z1B_Mag2">Characteristic!$AW$13</definedName>
    <definedName name="Z1B_Mag3">Characteristic!$AW$19</definedName>
    <definedName name="Z1BE_Ang">Characteristic!$BF$2</definedName>
    <definedName name="Z1BE_Ang2">Characteristic!$BF$8</definedName>
    <definedName name="Z1BE_C">Characteristic!$BF$3</definedName>
    <definedName name="Z1BE_C2">Characteristic!$BF$9</definedName>
    <definedName name="Z1BE_Mag">Characteristic!$BF$7</definedName>
    <definedName name="Z1BE_Mag2">Characteristic!$BF$13</definedName>
    <definedName name="Z1CNT">Settings!$AI$17</definedName>
    <definedName name="Z1E_Ang">Characteristic!$BE$2</definedName>
    <definedName name="Z1E_Ang2">Characteristic!$BE$8</definedName>
    <definedName name="Z1E_C">Characteristic!$BE$3</definedName>
    <definedName name="Z1E_C2">Characteristic!$BE$9</definedName>
    <definedName name="Z1E_Mag">Characteristic!$BE$7</definedName>
    <definedName name="Z1E_Mag2">Characteristic!$BE$13</definedName>
    <definedName name="Z2_Ang">Characteristic!$AX$2</definedName>
    <definedName name="Z2_Ang2">Characteristic!$AX$8</definedName>
    <definedName name="Z2_Ang3">Characteristic!$AX$14</definedName>
    <definedName name="Z2_Blinder1">Characteristic!$I$13</definedName>
    <definedName name="Z2_Blinder2">Characteristic!$I$23</definedName>
    <definedName name="Z2_C">Characteristic!$AX$3</definedName>
    <definedName name="Z2_C2">Characteristic!$AX$9</definedName>
    <definedName name="Z2_C3">Characteristic!$AX$15</definedName>
    <definedName name="Z2_Mag">Characteristic!$AX$7</definedName>
    <definedName name="Z2_Mag2">Characteristic!$AX$13</definedName>
    <definedName name="Z2_Mag3">Characteristic!$AX$19</definedName>
    <definedName name="Z2E_Ang">Characteristic!$BG$2</definedName>
    <definedName name="Z2E_Ang2">Characteristic!$BG$8</definedName>
    <definedName name="Z2E_C">Characteristic!$BG$3</definedName>
    <definedName name="Z2E_C2">Characteristic!$BG$9</definedName>
    <definedName name="Z2E_Mag">Characteristic!$BG$7</definedName>
    <definedName name="Z2E_Mag2">Characteristic!$BG$13</definedName>
    <definedName name="Z3_Ang">Characteristic!$AY$2</definedName>
    <definedName name="Z3_Ang2">Characteristic!$AY$8</definedName>
    <definedName name="Z3_Ang3">Characteristic!$AY$14</definedName>
    <definedName name="Z3_Blinder1">Characteristic!$L$13</definedName>
    <definedName name="Z3_Blinder2">Characteristic!$L$23</definedName>
    <definedName name="Z3_C">Characteristic!$AY$3</definedName>
    <definedName name="Z3_C2">Characteristic!$AY$9</definedName>
    <definedName name="Z3_C3">Characteristic!$AY$15</definedName>
    <definedName name="Z3_Mag">Characteristic!$AY$7</definedName>
    <definedName name="Z3_Mag2">Characteristic!$AY$13</definedName>
    <definedName name="Z3_Mag3">Characteristic!$AY$19</definedName>
    <definedName name="Z3E_Ang">Characteristic!$BH$2</definedName>
    <definedName name="Z3E_Ang2">Characteristic!$BH$8</definedName>
    <definedName name="Z3E_C">Characteristic!$BH$3</definedName>
    <definedName name="Z3E_C2">Characteristic!$BH$9</definedName>
    <definedName name="Z3E_Mag">Characteristic!$BH$7</definedName>
    <definedName name="Z3E_Mag2">Characteristic!$BH$13</definedName>
    <definedName name="Z4_Ang">Characteristic!$AZ$2</definedName>
    <definedName name="Z4_Ang2">Characteristic!$AZ$8</definedName>
    <definedName name="Z4_Ang3">Characteristic!$AZ$14</definedName>
    <definedName name="Z4_Blinder1">Characteristic!$O$13</definedName>
    <definedName name="Z4_Blinder2">Characteristic!$O$23</definedName>
    <definedName name="Z4_C">Characteristic!$AZ$3</definedName>
    <definedName name="Z4_C2">Characteristic!$AZ$9</definedName>
    <definedName name="Z4_C3">Characteristic!$AZ$15</definedName>
    <definedName name="Z4_Mag">Characteristic!$AZ$7</definedName>
    <definedName name="Z4_Mag2">Characteristic!$AZ$13</definedName>
    <definedName name="Z4_Mag3">Characteristic!$AZ$19</definedName>
    <definedName name="Z4E_Ang">Characteristic!$BI$2</definedName>
    <definedName name="Z4E_Ang2">Characteristic!$BI$8</definedName>
    <definedName name="Z4E_C">Characteristic!$BI$3</definedName>
    <definedName name="Z4E_C2">Characteristic!$BI$9</definedName>
    <definedName name="Z4E_Mag">Characteristic!$BI$7</definedName>
    <definedName name="Z4E_Mag2">Characteristic!$BI$13</definedName>
    <definedName name="Z5_Ang">Characteristic!$BA$2</definedName>
    <definedName name="Z5_Ang2">Characteristic!$BA$8</definedName>
    <definedName name="Z5_Ang3">Characteristic!$BA$14</definedName>
    <definedName name="Z5_Blinder1">Characteristic!$R$13</definedName>
    <definedName name="Z5_Blinder2">Characteristic!$R$23</definedName>
    <definedName name="Z5_C">Characteristic!$BA$3</definedName>
    <definedName name="Z5_C2">Characteristic!$BA$9</definedName>
    <definedName name="Z5_C3">Characteristic!$BA$15</definedName>
    <definedName name="Z5_Mag">Characteristic!$BA$7</definedName>
    <definedName name="Z5_mag2">Characteristic!$BA$13</definedName>
    <definedName name="Z5_Mag3">Characteristic!$BA$19</definedName>
    <definedName name="Z5E_Ang">Characteristic!$BJ$2</definedName>
    <definedName name="Z5E_Ang2">Characteristic!$BJ$8</definedName>
    <definedName name="Z5E_C">Characteristic!$BJ$3</definedName>
    <definedName name="Z5E_C2">Characteristic!$BJ$9</definedName>
    <definedName name="Z5E_Mag">Characteristic!$BJ$7</definedName>
    <definedName name="Z5E_Mag2">Characteristic!$BJ$13</definedName>
    <definedName name="Z6_Ang">Characteristic!$BB$2</definedName>
    <definedName name="Z6_Ang2">Characteristic!$BB$8</definedName>
    <definedName name="Z6_Blinder1">Characteristic!$X$13</definedName>
    <definedName name="Z6_Blinder2">Characteristic!$X$23</definedName>
    <definedName name="Z6_C">Characteristic!$BB$3</definedName>
    <definedName name="Z6_C2">Characteristic!$BB$9</definedName>
    <definedName name="Z6_Mag">Characteristic!$BB$7</definedName>
    <definedName name="Z6_Mag2">Characteristic!$BB$13</definedName>
    <definedName name="Z6_Mag3">Characteristic!$BB$19</definedName>
    <definedName name="Z6E_Ang">Characteristic!$BL$2</definedName>
    <definedName name="Z6E_Ang2">Characteristic!$BL$8</definedName>
    <definedName name="Z6E_C">Characteristic!$BL$3</definedName>
    <definedName name="Z6E_C2">Characteristic!$BL$9</definedName>
    <definedName name="Z6E_Mag">Characteristic!$BL$7</definedName>
    <definedName name="Z6E_Mag2">Characteristic!$BL$13</definedName>
    <definedName name="ZBG">Settings!$Q$10</definedName>
    <definedName name="ZBS">Settings!$K$9</definedName>
    <definedName name="Zecho_Ang">Characteristic!#REF!</definedName>
    <definedName name="Zecho_Ang2">Characteristic!#REF!</definedName>
    <definedName name="Zecho_C">Characteristic!#REF!</definedName>
    <definedName name="Zecho_C2">Characteristic!#REF!</definedName>
    <definedName name="Zecho_Mag">Characteristic!#REF!</definedName>
    <definedName name="Zecho_Mag2">Characteristic!#REF!</definedName>
    <definedName name="Zecho_Mag3">Characteristic!#REF!</definedName>
    <definedName name="ZND_Ang">Characteristic!$BC$2</definedName>
    <definedName name="ZND_Ang2">Characteristic!$BC$8</definedName>
    <definedName name="ZND_Blinder1">Characteristic!$U$13</definedName>
    <definedName name="ZND_C">Characteristic!$BC$3</definedName>
    <definedName name="ZND_C2">Characteristic!$BC$9</definedName>
    <definedName name="ZND_Mag">Characteristic!$BC$7</definedName>
    <definedName name="ZND_Mag2">Characteristic!$BC$13</definedName>
    <definedName name="ZND_Mag3">Characteristic!$BC$19</definedName>
  </definedNames>
  <calcPr calcId="152511"/>
</workbook>
</file>

<file path=xl/calcChain.xml><?xml version="1.0" encoding="utf-8"?>
<calcChain xmlns="http://schemas.openxmlformats.org/spreadsheetml/2006/main">
  <c r="C13" i="5" l="1"/>
  <c r="AI26" i="1" l="1"/>
  <c r="AI25" i="1"/>
  <c r="AI167" i="5" s="1"/>
  <c r="AI168" i="5" s="1"/>
  <c r="AH26" i="1"/>
  <c r="G103" i="1"/>
  <c r="AJ46" i="1" s="1"/>
  <c r="AJ45" i="1"/>
  <c r="AJ47" i="1"/>
  <c r="AI39" i="1" s="1"/>
  <c r="AH25" i="1"/>
  <c r="AG25" i="1"/>
  <c r="AB20" i="1"/>
  <c r="F104" i="1" s="1"/>
  <c r="AF25" i="1"/>
  <c r="AB19" i="1"/>
  <c r="AP116" i="5"/>
  <c r="AP115" i="5"/>
  <c r="AP118" i="5"/>
  <c r="D202" i="5" s="1"/>
  <c r="AP117" i="5"/>
  <c r="C202" i="5"/>
  <c r="C245" i="5"/>
  <c r="C225" i="5"/>
  <c r="D225" i="5"/>
  <c r="AR72" i="5"/>
  <c r="H103" i="1"/>
  <c r="D21" i="5"/>
  <c r="C367" i="5" s="1"/>
  <c r="AS72" i="5"/>
  <c r="AO70" i="5" s="1"/>
  <c r="B64" i="5" s="1"/>
  <c r="AJ39" i="1"/>
  <c r="P43" i="5" s="1"/>
  <c r="AL58" i="5" s="1"/>
  <c r="AJ40" i="1"/>
  <c r="AJ38" i="1"/>
  <c r="M43" i="5"/>
  <c r="AC21" i="1"/>
  <c r="AF7" i="1"/>
  <c r="AL10" i="1"/>
  <c r="AL13" i="1"/>
  <c r="AS47" i="5" s="1"/>
  <c r="AL12" i="1"/>
  <c r="AS48" i="5"/>
  <c r="AA74" i="1"/>
  <c r="AD74" i="1"/>
  <c r="AC74" i="1"/>
  <c r="AE74" i="1"/>
  <c r="J80" i="1"/>
  <c r="AK11" i="1"/>
  <c r="AK10" i="1"/>
  <c r="AK13" i="1"/>
  <c r="AQ46" i="5" s="1"/>
  <c r="AK12" i="1"/>
  <c r="AH64" i="1"/>
  <c r="F140" i="1"/>
  <c r="H133" i="1"/>
  <c r="AG63" i="1"/>
  <c r="E139" i="1" s="1"/>
  <c r="G132" i="1" s="1"/>
  <c r="AL64" i="1"/>
  <c r="AL65" i="1" s="1"/>
  <c r="S73" i="1"/>
  <c r="S72" i="1"/>
  <c r="AA73" i="1"/>
  <c r="AC73" i="1"/>
  <c r="AD73" i="1"/>
  <c r="AE73" i="1"/>
  <c r="AC76" i="1"/>
  <c r="J79" i="1"/>
  <c r="K80" i="1"/>
  <c r="AA75" i="1"/>
  <c r="AD75" i="1"/>
  <c r="AE75" i="1"/>
  <c r="AC70" i="1"/>
  <c r="AD70" i="1"/>
  <c r="AE70" i="1"/>
  <c r="AC69" i="1"/>
  <c r="AC71" i="1"/>
  <c r="AD71" i="1"/>
  <c r="AE71" i="1"/>
  <c r="AC72" i="1"/>
  <c r="AD72" i="1"/>
  <c r="AE72" i="1"/>
  <c r="AH56" i="1"/>
  <c r="D145" i="1"/>
  <c r="F145" i="1"/>
  <c r="J131" i="1"/>
  <c r="D146" i="1"/>
  <c r="F146" i="1"/>
  <c r="J132" i="1" s="1"/>
  <c r="C147" i="1"/>
  <c r="D147" i="1"/>
  <c r="C148" i="1"/>
  <c r="D148" i="1"/>
  <c r="C149" i="1"/>
  <c r="D149" i="1"/>
  <c r="D144" i="1"/>
  <c r="F144" i="1"/>
  <c r="J130" i="1" s="1"/>
  <c r="D138" i="1"/>
  <c r="D139" i="1"/>
  <c r="F139" i="1"/>
  <c r="H132" i="1" s="1"/>
  <c r="C140" i="1"/>
  <c r="D140" i="1"/>
  <c r="C141" i="1"/>
  <c r="D141" i="1"/>
  <c r="C142" i="1"/>
  <c r="D142" i="1"/>
  <c r="E142" i="1"/>
  <c r="G135" i="1" s="1"/>
  <c r="F142" i="1"/>
  <c r="H135" i="1" s="1"/>
  <c r="D137" i="1"/>
  <c r="D131" i="1"/>
  <c r="D132" i="1"/>
  <c r="C133" i="1"/>
  <c r="D133" i="1"/>
  <c r="F133" i="1"/>
  <c r="C134" i="1"/>
  <c r="D134" i="1"/>
  <c r="E134" i="1"/>
  <c r="C135" i="1"/>
  <c r="D135" i="1"/>
  <c r="E135" i="1"/>
  <c r="D130" i="1"/>
  <c r="AO6" i="1"/>
  <c r="AO7" i="1" s="1"/>
  <c r="AO10" i="1" s="1"/>
  <c r="AP88" i="5" s="1"/>
  <c r="AO8" i="1"/>
  <c r="AB17" i="1"/>
  <c r="AH169" i="5" s="1"/>
  <c r="BA83" i="5"/>
  <c r="BA84" i="5"/>
  <c r="BA85" i="5" s="1"/>
  <c r="AJ35" i="1"/>
  <c r="AM176" i="5" s="1"/>
  <c r="AF47" i="1"/>
  <c r="AI35" i="1" s="1"/>
  <c r="AQ83" i="5"/>
  <c r="AF8" i="1"/>
  <c r="AL7" i="1"/>
  <c r="AL3" i="1"/>
  <c r="AL5" i="1"/>
  <c r="AL45" i="1"/>
  <c r="Y15" i="5" s="1"/>
  <c r="AK45" i="1"/>
  <c r="BA3" i="5"/>
  <c r="S18" i="5" s="1"/>
  <c r="F103" i="1"/>
  <c r="E103" i="1"/>
  <c r="AB18" i="1"/>
  <c r="AW3" i="5" s="1"/>
  <c r="G18" i="5" s="1"/>
  <c r="AK47" i="1"/>
  <c r="AI40" i="1" s="1"/>
  <c r="AH47" i="1"/>
  <c r="AI37" i="1"/>
  <c r="AI178" i="5"/>
  <c r="AI179" i="5" s="1"/>
  <c r="AH178" i="5"/>
  <c r="AD2" i="1"/>
  <c r="AE2" i="1"/>
  <c r="AD5" i="1"/>
  <c r="BA81" i="5"/>
  <c r="AZ81" i="5"/>
  <c r="AZ80" i="5"/>
  <c r="BA73" i="5" s="1"/>
  <c r="AZ78" i="5"/>
  <c r="BA76" i="5"/>
  <c r="AZ76" i="5"/>
  <c r="S21" i="5"/>
  <c r="BN24" i="5"/>
  <c r="AJ37" i="1"/>
  <c r="J43" i="5" s="1"/>
  <c r="AB43" i="5" s="1"/>
  <c r="AF2" i="1"/>
  <c r="BD88" i="5" s="1"/>
  <c r="BD89" i="5" s="1"/>
  <c r="AG2" i="1"/>
  <c r="AL8" i="1"/>
  <c r="S74" i="1"/>
  <c r="S71" i="1"/>
  <c r="AP93" i="5"/>
  <c r="C211" i="5"/>
  <c r="AQ29" i="5"/>
  <c r="C223" i="5"/>
  <c r="C224" i="5"/>
  <c r="C222" i="5"/>
  <c r="C236" i="5"/>
  <c r="C235" i="5"/>
  <c r="C233" i="5"/>
  <c r="C232" i="5"/>
  <c r="C231" i="5"/>
  <c r="C234" i="5"/>
  <c r="AH79" i="1"/>
  <c r="AI80" i="1"/>
  <c r="AF79" i="1"/>
  <c r="AG80" i="1"/>
  <c r="T70" i="1"/>
  <c r="AJ79" i="1"/>
  <c r="AK80" i="1"/>
  <c r="AF80" i="1"/>
  <c r="S70" i="1"/>
  <c r="AF82" i="1"/>
  <c r="P64" i="1" s="1"/>
  <c r="AJ70" i="1"/>
  <c r="AJ71" i="1"/>
  <c r="AJ72" i="1"/>
  <c r="AF70" i="1"/>
  <c r="AF71" i="1"/>
  <c r="AF72" i="1"/>
  <c r="AH70" i="1"/>
  <c r="AH71" i="1"/>
  <c r="AH72" i="1"/>
  <c r="AB59" i="1"/>
  <c r="AO99" i="5" s="1"/>
  <c r="AK82" i="1"/>
  <c r="AI82" i="1"/>
  <c r="AG82" i="1"/>
  <c r="K79" i="1"/>
  <c r="C209" i="5"/>
  <c r="AP90" i="5"/>
  <c r="AP92" i="5"/>
  <c r="AI19" i="1"/>
  <c r="AP91" i="5" s="1"/>
  <c r="AI18" i="1"/>
  <c r="C210" i="5"/>
  <c r="C685" i="5"/>
  <c r="AS43" i="5"/>
  <c r="AL139" i="5" s="1"/>
  <c r="AC9" i="1"/>
  <c r="AG5" i="1"/>
  <c r="AF5" i="1"/>
  <c r="AE5" i="1"/>
  <c r="AI46" i="1"/>
  <c r="M21" i="5"/>
  <c r="BC2" i="5"/>
  <c r="U13" i="5" s="1"/>
  <c r="BC9" i="5"/>
  <c r="BC8" i="5"/>
  <c r="Y21" i="5"/>
  <c r="G21" i="5"/>
  <c r="P76" i="1"/>
  <c r="AH55" i="1"/>
  <c r="F132" i="1" s="1"/>
  <c r="AH57" i="1"/>
  <c r="F134" i="1"/>
  <c r="AH58" i="1"/>
  <c r="F135" i="1" s="1"/>
  <c r="AH54" i="1"/>
  <c r="F131" i="1"/>
  <c r="AH53" i="1"/>
  <c r="F130" i="1" s="1"/>
  <c r="Q64" i="1"/>
  <c r="C103" i="1"/>
  <c r="C686" i="5"/>
  <c r="AJ41" i="1"/>
  <c r="Y45" i="5" s="1"/>
  <c r="Y43" i="5"/>
  <c r="C755" i="5" s="1"/>
  <c r="X45" i="5"/>
  <c r="AL26" i="1"/>
  <c r="AL25" i="1"/>
  <c r="C684" i="5"/>
  <c r="AM26" i="1"/>
  <c r="AI1" i="1"/>
  <c r="AM25" i="1"/>
  <c r="AM184" i="5"/>
  <c r="AL202" i="5" s="1"/>
  <c r="AL184" i="5"/>
  <c r="C815" i="5"/>
  <c r="D9" i="5"/>
  <c r="AV29" i="5"/>
  <c r="AL2" i="1"/>
  <c r="AJ25" i="1"/>
  <c r="AQ72" i="5"/>
  <c r="AP58" i="5"/>
  <c r="D54" i="5"/>
  <c r="D55" i="5" s="1"/>
  <c r="AG47" i="1"/>
  <c r="AI36" i="1" s="1"/>
  <c r="AJ36" i="1"/>
  <c r="AP72" i="5"/>
  <c r="AE6" i="5"/>
  <c r="BD75" i="5"/>
  <c r="M6" i="5"/>
  <c r="J6" i="5"/>
  <c r="AB6" i="5" s="1"/>
  <c r="C761" i="5"/>
  <c r="C762" i="5"/>
  <c r="BD85" i="5"/>
  <c r="V37" i="5"/>
  <c r="V44" i="5"/>
  <c r="V40" i="5"/>
  <c r="V31" i="5"/>
  <c r="V14" i="5"/>
  <c r="V20" i="5"/>
  <c r="AH157" i="5" s="1"/>
  <c r="AJ26" i="1"/>
  <c r="AL47" i="1"/>
  <c r="Y6" i="5"/>
  <c r="BC3" i="5"/>
  <c r="V16" i="5"/>
  <c r="V18" i="5"/>
  <c r="V22" i="5" s="1"/>
  <c r="AH159" i="5" s="1"/>
  <c r="P7" i="5"/>
  <c r="AQ24" i="5"/>
  <c r="O7" i="5" s="1"/>
  <c r="D7" i="5"/>
  <c r="V6" i="5"/>
  <c r="S6" i="5"/>
  <c r="G6" i="5"/>
  <c r="Y24" i="5"/>
  <c r="AI87" i="5"/>
  <c r="AH87" i="5"/>
  <c r="AL46" i="1"/>
  <c r="AY92" i="5"/>
  <c r="C228" i="5"/>
  <c r="AH163" i="5"/>
  <c r="BD79" i="5"/>
  <c r="AH166" i="5"/>
  <c r="AI162" i="5"/>
  <c r="AH162" i="5"/>
  <c r="BA75" i="5"/>
  <c r="L26" i="5"/>
  <c r="AD19" i="1"/>
  <c r="AG26" i="1"/>
  <c r="AF26" i="1"/>
  <c r="C214" i="5"/>
  <c r="C165" i="5"/>
  <c r="C164" i="5"/>
  <c r="D164" i="5" s="1"/>
  <c r="C321" i="5" s="1"/>
  <c r="C166" i="5"/>
  <c r="D166" i="5" s="1"/>
  <c r="C167" i="5"/>
  <c r="C161" i="5"/>
  <c r="D161" i="5" s="1"/>
  <c r="C160" i="5"/>
  <c r="C162" i="5"/>
  <c r="D162" i="5"/>
  <c r="C163" i="5"/>
  <c r="BD90" i="5"/>
  <c r="H104" i="1"/>
  <c r="G104" i="1"/>
  <c r="AH8" i="1"/>
  <c r="C313" i="5" s="1"/>
  <c r="C1" i="5"/>
  <c r="H1" i="5"/>
  <c r="H2" i="5"/>
  <c r="C54" i="5"/>
  <c r="E54" i="5" s="1"/>
  <c r="E55" i="5" s="1"/>
  <c r="C60" i="5"/>
  <c r="C61" i="5" s="1"/>
  <c r="B61" i="5" s="1"/>
  <c r="AR2" i="5"/>
  <c r="C4" i="5"/>
  <c r="L4" i="5"/>
  <c r="O4" i="5"/>
  <c r="R4" i="5"/>
  <c r="AT6" i="5"/>
  <c r="BC25" i="5"/>
  <c r="J59" i="5"/>
  <c r="G9" i="5"/>
  <c r="AI48" i="1"/>
  <c r="AJ48" i="1"/>
  <c r="AG20" i="1"/>
  <c r="P9" i="5"/>
  <c r="C559" i="5" s="1"/>
  <c r="C589" i="5" s="1"/>
  <c r="S9" i="5"/>
  <c r="V9" i="5"/>
  <c r="BP17" i="5"/>
  <c r="BC24" i="5"/>
  <c r="I59" i="5" s="1"/>
  <c r="BD24" i="5"/>
  <c r="H25" i="5"/>
  <c r="C26" i="5"/>
  <c r="O26" i="5"/>
  <c r="R26" i="5"/>
  <c r="AA26" i="5"/>
  <c r="AD26" i="5"/>
  <c r="D31" i="5"/>
  <c r="G31" i="5"/>
  <c r="P31" i="5"/>
  <c r="S31" i="5"/>
  <c r="BN31" i="5"/>
  <c r="BN37" i="5"/>
  <c r="BN43" i="5"/>
  <c r="BN49" i="5"/>
  <c r="L51" i="5"/>
  <c r="E52" i="5"/>
  <c r="E53" i="5"/>
  <c r="L52" i="5"/>
  <c r="AB40" i="1"/>
  <c r="AV64" i="5"/>
  <c r="AB41" i="1"/>
  <c r="AV65" i="5" s="1"/>
  <c r="AB42" i="1"/>
  <c r="AV66" i="5"/>
  <c r="AB43" i="1"/>
  <c r="AV67" i="5" s="1"/>
  <c r="AP56" i="5"/>
  <c r="AB44" i="1"/>
  <c r="AV68" i="5" s="1"/>
  <c r="AB45" i="1"/>
  <c r="AV69" i="5" s="1"/>
  <c r="L59" i="5"/>
  <c r="M59" i="5"/>
  <c r="AB46" i="1"/>
  <c r="AV70" i="5"/>
  <c r="D60" i="5"/>
  <c r="D61" i="5" s="1"/>
  <c r="AP61" i="5"/>
  <c r="AP62" i="5"/>
  <c r="AP63" i="5"/>
  <c r="AP64" i="5"/>
  <c r="J103" i="1"/>
  <c r="AP65" i="5" s="1"/>
  <c r="AL74" i="5"/>
  <c r="AM74" i="5"/>
  <c r="AG86" i="5"/>
  <c r="AH86" i="5"/>
  <c r="AI86" i="5"/>
  <c r="AK85" i="5"/>
  <c r="AO101" i="5"/>
  <c r="AP101" i="5"/>
  <c r="AO103" i="5"/>
  <c r="AP103" i="5"/>
  <c r="AO104" i="5"/>
  <c r="AP104" i="5"/>
  <c r="AO107" i="5"/>
  <c r="AP107" i="5"/>
  <c r="AO109" i="5"/>
  <c r="AP109" i="5"/>
  <c r="AO110" i="5"/>
  <c r="AP110" i="5"/>
  <c r="AO112" i="5"/>
  <c r="AK25" i="1"/>
  <c r="AG153" i="5"/>
  <c r="AG155" i="5"/>
  <c r="D132" i="5"/>
  <c r="J132" i="5"/>
  <c r="AG157" i="5"/>
  <c r="AG159" i="5"/>
  <c r="E143" i="5"/>
  <c r="F143" i="5"/>
  <c r="E144" i="5"/>
  <c r="F144" i="5"/>
  <c r="E145" i="5"/>
  <c r="F145" i="5"/>
  <c r="E146" i="5"/>
  <c r="F146" i="5"/>
  <c r="AH188" i="5"/>
  <c r="AH203" i="5"/>
  <c r="AI188" i="5"/>
  <c r="AH214" i="5" s="1"/>
  <c r="E147" i="5"/>
  <c r="F147" i="5"/>
  <c r="E148" i="5"/>
  <c r="F148" i="5"/>
  <c r="E149" i="5"/>
  <c r="F149" i="5"/>
  <c r="E150" i="5"/>
  <c r="F150" i="5"/>
  <c r="E151" i="5"/>
  <c r="F151" i="5"/>
  <c r="E152" i="5"/>
  <c r="F152" i="5"/>
  <c r="E153" i="5"/>
  <c r="F153" i="5"/>
  <c r="E154" i="5"/>
  <c r="F154" i="5"/>
  <c r="D167" i="5"/>
  <c r="C176" i="5"/>
  <c r="D176" i="5"/>
  <c r="E176" i="5"/>
  <c r="F176" i="5" s="1"/>
  <c r="C177" i="5"/>
  <c r="D177" i="5"/>
  <c r="E177" i="5" s="1"/>
  <c r="F177" i="5" s="1"/>
  <c r="C178" i="5"/>
  <c r="D178" i="5"/>
  <c r="E178" i="5"/>
  <c r="F178" i="5" s="1"/>
  <c r="C179" i="5"/>
  <c r="D179" i="5"/>
  <c r="E179" i="5" s="1"/>
  <c r="F179" i="5" s="1"/>
  <c r="C180" i="5"/>
  <c r="D180" i="5"/>
  <c r="E180" i="5"/>
  <c r="F180" i="5" s="1"/>
  <c r="C181" i="5"/>
  <c r="E181" i="5"/>
  <c r="F181" i="5" s="1"/>
  <c r="C182" i="5"/>
  <c r="D182" i="5" s="1"/>
  <c r="E182" i="5" s="1"/>
  <c r="F182" i="5" s="1"/>
  <c r="I182" i="5"/>
  <c r="C183" i="5"/>
  <c r="D183" i="5"/>
  <c r="E183" i="5" s="1"/>
  <c r="F183" i="5" s="1"/>
  <c r="C184" i="5"/>
  <c r="D184" i="5"/>
  <c r="E184" i="5"/>
  <c r="F184" i="5" s="1"/>
  <c r="C185" i="5"/>
  <c r="D185" i="5"/>
  <c r="E185" i="5" s="1"/>
  <c r="F185" i="5" s="1"/>
  <c r="C186" i="5"/>
  <c r="D186" i="5"/>
  <c r="E186" i="5"/>
  <c r="F186" i="5" s="1"/>
  <c r="C187" i="5"/>
  <c r="D187" i="5"/>
  <c r="E187" i="5" s="1"/>
  <c r="F187" i="5" s="1"/>
  <c r="B201" i="5"/>
  <c r="C201" i="5"/>
  <c r="D201" i="5"/>
  <c r="C203" i="5"/>
  <c r="D203" i="5"/>
  <c r="C208" i="5"/>
  <c r="D208" i="5"/>
  <c r="C215" i="5"/>
  <c r="C216" i="5"/>
  <c r="C205" i="5"/>
  <c r="C212" i="5"/>
  <c r="C207" i="5"/>
  <c r="C229" i="5"/>
  <c r="C230" i="5"/>
  <c r="C241" i="5"/>
  <c r="C242" i="5"/>
  <c r="C243" i="5"/>
  <c r="C244" i="5"/>
  <c r="AG8" i="1"/>
  <c r="C312" i="5"/>
  <c r="AI8" i="1"/>
  <c r="C314" i="5" s="1"/>
  <c r="C246" i="5"/>
  <c r="C342" i="5"/>
  <c r="C370" i="5"/>
  <c r="C396" i="5"/>
  <c r="C425" i="5" s="1"/>
  <c r="C402" i="5"/>
  <c r="C422" i="5"/>
  <c r="C615" i="5"/>
  <c r="C643" i="5" s="1"/>
  <c r="C765" i="5"/>
  <c r="C880" i="5"/>
  <c r="C881" i="5"/>
  <c r="AB3" i="1"/>
  <c r="S4" i="1"/>
  <c r="S5" i="1"/>
  <c r="AF32" i="1"/>
  <c r="AD31" i="1" s="1"/>
  <c r="AB38" i="1"/>
  <c r="AC45" i="1"/>
  <c r="AC38" i="1"/>
  <c r="AC40" i="1"/>
  <c r="AC43" i="1"/>
  <c r="AB47" i="1"/>
  <c r="AC50" i="1"/>
  <c r="AC51" i="1"/>
  <c r="AB60" i="1"/>
  <c r="AA63" i="1"/>
  <c r="AA64" i="1"/>
  <c r="J104" i="1"/>
  <c r="C105" i="1"/>
  <c r="D105" i="1"/>
  <c r="E105" i="1"/>
  <c r="G105" i="1"/>
  <c r="H105" i="1"/>
  <c r="J105" i="1"/>
  <c r="E106" i="1"/>
  <c r="G106" i="1"/>
  <c r="H106" i="1"/>
  <c r="C108" i="1"/>
  <c r="D108" i="1"/>
  <c r="E108" i="1"/>
  <c r="G108" i="1"/>
  <c r="H108" i="1"/>
  <c r="J108" i="1"/>
  <c r="BA82" i="5"/>
  <c r="AC46" i="1"/>
  <c r="AC42" i="1"/>
  <c r="AI75" i="1"/>
  <c r="AH73" i="1"/>
  <c r="AI73" i="1"/>
  <c r="AH75" i="1"/>
  <c r="AG73" i="1"/>
  <c r="AF75" i="1"/>
  <c r="AF73" i="1"/>
  <c r="AG75" i="1"/>
  <c r="AJ73" i="1"/>
  <c r="E70" i="1" s="1"/>
  <c r="AK73" i="1"/>
  <c r="F70" i="1"/>
  <c r="AJ75" i="1"/>
  <c r="E68" i="1"/>
  <c r="AK75" i="1"/>
  <c r="F68" i="1" s="1"/>
  <c r="AI47" i="1"/>
  <c r="AI45" i="1"/>
  <c r="M15" i="5"/>
  <c r="C524" i="5" s="1"/>
  <c r="AM201" i="5"/>
  <c r="AL225" i="5"/>
  <c r="AL224" i="5"/>
  <c r="AL223" i="5"/>
  <c r="AL222" i="5"/>
  <c r="AL221" i="5"/>
  <c r="AL220" i="5"/>
  <c r="AL219" i="5"/>
  <c r="AL218" i="5"/>
  <c r="AL217" i="5"/>
  <c r="AL216" i="5"/>
  <c r="AL215" i="5"/>
  <c r="AL214" i="5"/>
  <c r="AL213" i="5"/>
  <c r="AL212" i="5"/>
  <c r="AL211" i="5"/>
  <c r="AL210" i="5"/>
  <c r="AL209" i="5"/>
  <c r="AL208" i="5"/>
  <c r="AL207" i="5"/>
  <c r="AL206" i="5"/>
  <c r="AL205" i="5"/>
  <c r="AL204" i="5"/>
  <c r="AL203" i="5"/>
  <c r="AJ82" i="1"/>
  <c r="AH82" i="1"/>
  <c r="AJ80" i="1"/>
  <c r="AH80" i="1"/>
  <c r="BA78" i="5"/>
  <c r="AQ43" i="5"/>
  <c r="AH139" i="5" s="1"/>
  <c r="AP42" i="5"/>
  <c r="AH155" i="5"/>
  <c r="AI204" i="5"/>
  <c r="AI203" i="5"/>
  <c r="AI155" i="5"/>
  <c r="AQ42" i="5"/>
  <c r="AI138" i="5" s="1"/>
  <c r="AI220" i="5"/>
  <c r="AH218" i="5"/>
  <c r="M9" i="5"/>
  <c r="C505" i="5"/>
  <c r="C533" i="5"/>
  <c r="M31" i="5"/>
  <c r="D103" i="1"/>
  <c r="F4" i="5" s="1"/>
  <c r="F26" i="5" s="1"/>
  <c r="AE22" i="1"/>
  <c r="AE19" i="1"/>
  <c r="C681" i="5" s="1"/>
  <c r="AI209" i="5"/>
  <c r="V42" i="5"/>
  <c r="V32" i="5"/>
  <c r="V33" i="5" s="1"/>
  <c r="AC44" i="1"/>
  <c r="AI216" i="5"/>
  <c r="AI224" i="5"/>
  <c r="AH208" i="5"/>
  <c r="AI157" i="5"/>
  <c r="C753" i="5"/>
  <c r="AM225" i="5"/>
  <c r="AM221" i="5"/>
  <c r="AM217" i="5"/>
  <c r="AM213" i="5"/>
  <c r="AM209" i="5"/>
  <c r="AM205" i="5"/>
  <c r="AP99" i="5"/>
  <c r="AE53" i="1"/>
  <c r="C130" i="1" s="1"/>
  <c r="AC75" i="1"/>
  <c r="K52" i="5"/>
  <c r="AK98" i="5"/>
  <c r="AM223" i="5"/>
  <c r="AM219" i="5"/>
  <c r="AM215" i="5"/>
  <c r="AM211" i="5"/>
  <c r="AM207" i="5"/>
  <c r="AM203" i="5"/>
  <c r="AQ41" i="5"/>
  <c r="AI137" i="5"/>
  <c r="AL201" i="5"/>
  <c r="AM222" i="5"/>
  <c r="AM218" i="5"/>
  <c r="AM214" i="5"/>
  <c r="AM210" i="5"/>
  <c r="AM206" i="5"/>
  <c r="D764" i="5"/>
  <c r="F679" i="5"/>
  <c r="AE25" i="1"/>
  <c r="AE26" i="1"/>
  <c r="AP57" i="5"/>
  <c r="AZ82" i="5"/>
  <c r="BB3" i="5"/>
  <c r="Y18" i="5" s="1"/>
  <c r="D106" i="1"/>
  <c r="S15" i="5"/>
  <c r="BN21" i="5" s="1"/>
  <c r="AM139" i="5"/>
  <c r="AH170" i="5"/>
  <c r="AH184" i="5" s="1"/>
  <c r="AV9" i="5"/>
  <c r="AV11" i="5" s="1"/>
  <c r="AP35" i="5"/>
  <c r="AQ35" i="5" s="1"/>
  <c r="D15" i="5"/>
  <c r="AW31" i="5"/>
  <c r="C104" i="1"/>
  <c r="AV3" i="5"/>
  <c r="C677" i="5"/>
  <c r="AW40" i="5"/>
  <c r="C639" i="5"/>
  <c r="AS46" i="5"/>
  <c r="AL142" i="5" s="1"/>
  <c r="AI41" i="1"/>
  <c r="BL3" i="5" s="1"/>
  <c r="Y40" i="5" s="1"/>
  <c r="AL172" i="5"/>
  <c r="AM181" i="5" s="1"/>
  <c r="D104" i="1"/>
  <c r="D43" i="5"/>
  <c r="AY34" i="5" s="1"/>
  <c r="AM172" i="5"/>
  <c r="AL181" i="5" s="1"/>
  <c r="AH220" i="5"/>
  <c r="AH209" i="5"/>
  <c r="AH204" i="5"/>
  <c r="AH212" i="5"/>
  <c r="BB9" i="5"/>
  <c r="AW9" i="5"/>
  <c r="G15" i="5"/>
  <c r="BP14" i="5" s="1"/>
  <c r="AI139" i="5"/>
  <c r="AH65" i="1"/>
  <c r="F141" i="1" s="1"/>
  <c r="H134" i="1" s="1"/>
  <c r="F147" i="1"/>
  <c r="J133" i="1" s="1"/>
  <c r="C361" i="5"/>
  <c r="BO14" i="5"/>
  <c r="BO20" i="5" s="1"/>
  <c r="AI38" i="1"/>
  <c r="M37" i="5"/>
  <c r="AL11" i="1"/>
  <c r="AR42" i="5" s="1"/>
  <c r="BD73" i="5"/>
  <c r="AY3" i="5"/>
  <c r="M18" i="5" s="1"/>
  <c r="C527" i="5" s="1"/>
  <c r="AY9" i="5"/>
  <c r="AM144" i="5"/>
  <c r="AL144" i="5"/>
  <c r="S43" i="5"/>
  <c r="C556" i="5"/>
  <c r="C530" i="5"/>
  <c r="J37" i="5"/>
  <c r="AB37" i="5" s="1"/>
  <c r="C106" i="1"/>
  <c r="AM177" i="5"/>
  <c r="BG3" i="5"/>
  <c r="J40" i="5" s="1"/>
  <c r="BG9" i="5"/>
  <c r="BH3" i="5"/>
  <c r="M40" i="5" s="1"/>
  <c r="C553" i="5" s="1"/>
  <c r="AS42" i="5"/>
  <c r="AM138" i="5" s="1"/>
  <c r="BH9" i="5"/>
  <c r="AH137" i="5"/>
  <c r="BO17" i="5"/>
  <c r="BO23" i="5" s="1"/>
  <c r="AH164" i="5"/>
  <c r="C393" i="5"/>
  <c r="C550" i="5"/>
  <c r="V30" i="5"/>
  <c r="BQ17" i="5"/>
  <c r="BP23" i="5"/>
  <c r="BQ23" i="5" s="1"/>
  <c r="D321" i="5"/>
  <c r="C323" i="5" s="1"/>
  <c r="D165" i="5"/>
  <c r="AI159" i="5"/>
  <c r="AH206" i="5"/>
  <c r="AI202" i="5"/>
  <c r="AH215" i="5"/>
  <c r="AI213" i="5"/>
  <c r="AH211" i="5"/>
  <c r="AI222" i="5"/>
  <c r="AI214" i="5"/>
  <c r="AH201" i="5"/>
  <c r="AI212" i="5"/>
  <c r="AI215" i="5"/>
  <c r="AI208" i="5"/>
  <c r="AH221" i="5"/>
  <c r="AH217" i="5"/>
  <c r="AH210" i="5"/>
  <c r="AI217" i="5"/>
  <c r="AH225" i="5"/>
  <c r="AH205" i="5"/>
  <c r="AI218" i="5"/>
  <c r="AH207" i="5"/>
  <c r="AI201" i="5"/>
  <c r="AI219" i="5"/>
  <c r="AH223" i="5"/>
  <c r="AH216" i="5"/>
  <c r="AI223" i="5"/>
  <c r="AI206" i="5"/>
  <c r="AH224" i="5"/>
  <c r="AH202" i="5"/>
  <c r="AI221" i="5"/>
  <c r="AH213" i="5"/>
  <c r="AI225" i="5"/>
  <c r="AI205" i="5"/>
  <c r="AH222" i="5"/>
  <c r="AI207" i="5"/>
  <c r="AH219" i="5"/>
  <c r="AI210" i="5"/>
  <c r="V13" i="5"/>
  <c r="AH153" i="5"/>
  <c r="AI153" i="5"/>
  <c r="B50" i="5"/>
  <c r="AC29" i="1"/>
  <c r="K51" i="5"/>
  <c r="C206" i="5" s="1"/>
  <c r="B65" i="5"/>
  <c r="AE4" i="5"/>
  <c r="AE26" i="5"/>
  <c r="AE9" i="5"/>
  <c r="V21" i="5"/>
  <c r="BA79" i="5"/>
  <c r="O13" i="5"/>
  <c r="D29" i="5"/>
  <c r="D28" i="5"/>
  <c r="G28" i="5" s="1"/>
  <c r="C311" i="5"/>
  <c r="AE29" i="5"/>
  <c r="AE28" i="5"/>
  <c r="D160" i="5"/>
  <c r="C316" i="5" s="1"/>
  <c r="C317" i="5"/>
  <c r="AZ3" i="5"/>
  <c r="P18" i="5" s="1"/>
  <c r="C582" i="5" s="1"/>
  <c r="AH138" i="5"/>
  <c r="D316" i="5"/>
  <c r="C411" i="5"/>
  <c r="BA9" i="5"/>
  <c r="AM208" i="5"/>
  <c r="AC41" i="1"/>
  <c r="AM204" i="5"/>
  <c r="AM224" i="5"/>
  <c r="AL138" i="5"/>
  <c r="J28" i="5"/>
  <c r="AB28" i="5" s="1"/>
  <c r="M28" i="5"/>
  <c r="AE31" i="5"/>
  <c r="C817" i="5"/>
  <c r="Y29" i="5"/>
  <c r="S29" i="5"/>
  <c r="J29" i="5"/>
  <c r="AB29" i="5"/>
  <c r="M29" i="5"/>
  <c r="G29" i="5"/>
  <c r="V29" i="5"/>
  <c r="P29" i="5"/>
  <c r="BN2" i="5"/>
  <c r="AP45" i="5"/>
  <c r="AQ45" i="5"/>
  <c r="AH141" i="5" s="1"/>
  <c r="AH152" i="5"/>
  <c r="AH160" i="5" s="1"/>
  <c r="V19" i="5"/>
  <c r="V10" i="5"/>
  <c r="AI152" i="5"/>
  <c r="AI160" i="5"/>
  <c r="C322" i="5"/>
  <c r="C324" i="5"/>
  <c r="C325" i="5"/>
  <c r="AH29" i="1"/>
  <c r="AI29" i="1"/>
  <c r="AE29" i="1"/>
  <c r="BA96" i="5"/>
  <c r="AJ29" i="1"/>
  <c r="AD29" i="1"/>
  <c r="AG29" i="1"/>
  <c r="L45" i="5" s="1"/>
  <c r="AR44" i="5" s="1"/>
  <c r="AS44" i="5" s="1"/>
  <c r="AF29" i="1"/>
  <c r="I35" i="5" s="1"/>
  <c r="C318" i="5"/>
  <c r="C320" i="5"/>
  <c r="C319" i="5"/>
  <c r="C23" i="5"/>
  <c r="C43" i="5"/>
  <c r="C21" i="5"/>
  <c r="C22" i="5" s="1"/>
  <c r="C35" i="5"/>
  <c r="BW4" i="5"/>
  <c r="C15" i="5"/>
  <c r="AV2" i="5"/>
  <c r="AV4" i="5" s="1"/>
  <c r="AV6" i="5" s="1"/>
  <c r="C37" i="5"/>
  <c r="C45" i="5"/>
  <c r="AV8" i="5"/>
  <c r="BE8" i="5"/>
  <c r="BE2" i="5"/>
  <c r="R37" i="5"/>
  <c r="X15" i="5"/>
  <c r="X35" i="5"/>
  <c r="X23" i="5"/>
  <c r="X21" i="5"/>
  <c r="AH96" i="5" s="1"/>
  <c r="X37" i="5"/>
  <c r="X13" i="5"/>
  <c r="X43" i="5"/>
  <c r="R15" i="5"/>
  <c r="R43" i="5"/>
  <c r="R21" i="5"/>
  <c r="BB8" i="5"/>
  <c r="R35" i="5"/>
  <c r="BL8" i="5"/>
  <c r="BJ2" i="5"/>
  <c r="BB2" i="5"/>
  <c r="BJ8" i="5"/>
  <c r="BL2" i="5"/>
  <c r="X39" i="5" s="1"/>
  <c r="BA99" i="5"/>
  <c r="J66" i="5" s="1"/>
  <c r="M66" i="5" s="1"/>
  <c r="BA98" i="5"/>
  <c r="J65" i="5" s="1"/>
  <c r="M65" i="5" s="1"/>
  <c r="BA97" i="5"/>
  <c r="J64" i="5" s="1"/>
  <c r="M64" i="5" s="1"/>
  <c r="F13" i="5"/>
  <c r="F39" i="5"/>
  <c r="F42" i="5"/>
  <c r="AK23" i="5" s="1"/>
  <c r="F37" i="5"/>
  <c r="AK18" i="5" s="1"/>
  <c r="F44" i="5"/>
  <c r="F41" i="5"/>
  <c r="F36" i="5"/>
  <c r="F35" i="5"/>
  <c r="F45" i="5"/>
  <c r="F21" i="5"/>
  <c r="F15" i="5"/>
  <c r="F38" i="5"/>
  <c r="AK19" i="5" s="1"/>
  <c r="F43" i="5"/>
  <c r="F23" i="5"/>
  <c r="F40" i="5"/>
  <c r="AW8" i="5"/>
  <c r="AW2" i="5"/>
  <c r="BF2" i="5"/>
  <c r="BF4" i="5" s="1"/>
  <c r="BF6" i="5" s="1"/>
  <c r="BA8" i="5"/>
  <c r="AP47" i="5"/>
  <c r="BA2" i="5"/>
  <c r="Y11" i="5"/>
  <c r="BJ23" i="5"/>
  <c r="V5" i="5"/>
  <c r="V8" i="5"/>
  <c r="V11" i="5"/>
  <c r="BI22" i="5"/>
  <c r="BJ22" i="5"/>
  <c r="V7" i="5"/>
  <c r="L23" i="5"/>
  <c r="L21" i="5"/>
  <c r="O15" i="5"/>
  <c r="O37" i="5"/>
  <c r="O21" i="5"/>
  <c r="O35" i="5"/>
  <c r="O43" i="5"/>
  <c r="AZ8" i="5"/>
  <c r="AZ2" i="5"/>
  <c r="I45" i="5"/>
  <c r="R40" i="5"/>
  <c r="BL5" i="5"/>
  <c r="BJ5" i="5"/>
  <c r="R41" i="5"/>
  <c r="BL4" i="5"/>
  <c r="BL6" i="5"/>
  <c r="BL7" i="5" s="1"/>
  <c r="BJ4" i="5"/>
  <c r="BJ6" i="5" s="1"/>
  <c r="X14" i="5"/>
  <c r="Y14" i="5" s="1"/>
  <c r="Y13" i="5"/>
  <c r="AH88" i="5" s="1"/>
  <c r="AK15" i="5"/>
  <c r="AD40" i="5"/>
  <c r="D45" i="5"/>
  <c r="BO29" i="5"/>
  <c r="BO35" i="5" s="1"/>
  <c r="AK13" i="5"/>
  <c r="AD39" i="5"/>
  <c r="C44" i="5"/>
  <c r="R18" i="5"/>
  <c r="BA4" i="5"/>
  <c r="BA6" i="5"/>
  <c r="BA5" i="5"/>
  <c r="BA7" i="5" s="1"/>
  <c r="AK90" i="5"/>
  <c r="AK7" i="5"/>
  <c r="BO26" i="5"/>
  <c r="BO32" i="5" s="1"/>
  <c r="AD36" i="5"/>
  <c r="AG15" i="5"/>
  <c r="D23" i="5"/>
  <c r="AD18" i="5"/>
  <c r="AV16" i="5"/>
  <c r="AV17" i="5"/>
  <c r="AV18" i="5" s="1"/>
  <c r="AV19" i="5" s="1"/>
  <c r="BE17" i="5"/>
  <c r="BE18" i="5" s="1"/>
  <c r="BE19" i="5" s="1"/>
  <c r="BE16" i="5"/>
  <c r="AK58" i="5"/>
  <c r="BN30" i="5"/>
  <c r="AM58" i="5"/>
  <c r="AW5" i="5"/>
  <c r="F18" i="5"/>
  <c r="F17" i="5"/>
  <c r="AG20" i="5" s="1"/>
  <c r="AW4" i="5"/>
  <c r="AW6" i="5" s="1"/>
  <c r="AW7" i="5" s="1"/>
  <c r="F19" i="5"/>
  <c r="F20" i="5" s="1"/>
  <c r="BP5" i="5"/>
  <c r="AG24" i="5"/>
  <c r="AI24" i="5"/>
  <c r="AH24" i="5"/>
  <c r="BS24" i="5" s="1"/>
  <c r="BP27" i="5"/>
  <c r="AK20" i="5"/>
  <c r="O36" i="5"/>
  <c r="BN26" i="5"/>
  <c r="P35" i="5"/>
  <c r="AL50" i="5" s="1"/>
  <c r="AK26" i="5"/>
  <c r="F14" i="5"/>
  <c r="G13" i="5"/>
  <c r="AI16" i="5" s="1"/>
  <c r="C746" i="5"/>
  <c r="Y23" i="5"/>
  <c r="AH98" i="5" s="1"/>
  <c r="AI98" i="5"/>
  <c r="X22" i="5"/>
  <c r="BB17" i="5"/>
  <c r="BB18" i="5" s="1"/>
  <c r="BB19" i="5" s="1"/>
  <c r="AG98" i="5"/>
  <c r="BB16" i="5"/>
  <c r="BO2" i="5"/>
  <c r="BO8" i="5" s="1"/>
  <c r="AG7" i="5"/>
  <c r="C350" i="5"/>
  <c r="AH7" i="5"/>
  <c r="BS7" i="5" s="1"/>
  <c r="AI7" i="5"/>
  <c r="BT7" i="5" s="1"/>
  <c r="AD14" i="5"/>
  <c r="AG46" i="5"/>
  <c r="AH46" i="5"/>
  <c r="BS46" i="5" s="1"/>
  <c r="BI23" i="5"/>
  <c r="U5" i="5" s="1"/>
  <c r="U7" i="5"/>
  <c r="AW10" i="5"/>
  <c r="AW12" i="5" s="1"/>
  <c r="AW11" i="5"/>
  <c r="G35" i="5"/>
  <c r="AM16" i="5" s="1"/>
  <c r="AL16" i="5"/>
  <c r="AV40" i="5"/>
  <c r="AG71" i="5"/>
  <c r="AD23" i="5"/>
  <c r="BN12" i="5"/>
  <c r="AI71" i="5"/>
  <c r="BT68" i="5" s="1"/>
  <c r="AH71" i="5"/>
  <c r="BS68" i="5" s="1"/>
  <c r="C627" i="5"/>
  <c r="Y35" i="5"/>
  <c r="AL88" i="5" s="1"/>
  <c r="BE5" i="5"/>
  <c r="BE4" i="5"/>
  <c r="BE6" i="5" s="1"/>
  <c r="BD95" i="5"/>
  <c r="BD94" i="5"/>
  <c r="C14" i="5"/>
  <c r="AG6" i="5" s="1"/>
  <c r="D13" i="5"/>
  <c r="AH5" i="5" s="1"/>
  <c r="BS5" i="5" s="1"/>
  <c r="AD13" i="5"/>
  <c r="C823" i="5"/>
  <c r="BN27" i="5"/>
  <c r="AK52" i="5"/>
  <c r="AG48" i="5"/>
  <c r="AY16" i="5"/>
  <c r="AP44" i="5"/>
  <c r="AQ44" i="5" s="1"/>
  <c r="AY17" i="5"/>
  <c r="M23" i="5"/>
  <c r="BH17" i="5"/>
  <c r="BH18" i="5" s="1"/>
  <c r="AV35" i="5"/>
  <c r="BH16" i="5"/>
  <c r="L22" i="5"/>
  <c r="AK21" i="5"/>
  <c r="AK17" i="5"/>
  <c r="AK70" i="5"/>
  <c r="AD45" i="5"/>
  <c r="BN36" i="5"/>
  <c r="R42" i="5"/>
  <c r="AK69" i="5" s="1"/>
  <c r="AL70" i="5"/>
  <c r="C652" i="5"/>
  <c r="AM70" i="5"/>
  <c r="AG90" i="5"/>
  <c r="AH90" i="5"/>
  <c r="AI90" i="5"/>
  <c r="BW33" i="5"/>
  <c r="BV65" i="5"/>
  <c r="BV49" i="5"/>
  <c r="BW27" i="5"/>
  <c r="BV18" i="5"/>
  <c r="BW41" i="5"/>
  <c r="BW25" i="5"/>
  <c r="BW57" i="5"/>
  <c r="BW23" i="5"/>
  <c r="BV22" i="5"/>
  <c r="BW45" i="5"/>
  <c r="BV29" i="5"/>
  <c r="BV61" i="5"/>
  <c r="BW18" i="5"/>
  <c r="BW53" i="5"/>
  <c r="BV37" i="5"/>
  <c r="BV69" i="5"/>
  <c r="BW49" i="5"/>
  <c r="BW65" i="5"/>
  <c r="BV46" i="5"/>
  <c r="BW30" i="5"/>
  <c r="BW62" i="5"/>
  <c r="BV52" i="5"/>
  <c r="BW68" i="5"/>
  <c r="BW63" i="5"/>
  <c r="BV25" i="5"/>
  <c r="BV32" i="5"/>
  <c r="BW35" i="5"/>
  <c r="BV51" i="5"/>
  <c r="BW61" i="5"/>
  <c r="BV23" i="5"/>
  <c r="BV54" i="5"/>
  <c r="BV38" i="5"/>
  <c r="BV70" i="5"/>
  <c r="BV68" i="5"/>
  <c r="BV24" i="5"/>
  <c r="BV31" i="5"/>
  <c r="BW32" i="5"/>
  <c r="BW48" i="5"/>
  <c r="BW51" i="5"/>
  <c r="BW67" i="5"/>
  <c r="BW69" i="5"/>
  <c r="BW19" i="5"/>
  <c r="BW58" i="5"/>
  <c r="BV42" i="5"/>
  <c r="BV21" i="5"/>
  <c r="BV28" i="5"/>
  <c r="BV20" i="5"/>
  <c r="BV39" i="5"/>
  <c r="BW40" i="5"/>
  <c r="BW56" i="5"/>
  <c r="BW59" i="5"/>
  <c r="BW26" i="5"/>
  <c r="BV33" i="5"/>
  <c r="BV30" i="5"/>
  <c r="BV62" i="5"/>
  <c r="BW46" i="5"/>
  <c r="BV17" i="5"/>
  <c r="BV36" i="5"/>
  <c r="BW31" i="5"/>
  <c r="BW47" i="5"/>
  <c r="BV48" i="5"/>
  <c r="BW64" i="5"/>
  <c r="BV67" i="5"/>
  <c r="BW29" i="5"/>
  <c r="BV45" i="5"/>
  <c r="BW38" i="5"/>
  <c r="BW70" i="5"/>
  <c r="BW54" i="5"/>
  <c r="BW36" i="5"/>
  <c r="BW52" i="5"/>
  <c r="BV47" i="5"/>
  <c r="BV63" i="5"/>
  <c r="BV64" i="5"/>
  <c r="BV16" i="5"/>
  <c r="BV35" i="5"/>
  <c r="BW37" i="5"/>
  <c r="BV53" i="5"/>
  <c r="BW42" i="5"/>
  <c r="BV26" i="5"/>
  <c r="BV58" i="5"/>
  <c r="BW44" i="5"/>
  <c r="BV60" i="5"/>
  <c r="BV55" i="5"/>
  <c r="BW17" i="5"/>
  <c r="BW71" i="5"/>
  <c r="BW24" i="5"/>
  <c r="BV43" i="5"/>
  <c r="BV50" i="5"/>
  <c r="BW16" i="5"/>
  <c r="BW43" i="5"/>
  <c r="BW66" i="5"/>
  <c r="BW39" i="5"/>
  <c r="BV27" i="5"/>
  <c r="BV34" i="5"/>
  <c r="BV71" i="5"/>
  <c r="BV59" i="5"/>
  <c r="BW22" i="5"/>
  <c r="BW50" i="5"/>
  <c r="BW55" i="5"/>
  <c r="BV57" i="5"/>
  <c r="BV66" i="5"/>
  <c r="BW21" i="5"/>
  <c r="BV41" i="5"/>
  <c r="BW28" i="5"/>
  <c r="BV56" i="5"/>
  <c r="BW34" i="5"/>
  <c r="BV44" i="5"/>
  <c r="BW20" i="5"/>
  <c r="BV19" i="5"/>
  <c r="BW60" i="5"/>
  <c r="BV40" i="5"/>
  <c r="AZ4" i="5"/>
  <c r="AZ6" i="5" s="1"/>
  <c r="O18" i="5"/>
  <c r="AZ5" i="5"/>
  <c r="AG52" i="5"/>
  <c r="BN3" i="5"/>
  <c r="AG26" i="5"/>
  <c r="G23" i="5"/>
  <c r="AW16" i="5"/>
  <c r="F22" i="5"/>
  <c r="AW17" i="5"/>
  <c r="AW18" i="5"/>
  <c r="AW19" i="5" s="1"/>
  <c r="BF16" i="5"/>
  <c r="BF19" i="5" s="1"/>
  <c r="BF17" i="5"/>
  <c r="BF18" i="5"/>
  <c r="BP28" i="5"/>
  <c r="AK22" i="5"/>
  <c r="AD21" i="5"/>
  <c r="AG107" i="5" s="1"/>
  <c r="AG65" i="5"/>
  <c r="BN9" i="5"/>
  <c r="AV38" i="5"/>
  <c r="R16" i="5"/>
  <c r="R17" i="5" s="1"/>
  <c r="AK64" i="5"/>
  <c r="AD42" i="5"/>
  <c r="BN33" i="5"/>
  <c r="D35" i="5"/>
  <c r="C385" i="5" s="1"/>
  <c r="BP29" i="5"/>
  <c r="BP35" i="5" s="1"/>
  <c r="BQ35" i="5" s="1"/>
  <c r="AK24" i="5"/>
  <c r="AK25" i="5"/>
  <c r="BB4" i="5"/>
  <c r="BB6" i="5"/>
  <c r="BB5" i="5"/>
  <c r="X18" i="5"/>
  <c r="X16" i="5" s="1"/>
  <c r="C752" i="5"/>
  <c r="X44" i="5"/>
  <c r="AK96" i="5"/>
  <c r="BO5" i="5"/>
  <c r="BO11" i="5" s="1"/>
  <c r="AG13" i="5"/>
  <c r="AD17" i="5"/>
  <c r="AM50" i="5"/>
  <c r="BT16" i="5"/>
  <c r="G22" i="5"/>
  <c r="AG25" i="5"/>
  <c r="AH16" i="5"/>
  <c r="BS16" i="5" s="1"/>
  <c r="AK51" i="5"/>
  <c r="P36" i="5"/>
  <c r="AG21" i="5"/>
  <c r="BN35" i="5"/>
  <c r="S41" i="5"/>
  <c r="AK68" i="5"/>
  <c r="C440" i="5"/>
  <c r="C429" i="5"/>
  <c r="BT24" i="5"/>
  <c r="D22" i="5"/>
  <c r="AG14" i="5"/>
  <c r="AK103" i="5"/>
  <c r="C854" i="5"/>
  <c r="BJ7" i="5"/>
  <c r="AG23" i="5"/>
  <c r="G20" i="5"/>
  <c r="AK100" i="5"/>
  <c r="C851" i="5"/>
  <c r="AK106" i="5"/>
  <c r="C857" i="5"/>
  <c r="AI88" i="5"/>
  <c r="AI26" i="5"/>
  <c r="AH26" i="5"/>
  <c r="C413" i="5"/>
  <c r="C424" i="5"/>
  <c r="AG55" i="5"/>
  <c r="O19" i="5"/>
  <c r="AI55" i="5"/>
  <c r="AH55" i="5"/>
  <c r="BS54" i="5" s="1"/>
  <c r="BQ29" i="5"/>
  <c r="C831" i="5"/>
  <c r="C532" i="5"/>
  <c r="C521" i="5"/>
  <c r="AI48" i="5"/>
  <c r="BT48" i="5" s="1"/>
  <c r="AH48" i="5"/>
  <c r="BS48" i="5" s="1"/>
  <c r="AM88" i="5"/>
  <c r="C590" i="5"/>
  <c r="C602" i="5"/>
  <c r="BN38" i="5"/>
  <c r="BQ5" i="5"/>
  <c r="BP11" i="5"/>
  <c r="BQ11" i="5" s="1"/>
  <c r="R19" i="5"/>
  <c r="AG68" i="5"/>
  <c r="AD22" i="5"/>
  <c r="AV39" i="5"/>
  <c r="AY35" i="5"/>
  <c r="AM15" i="5"/>
  <c r="C384" i="5"/>
  <c r="C395" i="5"/>
  <c r="AL15" i="5"/>
  <c r="BV15" i="5" s="1"/>
  <c r="AG89" i="5"/>
  <c r="BP34" i="5"/>
  <c r="BQ34" i="5"/>
  <c r="BQ28" i="5"/>
  <c r="BP30" i="5"/>
  <c r="C827" i="5"/>
  <c r="AG103" i="5"/>
  <c r="AG109" i="5"/>
  <c r="C833" i="5"/>
  <c r="BP4" i="5"/>
  <c r="AG22" i="5"/>
  <c r="G19" i="5"/>
  <c r="C855" i="5"/>
  <c r="AK104" i="5"/>
  <c r="AI140" i="5"/>
  <c r="AH140" i="5"/>
  <c r="AG100" i="5"/>
  <c r="C824" i="5"/>
  <c r="C414" i="5"/>
  <c r="C403" i="5"/>
  <c r="C828" i="5"/>
  <c r="AG104" i="5"/>
  <c r="AK14" i="5"/>
  <c r="D44" i="5"/>
  <c r="AL14" i="5" s="1"/>
  <c r="BV14" i="5" s="1"/>
  <c r="AK97" i="5"/>
  <c r="Y44" i="5"/>
  <c r="AM97" i="5" s="1"/>
  <c r="O16" i="5"/>
  <c r="P16" i="5" s="1"/>
  <c r="BH19" i="5"/>
  <c r="BE7" i="5"/>
  <c r="Y22" i="5"/>
  <c r="AG97" i="5"/>
  <c r="AG17" i="5"/>
  <c r="G14" i="5"/>
  <c r="C404" i="5" s="1"/>
  <c r="AL140" i="5"/>
  <c r="AM140" i="5"/>
  <c r="BP31" i="5"/>
  <c r="BQ27" i="5"/>
  <c r="BP33" i="5"/>
  <c r="BQ33" i="5"/>
  <c r="G17" i="5"/>
  <c r="AI20" i="5" s="1"/>
  <c r="BT20" i="5" s="1"/>
  <c r="BP3" i="5"/>
  <c r="AI15" i="5"/>
  <c r="AH15" i="5"/>
  <c r="BS15" i="5" s="1"/>
  <c r="C358" i="5"/>
  <c r="C369" i="5"/>
  <c r="AW35" i="5"/>
  <c r="C383" i="5"/>
  <c r="AM14" i="5"/>
  <c r="BQ4" i="5"/>
  <c r="BP6" i="5"/>
  <c r="BP10" i="5"/>
  <c r="BQ10" i="5"/>
  <c r="BW15" i="5"/>
  <c r="AH14" i="5"/>
  <c r="BS14" i="5" s="1"/>
  <c r="BN11" i="5"/>
  <c r="S19" i="5"/>
  <c r="C625" i="5" s="1"/>
  <c r="AG69" i="5"/>
  <c r="R20" i="5"/>
  <c r="BP37" i="5"/>
  <c r="BQ37" i="5"/>
  <c r="BQ31" i="5"/>
  <c r="AH89" i="5"/>
  <c r="BS26" i="5"/>
  <c r="BP36" i="5"/>
  <c r="BQ36" i="5"/>
  <c r="BQ30" i="5"/>
  <c r="BT26" i="5"/>
  <c r="AL51" i="5"/>
  <c r="AM51" i="5"/>
  <c r="C603" i="5"/>
  <c r="C591" i="5"/>
  <c r="BT15" i="5"/>
  <c r="AL97" i="5"/>
  <c r="AI89" i="5"/>
  <c r="AH25" i="5"/>
  <c r="BS25" i="5" s="1"/>
  <c r="AI25" i="5"/>
  <c r="BT25" i="5" s="1"/>
  <c r="C423" i="5"/>
  <c r="C412" i="5"/>
  <c r="C832" i="5"/>
  <c r="AG108" i="5"/>
  <c r="BT54" i="5"/>
  <c r="C410" i="5"/>
  <c r="C421" i="5"/>
  <c r="AI23" i="5"/>
  <c r="BT23" i="5" s="1"/>
  <c r="AH23" i="5"/>
  <c r="BP15" i="5"/>
  <c r="BP25" i="5" s="1"/>
  <c r="BQ25" i="5" s="1"/>
  <c r="AH17" i="5"/>
  <c r="C415" i="5"/>
  <c r="C420" i="5"/>
  <c r="AI22" i="5"/>
  <c r="BT22" i="5" s="1"/>
  <c r="AH22" i="5"/>
  <c r="C409" i="5"/>
  <c r="BP16" i="5"/>
  <c r="BQ16" i="5" s="1"/>
  <c r="AG56" i="5"/>
  <c r="P19" i="5"/>
  <c r="BN17" i="5" s="1"/>
  <c r="BN5" i="5"/>
  <c r="O20" i="5"/>
  <c r="AG57" i="5" s="1"/>
  <c r="P20" i="5"/>
  <c r="C572" i="5" s="1"/>
  <c r="BP12" i="5"/>
  <c r="BQ12" i="5"/>
  <c r="BQ6" i="5"/>
  <c r="BW14" i="5"/>
  <c r="AG70" i="5"/>
  <c r="S20" i="5"/>
  <c r="C638" i="5" s="1"/>
  <c r="BS22" i="5"/>
  <c r="BS23" i="5"/>
  <c r="BS17" i="5"/>
  <c r="AH70" i="5"/>
  <c r="BS67" i="5" s="1"/>
  <c r="C626" i="5"/>
  <c r="AL15" i="1" l="1"/>
  <c r="Q72" i="1" s="1"/>
  <c r="P63" i="1" s="1"/>
  <c r="AL143" i="5"/>
  <c r="BE91" i="5"/>
  <c r="BE89" i="5"/>
  <c r="BE88" i="5" s="1"/>
  <c r="AR47" i="5"/>
  <c r="AM143" i="5" s="1"/>
  <c r="S42" i="5"/>
  <c r="AM142" i="5"/>
  <c r="BE90" i="5"/>
  <c r="BE85" i="5"/>
  <c r="Y39" i="5"/>
  <c r="AK92" i="5"/>
  <c r="X38" i="5"/>
  <c r="X40" i="5"/>
  <c r="AL96" i="5"/>
  <c r="X41" i="5"/>
  <c r="AM96" i="5"/>
  <c r="C598" i="5"/>
  <c r="BI2" i="5"/>
  <c r="BI8" i="5"/>
  <c r="BD83" i="5"/>
  <c r="BD84" i="5" s="1"/>
  <c r="BI3" i="5"/>
  <c r="P40" i="5" s="1"/>
  <c r="Q63" i="1"/>
  <c r="C738" i="5"/>
  <c r="C810" i="5"/>
  <c r="AQ76" i="5"/>
  <c r="AQ73" i="5" s="1"/>
  <c r="D53" i="5" s="1"/>
  <c r="AY30" i="5"/>
  <c r="C374" i="5"/>
  <c r="AM5" i="5"/>
  <c r="BW5" i="5" s="1"/>
  <c r="AM178" i="5"/>
  <c r="AL173" i="5" s="1"/>
  <c r="AM13" i="5"/>
  <c r="BW13" i="5" s="1"/>
  <c r="C382" i="5"/>
  <c r="AL13" i="5"/>
  <c r="BV13" i="5" s="1"/>
  <c r="S17" i="5"/>
  <c r="AI67" i="5" s="1"/>
  <c r="BT64" i="5" s="1"/>
  <c r="AG67" i="5"/>
  <c r="BN10" i="5"/>
  <c r="C636" i="5"/>
  <c r="AI68" i="5"/>
  <c r="BT65" i="5" s="1"/>
  <c r="C624" i="5"/>
  <c r="AH68" i="5"/>
  <c r="BS65" i="5" s="1"/>
  <c r="AI142" i="5"/>
  <c r="AH142" i="5"/>
  <c r="BB11" i="5"/>
  <c r="BB13" i="5" s="1"/>
  <c r="AH69" i="5"/>
  <c r="BS66" i="5" s="1"/>
  <c r="AH57" i="5"/>
  <c r="BS56" i="5" s="1"/>
  <c r="BN23" i="5"/>
  <c r="AG66" i="5"/>
  <c r="C633" i="5"/>
  <c r="AI69" i="5"/>
  <c r="BT66" i="5" s="1"/>
  <c r="S16" i="5"/>
  <c r="AI141" i="5"/>
  <c r="C676" i="5"/>
  <c r="AI70" i="5"/>
  <c r="BT67" i="5" s="1"/>
  <c r="C637" i="5"/>
  <c r="AH65" i="5"/>
  <c r="BS62" i="5" s="1"/>
  <c r="AI65" i="5"/>
  <c r="BT62" i="5" s="1"/>
  <c r="AI57" i="5"/>
  <c r="BT56" i="5" s="1"/>
  <c r="C621" i="5"/>
  <c r="BB10" i="5"/>
  <c r="BB12" i="5" s="1"/>
  <c r="BB7" i="5"/>
  <c r="C568" i="5"/>
  <c r="C580" i="5"/>
  <c r="AI53" i="5"/>
  <c r="BT52" i="5" s="1"/>
  <c r="AH53" i="5"/>
  <c r="BS52" i="5" s="1"/>
  <c r="AG53" i="5"/>
  <c r="O17" i="5"/>
  <c r="AI56" i="5"/>
  <c r="BT55" i="5" s="1"/>
  <c r="C584" i="5"/>
  <c r="C571" i="5"/>
  <c r="AH56" i="5"/>
  <c r="BS55" i="5" s="1"/>
  <c r="C583" i="5"/>
  <c r="C570" i="5"/>
  <c r="AV7" i="5"/>
  <c r="BP20" i="5"/>
  <c r="BQ20" i="5" s="1"/>
  <c r="BQ14" i="5"/>
  <c r="AI21" i="5"/>
  <c r="BT21" i="5" s="1"/>
  <c r="AH21" i="5"/>
  <c r="BS21" i="5" s="1"/>
  <c r="AH20" i="5"/>
  <c r="BS20" i="5" s="1"/>
  <c r="C407" i="5"/>
  <c r="BQ15" i="5"/>
  <c r="C418" i="5"/>
  <c r="AV5" i="5"/>
  <c r="F16" i="5"/>
  <c r="AI17" i="5"/>
  <c r="BT17" i="5" s="1"/>
  <c r="C416" i="5"/>
  <c r="BP19" i="5"/>
  <c r="AW13" i="5"/>
  <c r="AV10" i="5"/>
  <c r="AV12" i="5" s="1"/>
  <c r="AV13" i="5" s="1"/>
  <c r="E60" i="5"/>
  <c r="E61" i="5" s="1"/>
  <c r="C55" i="5"/>
  <c r="AI169" i="5"/>
  <c r="AI170" i="5" s="1"/>
  <c r="AI184" i="5" s="1"/>
  <c r="BA80" i="5"/>
  <c r="P13" i="5" s="1"/>
  <c r="AH186" i="5"/>
  <c r="C356" i="5"/>
  <c r="AW34" i="5"/>
  <c r="AH13" i="5"/>
  <c r="BS13" i="5" s="1"/>
  <c r="AQ200" i="5"/>
  <c r="AQ202" i="5" s="1"/>
  <c r="AH179" i="5"/>
  <c r="AH173" i="5" s="1"/>
  <c r="AI13" i="5"/>
  <c r="BT13" i="5" s="1"/>
  <c r="C359" i="5"/>
  <c r="D14" i="5"/>
  <c r="C348" i="5"/>
  <c r="AW30" i="5"/>
  <c r="AI5" i="5"/>
  <c r="BT5" i="5" s="1"/>
  <c r="BP7" i="5"/>
  <c r="BQ3" i="5"/>
  <c r="BP9" i="5"/>
  <c r="BQ9" i="5" s="1"/>
  <c r="C368" i="5"/>
  <c r="AI14" i="5"/>
  <c r="BT14" i="5" s="1"/>
  <c r="C357" i="5"/>
  <c r="AM92" i="5"/>
  <c r="AL92" i="5"/>
  <c r="C662" i="5"/>
  <c r="AM68" i="5"/>
  <c r="BN47" i="5"/>
  <c r="AL68" i="5"/>
  <c r="C650" i="5"/>
  <c r="AH67" i="5"/>
  <c r="BS64" i="5" s="1"/>
  <c r="C623" i="5"/>
  <c r="BP18" i="5"/>
  <c r="M22" i="5"/>
  <c r="AG47" i="5"/>
  <c r="BP24" i="5"/>
  <c r="BQ24" i="5" s="1"/>
  <c r="AG91" i="5"/>
  <c r="Y16" i="5"/>
  <c r="AI91" i="5" s="1"/>
  <c r="X17" i="5"/>
  <c r="AK109" i="5"/>
  <c r="C860" i="5"/>
  <c r="BN6" i="5"/>
  <c r="AG58" i="5"/>
  <c r="J35" i="5"/>
  <c r="AM27" i="5" s="1"/>
  <c r="AA35" i="5"/>
  <c r="AH97" i="5"/>
  <c r="AI97" i="5"/>
  <c r="AK67" i="5"/>
  <c r="AD44" i="5"/>
  <c r="C394" i="5"/>
  <c r="AZ7" i="5"/>
  <c r="AL5" i="5"/>
  <c r="AD35" i="5"/>
  <c r="C850" i="5" s="1"/>
  <c r="C36" i="5"/>
  <c r="AG93" i="5"/>
  <c r="BP26" i="5"/>
  <c r="AL62" i="5"/>
  <c r="BF3" i="5"/>
  <c r="BF9" i="5"/>
  <c r="BF5" i="5"/>
  <c r="BF7" i="5" s="1"/>
  <c r="BF8" i="5"/>
  <c r="AZ74" i="5"/>
  <c r="BA74" i="5"/>
  <c r="X19" i="5"/>
  <c r="C129" i="5"/>
  <c r="C130" i="5"/>
  <c r="I129" i="5"/>
  <c r="I130" i="5"/>
  <c r="AI93" i="5"/>
  <c r="AV34" i="5"/>
  <c r="C519" i="5"/>
  <c r="AI46" i="5"/>
  <c r="BT46" i="5" s="1"/>
  <c r="AH93" i="5"/>
  <c r="AK37" i="5"/>
  <c r="AA45" i="5"/>
  <c r="J45" i="5"/>
  <c r="AY18" i="5"/>
  <c r="AY19" i="5" s="1"/>
  <c r="X36" i="5"/>
  <c r="AD41" i="5"/>
  <c r="R36" i="5"/>
  <c r="BN32" i="5"/>
  <c r="AR45" i="5"/>
  <c r="AS45" i="5" s="1"/>
  <c r="S35" i="5"/>
  <c r="BP2" i="5"/>
  <c r="AG18" i="5"/>
  <c r="AH18" i="5"/>
  <c r="BS18" i="5" s="1"/>
  <c r="AI18" i="5"/>
  <c r="BT18" i="5" s="1"/>
  <c r="I23" i="5"/>
  <c r="I43" i="5"/>
  <c r="I21" i="5"/>
  <c r="BG8" i="5"/>
  <c r="I13" i="5"/>
  <c r="BG2" i="5"/>
  <c r="I37" i="5"/>
  <c r="I36" i="5" s="1"/>
  <c r="I15" i="5"/>
  <c r="M45" i="5"/>
  <c r="AM48" i="5"/>
  <c r="AK48" i="5"/>
  <c r="L13" i="5"/>
  <c r="Y28" i="5"/>
  <c r="V27" i="5"/>
  <c r="C499" i="5"/>
  <c r="AB40" i="5"/>
  <c r="C664" i="5"/>
  <c r="BN48" i="5"/>
  <c r="C683" i="5"/>
  <c r="D37" i="5"/>
  <c r="BE9" i="5"/>
  <c r="BE3" i="5"/>
  <c r="AP36" i="5"/>
  <c r="C213" i="5"/>
  <c r="AE55" i="1"/>
  <c r="C132" i="1" s="1"/>
  <c r="AU24" i="5"/>
  <c r="C7" i="5" s="1"/>
  <c r="AE62" i="1"/>
  <c r="C138" i="1" s="1"/>
  <c r="AI62" i="1"/>
  <c r="C145" i="1" s="1"/>
  <c r="AG55" i="1"/>
  <c r="E132" i="1" s="1"/>
  <c r="AW24" i="5"/>
  <c r="F6" i="5" s="1"/>
  <c r="AI61" i="1"/>
  <c r="C144" i="1" s="1"/>
  <c r="AI63" i="1"/>
  <c r="C146" i="1" s="1"/>
  <c r="AG200" i="5"/>
  <c r="AE63" i="1"/>
  <c r="C139" i="1" s="1"/>
  <c r="AE61" i="1"/>
  <c r="C137" i="1" s="1"/>
  <c r="BI24" i="5"/>
  <c r="U6" i="5" s="1"/>
  <c r="BA24" i="5"/>
  <c r="L6" i="5" s="1"/>
  <c r="Q74" i="1"/>
  <c r="C74" i="1"/>
  <c r="BG24" i="5"/>
  <c r="AD6" i="5" s="1"/>
  <c r="AY24" i="5"/>
  <c r="I6" i="5" s="1"/>
  <c r="AA6" i="5" s="1"/>
  <c r="BK24" i="5"/>
  <c r="X6" i="5" s="1"/>
  <c r="AS24" i="5"/>
  <c r="R6" i="5" s="1"/>
  <c r="BE24" i="5"/>
  <c r="AG54" i="1"/>
  <c r="E131" i="1" s="1"/>
  <c r="AK200" i="5"/>
  <c r="P37" i="5"/>
  <c r="BI9" i="5"/>
  <c r="BH2" i="5"/>
  <c r="L35" i="5"/>
  <c r="S28" i="5"/>
  <c r="R45" i="5"/>
  <c r="AZ9" i="5"/>
  <c r="P15" i="5"/>
  <c r="C745" i="5"/>
  <c r="AY8" i="5"/>
  <c r="L15" i="5"/>
  <c r="P28" i="5"/>
  <c r="AO9" i="1"/>
  <c r="AP89" i="5" s="1"/>
  <c r="C756" i="5"/>
  <c r="AM98" i="5"/>
  <c r="AL98" i="5"/>
  <c r="U19" i="5"/>
  <c r="BC10" i="5"/>
  <c r="BC12" i="5" s="1"/>
  <c r="BC11" i="5"/>
  <c r="C502" i="5"/>
  <c r="AP86" i="5"/>
  <c r="BJ3" i="5"/>
  <c r="S40" i="5" s="1"/>
  <c r="AY39" i="5" s="1"/>
  <c r="S37" i="5"/>
  <c r="BJ9" i="5"/>
  <c r="AQ48" i="5"/>
  <c r="AQ47" i="5"/>
  <c r="BD74" i="5"/>
  <c r="P21" i="5"/>
  <c r="C675" i="5" s="1"/>
  <c r="AI164" i="5"/>
  <c r="AI165" i="5" s="1"/>
  <c r="AI96" i="5"/>
  <c r="AY2" i="5"/>
  <c r="L43" i="5"/>
  <c r="V28" i="5"/>
  <c r="C419" i="5"/>
  <c r="C408" i="5"/>
  <c r="AY37" i="5"/>
  <c r="AW39" i="5"/>
  <c r="AY40" i="5"/>
  <c r="AW38" i="5"/>
  <c r="BA86" i="5"/>
  <c r="AZ86" i="5"/>
  <c r="AG96" i="5"/>
  <c r="BH8" i="5"/>
  <c r="L37" i="5"/>
  <c r="AE54" i="1"/>
  <c r="C131" i="1" s="1"/>
  <c r="C732" i="5"/>
  <c r="C804" i="5"/>
  <c r="AA65" i="1"/>
  <c r="AB67" i="1"/>
  <c r="BD77" i="5"/>
  <c r="BE75" i="5"/>
  <c r="BE79" i="5"/>
  <c r="AH48" i="1"/>
  <c r="AF48" i="1"/>
  <c r="AG48" i="1"/>
  <c r="AH46" i="1"/>
  <c r="AR77" i="5"/>
  <c r="AR76" i="5"/>
  <c r="AR73" i="5" s="1"/>
  <c r="I26" i="5"/>
  <c r="I4" i="5"/>
  <c r="AS77" i="5"/>
  <c r="AS78" i="5" s="1"/>
  <c r="AH45" i="1"/>
  <c r="AP59" i="5"/>
  <c r="AS76" i="5"/>
  <c r="AS73" i="5" s="1"/>
  <c r="AL66" i="1"/>
  <c r="F149" i="1" s="1"/>
  <c r="J135" i="1" s="1"/>
  <c r="F148" i="1"/>
  <c r="J134" i="1" s="1"/>
  <c r="AP87" i="5"/>
  <c r="BN42" i="5"/>
  <c r="C610" i="5"/>
  <c r="AM220" i="5"/>
  <c r="AS41" i="5"/>
  <c r="C405" i="5"/>
  <c r="AB4" i="5"/>
  <c r="AB26" i="5" s="1"/>
  <c r="AI211" i="5"/>
  <c r="U16" i="5"/>
  <c r="AM216" i="5"/>
  <c r="BL9" i="5"/>
  <c r="AM212" i="5"/>
  <c r="C496" i="5"/>
  <c r="BC5" i="5"/>
  <c r="BC7" i="5" s="1"/>
  <c r="AM202" i="5"/>
  <c r="BO41" i="5"/>
  <c r="BO47" i="5" s="1"/>
  <c r="BC4" i="5"/>
  <c r="BC6" i="5" s="1"/>
  <c r="C663" i="5" l="1"/>
  <c r="C651" i="5"/>
  <c r="AM69" i="5"/>
  <c r="AL69" i="5"/>
  <c r="R39" i="5"/>
  <c r="R38" i="5" s="1"/>
  <c r="X42" i="5"/>
  <c r="AK94" i="5"/>
  <c r="Y41" i="5"/>
  <c r="AM94" i="5" s="1"/>
  <c r="C751" i="5"/>
  <c r="AM93" i="5"/>
  <c r="AK93" i="5"/>
  <c r="AL93" i="5"/>
  <c r="AK91" i="5"/>
  <c r="Y38" i="5"/>
  <c r="AM91" i="5" s="1"/>
  <c r="BE84" i="5"/>
  <c r="BE83" i="5" s="1"/>
  <c r="Y37" i="5" s="1"/>
  <c r="BE86" i="5"/>
  <c r="O45" i="5"/>
  <c r="O41" i="5"/>
  <c r="O39" i="5"/>
  <c r="BI5" i="5"/>
  <c r="O40" i="5"/>
  <c r="AK55" i="5" s="1"/>
  <c r="BI4" i="5"/>
  <c r="BI6" i="5" s="1"/>
  <c r="C607" i="5"/>
  <c r="AY95" i="5"/>
  <c r="AM179" i="5"/>
  <c r="AM180" i="5"/>
  <c r="AM173" i="5"/>
  <c r="D52" i="5"/>
  <c r="I121" i="5" s="1"/>
  <c r="J121" i="5" s="1"/>
  <c r="C219" i="5"/>
  <c r="D63" i="5"/>
  <c r="C635" i="5"/>
  <c r="BN22" i="5"/>
  <c r="C622" i="5"/>
  <c r="AH66" i="5"/>
  <c r="BS63" i="5" s="1"/>
  <c r="C634" i="5"/>
  <c r="AI66" i="5"/>
  <c r="BT63" i="5" s="1"/>
  <c r="P17" i="5"/>
  <c r="BN4" i="5"/>
  <c r="AG54" i="5"/>
  <c r="BQ19" i="5"/>
  <c r="BP21" i="5"/>
  <c r="BQ21" i="5" s="1"/>
  <c r="G16" i="5"/>
  <c r="AG19" i="5"/>
  <c r="AI186" i="5"/>
  <c r="AH182" i="5"/>
  <c r="AH180" i="5" s="1"/>
  <c r="AI180" i="5" s="1"/>
  <c r="AH181" i="5" s="1"/>
  <c r="AI182" i="5"/>
  <c r="C577" i="5"/>
  <c r="BN14" i="5"/>
  <c r="AI62" i="5"/>
  <c r="BT60" i="5" s="1"/>
  <c r="AI49" i="5"/>
  <c r="BT49" i="5" s="1"/>
  <c r="AH49" i="5"/>
  <c r="BS49" i="5" s="1"/>
  <c r="AH62" i="5"/>
  <c r="BS60" i="5" s="1"/>
  <c r="AI6" i="5"/>
  <c r="BT6" i="5" s="1"/>
  <c r="C360" i="5"/>
  <c r="C349" i="5"/>
  <c r="AH6" i="5"/>
  <c r="BS6" i="5" s="1"/>
  <c r="AK28" i="5"/>
  <c r="AA36" i="5"/>
  <c r="J36" i="5"/>
  <c r="C807" i="5"/>
  <c r="C735" i="5"/>
  <c r="J21" i="5"/>
  <c r="AO61" i="5"/>
  <c r="AP60" i="5" s="1"/>
  <c r="AX2" i="5"/>
  <c r="I18" i="5" s="1"/>
  <c r="I16" i="5" s="1"/>
  <c r="AP76" i="5"/>
  <c r="AP73" i="5" s="1"/>
  <c r="J23" i="5"/>
  <c r="BE11" i="5"/>
  <c r="BE10" i="5"/>
  <c r="BE12" i="5" s="1"/>
  <c r="I39" i="5"/>
  <c r="BG4" i="5"/>
  <c r="BG6" i="5" s="1"/>
  <c r="I41" i="5"/>
  <c r="I42" i="5" s="1"/>
  <c r="BG5" i="5"/>
  <c r="BG7" i="5" s="1"/>
  <c r="I40" i="5"/>
  <c r="C856" i="5"/>
  <c r="AK105" i="5"/>
  <c r="AG94" i="5"/>
  <c r="C744" i="5"/>
  <c r="Y19" i="5"/>
  <c r="AH94" i="5"/>
  <c r="X20" i="5"/>
  <c r="BP32" i="5"/>
  <c r="BQ32" i="5" s="1"/>
  <c r="BQ26" i="5"/>
  <c r="AH91" i="5"/>
  <c r="AK63" i="5"/>
  <c r="S36" i="5"/>
  <c r="AX3" i="5"/>
  <c r="J18" i="5" s="1"/>
  <c r="J15" i="5"/>
  <c r="E104" i="1"/>
  <c r="AX9" i="5"/>
  <c r="J13" i="5"/>
  <c r="BA88" i="5"/>
  <c r="AI161" i="5"/>
  <c r="AZ87" i="5"/>
  <c r="AZ90" i="5" s="1"/>
  <c r="AY96" i="5"/>
  <c r="AY99" i="5"/>
  <c r="I66" i="5" s="1"/>
  <c r="BE74" i="5"/>
  <c r="BE73" i="5" s="1"/>
  <c r="O23" i="5"/>
  <c r="BC13" i="5"/>
  <c r="BO38" i="5"/>
  <c r="BO44" i="5" s="1"/>
  <c r="AY31" i="5"/>
  <c r="AL7" i="5"/>
  <c r="BV7" i="5" s="1"/>
  <c r="C376" i="5"/>
  <c r="AM7" i="5"/>
  <c r="BW7" i="5" s="1"/>
  <c r="AQ77" i="5"/>
  <c r="AQ78" i="5" s="1"/>
  <c r="C315" i="5" s="1"/>
  <c r="C387" i="5"/>
  <c r="I14" i="5"/>
  <c r="AA13" i="5"/>
  <c r="AI27" i="5"/>
  <c r="BT27" i="5" s="1"/>
  <c r="AK89" i="5"/>
  <c r="AM89" i="5"/>
  <c r="Y36" i="5"/>
  <c r="AM137" i="5"/>
  <c r="AL137" i="5"/>
  <c r="BN18" i="5"/>
  <c r="C585" i="5"/>
  <c r="AI58" i="5"/>
  <c r="BT57" i="5" s="1"/>
  <c r="C573" i="5"/>
  <c r="AH58" i="5"/>
  <c r="BS57" i="5" s="1"/>
  <c r="I122" i="5"/>
  <c r="AH143" i="5"/>
  <c r="AI143" i="5"/>
  <c r="AK15" i="1"/>
  <c r="C72" i="1" s="1"/>
  <c r="C75" i="1" s="1"/>
  <c r="AG40" i="5"/>
  <c r="AV31" i="5"/>
  <c r="AH40" i="5"/>
  <c r="BS40" i="5" s="1"/>
  <c r="AI40" i="5"/>
  <c r="BT40" i="5" s="1"/>
  <c r="C513" i="5"/>
  <c r="M35" i="5"/>
  <c r="AL38" i="5" s="1"/>
  <c r="AR40" i="5"/>
  <c r="AS40" i="5" s="1"/>
  <c r="L36" i="5"/>
  <c r="AI187" i="5"/>
  <c r="D20" i="5" s="1"/>
  <c r="AH187" i="5"/>
  <c r="C20" i="5" s="1"/>
  <c r="AG12" i="5" s="1"/>
  <c r="BG11" i="5"/>
  <c r="BG10" i="5"/>
  <c r="BG12" i="5" s="1"/>
  <c r="AZ77" i="5"/>
  <c r="BA77" i="5"/>
  <c r="AK6" i="5"/>
  <c r="D36" i="5"/>
  <c r="AK72" i="5"/>
  <c r="S45" i="5"/>
  <c r="R46" i="5"/>
  <c r="AR49" i="5"/>
  <c r="AS49" i="5" s="1"/>
  <c r="AD46" i="5"/>
  <c r="R44" i="5"/>
  <c r="AH154" i="5"/>
  <c r="U21" i="5"/>
  <c r="AI154" i="5"/>
  <c r="AG154" i="5"/>
  <c r="J9" i="5"/>
  <c r="C451" i="5" s="1"/>
  <c r="C479" i="5" s="1"/>
  <c r="J31" i="5"/>
  <c r="AF20" i="1"/>
  <c r="AI144" i="5"/>
  <c r="AH144" i="5"/>
  <c r="AG156" i="5"/>
  <c r="AI156" i="5"/>
  <c r="AH156" i="5"/>
  <c r="AY10" i="5"/>
  <c r="AY12" i="5" s="1"/>
  <c r="AY11" i="5"/>
  <c r="L41" i="5"/>
  <c r="L39" i="5"/>
  <c r="BH5" i="5"/>
  <c r="BH7" i="5" s="1"/>
  <c r="L40" i="5"/>
  <c r="BH4" i="5"/>
  <c r="BH6" i="5" s="1"/>
  <c r="AG224" i="5"/>
  <c r="AF219" i="5"/>
  <c r="AF214" i="5"/>
  <c r="AF216" i="5"/>
  <c r="AF202" i="5"/>
  <c r="AG203" i="5"/>
  <c r="AF215" i="5"/>
  <c r="AG225" i="5"/>
  <c r="AG221" i="5"/>
  <c r="AG213" i="5"/>
  <c r="AF224" i="5"/>
  <c r="AF217" i="5"/>
  <c r="AG216" i="5"/>
  <c r="AF207" i="5"/>
  <c r="AG210" i="5"/>
  <c r="AF225" i="5"/>
  <c r="AG215" i="5"/>
  <c r="AF210" i="5"/>
  <c r="AG209" i="5"/>
  <c r="AF223" i="5"/>
  <c r="AF222" i="5"/>
  <c r="AG217" i="5"/>
  <c r="AG218" i="5"/>
  <c r="AG208" i="5"/>
  <c r="AG219" i="5"/>
  <c r="AF213" i="5"/>
  <c r="AG214" i="5"/>
  <c r="AG211" i="5"/>
  <c r="AF209" i="5"/>
  <c r="AF221" i="5"/>
  <c r="AF204" i="5"/>
  <c r="AG220" i="5"/>
  <c r="AG207" i="5"/>
  <c r="AF220" i="5"/>
  <c r="AG202" i="5"/>
  <c r="AF205" i="5"/>
  <c r="AF212" i="5"/>
  <c r="AF208" i="5"/>
  <c r="AG212" i="5"/>
  <c r="AG222" i="5"/>
  <c r="AG201" i="5"/>
  <c r="AF218" i="5"/>
  <c r="AF211" i="5"/>
  <c r="AG206" i="5"/>
  <c r="AG205" i="5"/>
  <c r="AG204" i="5"/>
  <c r="AF203" i="5"/>
  <c r="AG223" i="5"/>
  <c r="AF201" i="5"/>
  <c r="AF206" i="5"/>
  <c r="AH185" i="5"/>
  <c r="C19" i="5" s="1"/>
  <c r="AI185" i="5"/>
  <c r="D19" i="5" s="1"/>
  <c r="L14" i="5"/>
  <c r="AV30" i="5"/>
  <c r="M13" i="5"/>
  <c r="AI38" i="5" s="1"/>
  <c r="BT38" i="5" s="1"/>
  <c r="AP40" i="5"/>
  <c r="AQ40" i="5" s="1"/>
  <c r="AL183" i="5"/>
  <c r="C39" i="5" s="1"/>
  <c r="C38" i="5" s="1"/>
  <c r="AA21" i="5"/>
  <c r="AG35" i="5"/>
  <c r="BQ2" i="5"/>
  <c r="BP8" i="5"/>
  <c r="BQ8" i="5" s="1"/>
  <c r="C859" i="5"/>
  <c r="AK108" i="5"/>
  <c r="AL27" i="5"/>
  <c r="D72" i="5"/>
  <c r="D67" i="5"/>
  <c r="C220" i="5"/>
  <c r="AZ95" i="5"/>
  <c r="D129" i="5"/>
  <c r="C255" i="5"/>
  <c r="AM46" i="5"/>
  <c r="AK46" i="5"/>
  <c r="L44" i="5"/>
  <c r="C545" i="5"/>
  <c r="AL46" i="5"/>
  <c r="L42" i="5"/>
  <c r="BI10" i="5"/>
  <c r="BI12" i="5" s="1"/>
  <c r="BI11" i="5"/>
  <c r="AX8" i="5"/>
  <c r="C656" i="5"/>
  <c r="BN44" i="5"/>
  <c r="C644" i="5"/>
  <c r="AY36" i="5"/>
  <c r="C504" i="5"/>
  <c r="AL37" i="5"/>
  <c r="C493" i="5"/>
  <c r="AB45" i="5"/>
  <c r="AM37" i="5"/>
  <c r="C286" i="5"/>
  <c r="J130" i="5"/>
  <c r="BV5" i="5"/>
  <c r="C791" i="5"/>
  <c r="C719" i="5"/>
  <c r="BA87" i="5"/>
  <c r="AH161" i="5"/>
  <c r="AM40" i="5"/>
  <c r="AK40" i="5"/>
  <c r="AL40" i="5"/>
  <c r="C539" i="5"/>
  <c r="L18" i="5"/>
  <c r="L16" i="5" s="1"/>
  <c r="AY4" i="5"/>
  <c r="AY6" i="5" s="1"/>
  <c r="AY5" i="5"/>
  <c r="C658" i="5"/>
  <c r="BN45" i="5"/>
  <c r="C682" i="5"/>
  <c r="AM64" i="5"/>
  <c r="C646" i="5"/>
  <c r="AL64" i="5"/>
  <c r="BN15" i="5"/>
  <c r="C579" i="5"/>
  <c r="C674" i="5"/>
  <c r="C670" i="5" s="1"/>
  <c r="AH52" i="5"/>
  <c r="BS51" i="5" s="1"/>
  <c r="AI52" i="5"/>
  <c r="BT51" i="5" s="1"/>
  <c r="C567" i="5"/>
  <c r="C604" i="5"/>
  <c r="BN39" i="5"/>
  <c r="C680" i="5"/>
  <c r="C678" i="5" s="1"/>
  <c r="C679" i="5" s="1"/>
  <c r="AM52" i="5"/>
  <c r="C592" i="5"/>
  <c r="AL52" i="5"/>
  <c r="AH62" i="1"/>
  <c r="F138" i="1" s="1"/>
  <c r="H131" i="1" s="1"/>
  <c r="AH61" i="1"/>
  <c r="F137" i="1" s="1"/>
  <c r="H130" i="1" s="1"/>
  <c r="AG61" i="1"/>
  <c r="AH60" i="1"/>
  <c r="AK61" i="1"/>
  <c r="AL35" i="5"/>
  <c r="AM35" i="5"/>
  <c r="I44" i="5"/>
  <c r="AK35" i="5"/>
  <c r="AA43" i="5"/>
  <c r="C491" i="5"/>
  <c r="AM141" i="5"/>
  <c r="AL141" i="5"/>
  <c r="AK84" i="5"/>
  <c r="C729" i="5"/>
  <c r="C801" i="5"/>
  <c r="C285" i="5"/>
  <c r="J129" i="5"/>
  <c r="BF11" i="5"/>
  <c r="BF13" i="5" s="1"/>
  <c r="BF10" i="5"/>
  <c r="BF12" i="5" s="1"/>
  <c r="AM62" i="5"/>
  <c r="AH47" i="5"/>
  <c r="BS47" i="5" s="1"/>
  <c r="C520" i="5"/>
  <c r="AI47" i="5"/>
  <c r="BT47" i="5" s="1"/>
  <c r="C531" i="5"/>
  <c r="AA37" i="5"/>
  <c r="AK29" i="5"/>
  <c r="AM29" i="5"/>
  <c r="C485" i="5"/>
  <c r="AL29" i="5"/>
  <c r="C876" i="5"/>
  <c r="AR74" i="5"/>
  <c r="C72" i="5"/>
  <c r="C875" i="5"/>
  <c r="C218" i="5"/>
  <c r="C67" i="5"/>
  <c r="AH167" i="5"/>
  <c r="BD78" i="5"/>
  <c r="BH11" i="5"/>
  <c r="BH10" i="5"/>
  <c r="BH12" i="5" s="1"/>
  <c r="C661" i="5"/>
  <c r="C649" i="5"/>
  <c r="AL67" i="5"/>
  <c r="AM67" i="5"/>
  <c r="AZ10" i="5"/>
  <c r="AZ12" i="5" s="1"/>
  <c r="AZ11" i="5"/>
  <c r="AZ13" i="5" s="1"/>
  <c r="AK209" i="5"/>
  <c r="AJ221" i="5"/>
  <c r="AK203" i="5"/>
  <c r="AK202" i="5"/>
  <c r="AK221" i="5"/>
  <c r="AJ202" i="5"/>
  <c r="AK220" i="5"/>
  <c r="AJ222" i="5"/>
  <c r="AJ224" i="5"/>
  <c r="AJ201" i="5"/>
  <c r="AK212" i="5"/>
  <c r="AK218" i="5"/>
  <c r="AJ203" i="5"/>
  <c r="AJ219" i="5"/>
  <c r="AJ212" i="5"/>
  <c r="AJ206" i="5"/>
  <c r="AK214" i="5"/>
  <c r="AK215" i="5"/>
  <c r="AJ211" i="5"/>
  <c r="AK208" i="5"/>
  <c r="AJ210" i="5"/>
  <c r="AJ215" i="5"/>
  <c r="AJ204" i="5"/>
  <c r="AK222" i="5"/>
  <c r="AK205" i="5"/>
  <c r="AJ217" i="5"/>
  <c r="AK225" i="5"/>
  <c r="AK210" i="5"/>
  <c r="AK207" i="5"/>
  <c r="AK204" i="5"/>
  <c r="AJ213" i="5"/>
  <c r="AK219" i="5"/>
  <c r="AJ207" i="5"/>
  <c r="AK206" i="5"/>
  <c r="AK216" i="5"/>
  <c r="AJ225" i="5"/>
  <c r="AK213" i="5"/>
  <c r="AJ218" i="5"/>
  <c r="AJ216" i="5"/>
  <c r="AJ214" i="5"/>
  <c r="AJ209" i="5"/>
  <c r="AJ205" i="5"/>
  <c r="AK201" i="5"/>
  <c r="AK223" i="5"/>
  <c r="AK211" i="5"/>
  <c r="AJ220" i="5"/>
  <c r="AJ223" i="5"/>
  <c r="AK224" i="5"/>
  <c r="AK217" i="5"/>
  <c r="AJ208" i="5"/>
  <c r="AG53" i="1"/>
  <c r="Q75" i="1"/>
  <c r="AL48" i="5"/>
  <c r="C547" i="5"/>
  <c r="C558" i="5"/>
  <c r="AG29" i="5"/>
  <c r="AA15" i="5"/>
  <c r="BG17" i="5"/>
  <c r="BG18" i="5" s="1"/>
  <c r="AX16" i="5"/>
  <c r="AA23" i="5"/>
  <c r="I22" i="5"/>
  <c r="J22" i="5" s="1"/>
  <c r="AG37" i="5"/>
  <c r="BG16" i="5"/>
  <c r="AX17" i="5"/>
  <c r="AX18" i="5" s="1"/>
  <c r="C256" i="5"/>
  <c r="D130" i="5"/>
  <c r="C483" i="5"/>
  <c r="C494" i="5"/>
  <c r="AB35" i="5"/>
  <c r="AG92" i="5"/>
  <c r="Y17" i="5"/>
  <c r="AI92" i="5" s="1"/>
  <c r="BP22" i="5"/>
  <c r="BQ22" i="5" s="1"/>
  <c r="BQ18" i="5"/>
  <c r="BQ7" i="5"/>
  <c r="BP13" i="5"/>
  <c r="BQ13" i="5" s="1"/>
  <c r="AK65" i="5" l="1"/>
  <c r="S38" i="5"/>
  <c r="AL91" i="5"/>
  <c r="AD43" i="5"/>
  <c r="AK66" i="5"/>
  <c r="S39" i="5"/>
  <c r="BN34" i="5"/>
  <c r="Y42" i="5"/>
  <c r="AL95" i="5" s="1"/>
  <c r="AK95" i="5"/>
  <c r="C754" i="5"/>
  <c r="AL94" i="5"/>
  <c r="BN28" i="5"/>
  <c r="P39" i="5"/>
  <c r="AK54" i="5"/>
  <c r="O38" i="5"/>
  <c r="BI7" i="5"/>
  <c r="BI13" i="5"/>
  <c r="AL55" i="5"/>
  <c r="AK56" i="5"/>
  <c r="O42" i="5"/>
  <c r="BN29" i="5"/>
  <c r="P41" i="5"/>
  <c r="C595" i="5"/>
  <c r="O44" i="5"/>
  <c r="AK60" i="5"/>
  <c r="P45" i="5"/>
  <c r="AM55" i="5"/>
  <c r="O46" i="5"/>
  <c r="AK61" i="5" s="1"/>
  <c r="P46" i="5"/>
  <c r="AL90" i="5"/>
  <c r="AM90" i="5"/>
  <c r="BG13" i="5"/>
  <c r="AM183" i="5"/>
  <c r="D40" i="5" s="1"/>
  <c r="K121" i="5"/>
  <c r="L121" i="5" s="1"/>
  <c r="C288" i="5"/>
  <c r="AH54" i="5"/>
  <c r="BS53" i="5" s="1"/>
  <c r="BN16" i="5"/>
  <c r="C569" i="5"/>
  <c r="C581" i="5"/>
  <c r="AI54" i="5"/>
  <c r="BT53" i="5" s="1"/>
  <c r="AH38" i="5"/>
  <c r="BS38" i="5" s="1"/>
  <c r="G10" i="5"/>
  <c r="AH19" i="5"/>
  <c r="BS19" i="5" s="1"/>
  <c r="C406" i="5"/>
  <c r="AI19" i="5"/>
  <c r="BT19" i="5" s="1"/>
  <c r="C417" i="5"/>
  <c r="AX4" i="5"/>
  <c r="AX6" i="5" s="1"/>
  <c r="AX5" i="5"/>
  <c r="AH183" i="5"/>
  <c r="C18" i="5" s="1"/>
  <c r="AI174" i="5"/>
  <c r="AH176" i="5"/>
  <c r="AH174" i="5"/>
  <c r="AI183" i="5"/>
  <c r="D18" i="5" s="1"/>
  <c r="D38" i="5"/>
  <c r="AK8" i="5"/>
  <c r="AI36" i="5"/>
  <c r="BT36" i="5" s="1"/>
  <c r="C466" i="5"/>
  <c r="C477" i="5"/>
  <c r="AB22" i="5"/>
  <c r="AH36" i="5"/>
  <c r="BS36" i="5" s="1"/>
  <c r="J42" i="5"/>
  <c r="AK34" i="5"/>
  <c r="AA42" i="5"/>
  <c r="E67" i="5"/>
  <c r="E68" i="5" s="1"/>
  <c r="C68" i="5"/>
  <c r="B68" i="5" s="1"/>
  <c r="AK64" i="1"/>
  <c r="AG64" i="1"/>
  <c r="D68" i="5"/>
  <c r="D69" i="5" s="1"/>
  <c r="D70" i="5" s="1"/>
  <c r="D71" i="5" s="1"/>
  <c r="I139" i="5" s="1"/>
  <c r="S46" i="5"/>
  <c r="AK73" i="5"/>
  <c r="AL39" i="5"/>
  <c r="AM39" i="5"/>
  <c r="AK39" i="5"/>
  <c r="M36" i="5"/>
  <c r="AZ91" i="5"/>
  <c r="R13" i="5"/>
  <c r="BA90" i="5"/>
  <c r="S13" i="5" s="1"/>
  <c r="AX11" i="5"/>
  <c r="AX10" i="5"/>
  <c r="AX12" i="5" s="1"/>
  <c r="Y20" i="5"/>
  <c r="AI95" i="5" s="1"/>
  <c r="AG95" i="5"/>
  <c r="C297" i="5"/>
  <c r="K130" i="5"/>
  <c r="L130" i="5" s="1"/>
  <c r="C705" i="5"/>
  <c r="C774" i="5"/>
  <c r="AG83" i="5"/>
  <c r="AL136" i="5"/>
  <c r="AM136" i="5"/>
  <c r="AH92" i="5"/>
  <c r="C699" i="5"/>
  <c r="C768" i="5"/>
  <c r="AG77" i="5"/>
  <c r="E130" i="1"/>
  <c r="AA199" i="5"/>
  <c r="AL76" i="5"/>
  <c r="BV73" i="5" s="1"/>
  <c r="AM76" i="5"/>
  <c r="BW73" i="5" s="1"/>
  <c r="AK76" i="5"/>
  <c r="C793" i="5"/>
  <c r="C721" i="5"/>
  <c r="K129" i="5"/>
  <c r="L129" i="5" s="1"/>
  <c r="C296" i="5"/>
  <c r="AL82" i="5"/>
  <c r="BV79" i="5" s="1"/>
  <c r="AM82" i="5"/>
  <c r="BW79" i="5" s="1"/>
  <c r="C727" i="5"/>
  <c r="C799" i="5"/>
  <c r="AK82" i="5"/>
  <c r="AY7" i="5"/>
  <c r="AL182" i="5"/>
  <c r="AM182" i="5" s="1"/>
  <c r="C40" i="5"/>
  <c r="C379" i="5" s="1"/>
  <c r="AH11" i="5"/>
  <c r="BS11" i="5" s="1"/>
  <c r="BO16" i="5"/>
  <c r="C365" i="5"/>
  <c r="AI11" i="5"/>
  <c r="BT11" i="5" s="1"/>
  <c r="C354" i="5"/>
  <c r="AK44" i="5"/>
  <c r="M41" i="5"/>
  <c r="AL44" i="5"/>
  <c r="E67" i="1"/>
  <c r="F67" i="1"/>
  <c r="AZ88" i="5"/>
  <c r="BA89" i="5" s="1"/>
  <c r="AZ89" i="5"/>
  <c r="C53" i="5"/>
  <c r="C63" i="5"/>
  <c r="AP74" i="5"/>
  <c r="C217" i="5"/>
  <c r="C52" i="5"/>
  <c r="C877" i="5"/>
  <c r="C878" i="5"/>
  <c r="L38" i="5"/>
  <c r="M39" i="5"/>
  <c r="AL42" i="5" s="1"/>
  <c r="AK42" i="5"/>
  <c r="AI37" i="5"/>
  <c r="BT37" i="5" s="1"/>
  <c r="C467" i="5"/>
  <c r="AH37" i="5"/>
  <c r="BS37" i="5" s="1"/>
  <c r="AB23" i="5"/>
  <c r="C478" i="5"/>
  <c r="AG30" i="5"/>
  <c r="I17" i="5"/>
  <c r="AA16" i="5"/>
  <c r="AG62" i="1"/>
  <c r="E138" i="1" s="1"/>
  <c r="G131" i="1" s="1"/>
  <c r="E137" i="1"/>
  <c r="G130" i="1" s="1"/>
  <c r="C390" i="5"/>
  <c r="AY33" i="5"/>
  <c r="AG11" i="5"/>
  <c r="BO4" i="5"/>
  <c r="AY13" i="5"/>
  <c r="C548" i="5"/>
  <c r="C537" i="5"/>
  <c r="C468" i="5"/>
  <c r="AB13" i="5"/>
  <c r="AI75" i="5" s="1"/>
  <c r="BT71" i="5" s="1"/>
  <c r="C457" i="5"/>
  <c r="AI29" i="5"/>
  <c r="BT29" i="5" s="1"/>
  <c r="AP77" i="5"/>
  <c r="C459" i="5"/>
  <c r="AB15" i="5"/>
  <c r="C470" i="5"/>
  <c r="AH29" i="5"/>
  <c r="BS29" i="5" s="1"/>
  <c r="AK31" i="5"/>
  <c r="J39" i="5"/>
  <c r="AA39" i="5"/>
  <c r="I38" i="5"/>
  <c r="AG32" i="5"/>
  <c r="I19" i="5"/>
  <c r="AA18" i="5"/>
  <c r="C672" i="5"/>
  <c r="C671" i="5"/>
  <c r="C673" i="5"/>
  <c r="M44" i="5"/>
  <c r="AM47" i="5" s="1"/>
  <c r="AK47" i="5"/>
  <c r="AL47" i="5"/>
  <c r="C730" i="5"/>
  <c r="C802" i="5"/>
  <c r="BH13" i="5"/>
  <c r="M58" i="5"/>
  <c r="M57" i="5"/>
  <c r="AV33" i="5"/>
  <c r="C516" i="5"/>
  <c r="AI43" i="5"/>
  <c r="BT43" i="5" s="1"/>
  <c r="L19" i="5"/>
  <c r="AG43" i="5"/>
  <c r="AH43" i="5"/>
  <c r="BS43" i="5" s="1"/>
  <c r="C812" i="5"/>
  <c r="AL84" i="5"/>
  <c r="AM84" i="5"/>
  <c r="C740" i="5"/>
  <c r="C697" i="5"/>
  <c r="C766" i="5"/>
  <c r="AZ17" i="5"/>
  <c r="AZ18" i="5" s="1"/>
  <c r="BI17" i="5"/>
  <c r="BI18" i="5" s="1"/>
  <c r="AG60" i="5"/>
  <c r="AZ16" i="5"/>
  <c r="O24" i="5"/>
  <c r="BI16" i="5"/>
  <c r="P23" i="5"/>
  <c r="O22" i="5"/>
  <c r="AB18" i="5"/>
  <c r="C473" i="5"/>
  <c r="AI32" i="5"/>
  <c r="BT32" i="5" s="1"/>
  <c r="C462" i="5"/>
  <c r="AH32" i="5"/>
  <c r="BS32" i="5" s="1"/>
  <c r="BO27" i="5"/>
  <c r="D39" i="5"/>
  <c r="AD37" i="5"/>
  <c r="AK9" i="5"/>
  <c r="AG41" i="5"/>
  <c r="M16" i="5"/>
  <c r="L17" i="5"/>
  <c r="AA22" i="5"/>
  <c r="AG36" i="5"/>
  <c r="R23" i="5"/>
  <c r="BE78" i="5"/>
  <c r="BE77" i="5" s="1"/>
  <c r="AK36" i="5"/>
  <c r="AA44" i="5"/>
  <c r="J44" i="5"/>
  <c r="C266" i="5"/>
  <c r="E129" i="5"/>
  <c r="F129" i="5" s="1"/>
  <c r="AI136" i="5"/>
  <c r="AH136" i="5"/>
  <c r="AK71" i="5"/>
  <c r="S44" i="5"/>
  <c r="AA14" i="5"/>
  <c r="AG28" i="5"/>
  <c r="BE13" i="5"/>
  <c r="C476" i="5"/>
  <c r="AB21" i="5"/>
  <c r="AH83" i="5" s="1"/>
  <c r="BS79" i="5" s="1"/>
  <c r="C56" i="5"/>
  <c r="C465" i="5"/>
  <c r="AI35" i="5"/>
  <c r="BT35" i="5" s="1"/>
  <c r="AH35" i="5"/>
  <c r="BS35" i="5" s="1"/>
  <c r="D49" i="5"/>
  <c r="C484" i="5"/>
  <c r="AB36" i="5"/>
  <c r="AM28" i="5"/>
  <c r="AL28" i="5"/>
  <c r="C495" i="5"/>
  <c r="AA41" i="5"/>
  <c r="AK33" i="5"/>
  <c r="J41" i="5"/>
  <c r="AG85" i="5"/>
  <c r="C776" i="5"/>
  <c r="AI85" i="5"/>
  <c r="BT81" i="5" s="1"/>
  <c r="AH85" i="5"/>
  <c r="BS81" i="5" s="1"/>
  <c r="C707" i="5"/>
  <c r="AK45" i="5"/>
  <c r="M42" i="5"/>
  <c r="AL45" i="5" s="1"/>
  <c r="AZ99" i="5"/>
  <c r="L66" i="5" s="1"/>
  <c r="AZ96" i="5"/>
  <c r="AK110" i="5"/>
  <c r="C861" i="5"/>
  <c r="C355" i="5"/>
  <c r="AI12" i="5"/>
  <c r="BT12" i="5" s="1"/>
  <c r="C366" i="5"/>
  <c r="AH12" i="5"/>
  <c r="BS12" i="5" s="1"/>
  <c r="AH27" i="5"/>
  <c r="BS27" i="5" s="1"/>
  <c r="J16" i="5"/>
  <c r="C720" i="5"/>
  <c r="C792" i="5"/>
  <c r="AK75" i="5"/>
  <c r="Q76" i="1"/>
  <c r="AG56" i="1"/>
  <c r="G37" i="5"/>
  <c r="G43" i="5"/>
  <c r="G45" i="5"/>
  <c r="G42" i="5"/>
  <c r="G38" i="5"/>
  <c r="G36" i="5"/>
  <c r="G40" i="5"/>
  <c r="G44" i="5"/>
  <c r="G39" i="5"/>
  <c r="G41" i="5"/>
  <c r="E144" i="1"/>
  <c r="I130" i="1" s="1"/>
  <c r="AK62" i="1"/>
  <c r="E145" i="1" s="1"/>
  <c r="I131" i="1" s="1"/>
  <c r="AK63" i="1"/>
  <c r="E146" i="1" s="1"/>
  <c r="I132" i="1" s="1"/>
  <c r="AG39" i="5"/>
  <c r="M14" i="5"/>
  <c r="C654" i="5"/>
  <c r="AY41" i="5"/>
  <c r="C666" i="5"/>
  <c r="AL72" i="5"/>
  <c r="AM72" i="5"/>
  <c r="C657" i="5"/>
  <c r="AM63" i="5"/>
  <c r="C645" i="5"/>
  <c r="AL63" i="5"/>
  <c r="BG19" i="5"/>
  <c r="C267" i="5"/>
  <c r="E130" i="5"/>
  <c r="F130" i="5" s="1"/>
  <c r="AX19" i="5"/>
  <c r="AR75" i="5"/>
  <c r="C511" i="5"/>
  <c r="C522" i="5"/>
  <c r="BE95" i="5"/>
  <c r="BE94" i="5"/>
  <c r="AK43" i="5"/>
  <c r="C542" i="5"/>
  <c r="AL43" i="5"/>
  <c r="AM43" i="5"/>
  <c r="AG158" i="5"/>
  <c r="AI158" i="5"/>
  <c r="AH158" i="5"/>
  <c r="AM145" i="5"/>
  <c r="AL145" i="5"/>
  <c r="AM6" i="5"/>
  <c r="BW6" i="5" s="1"/>
  <c r="C375" i="5"/>
  <c r="AL6" i="5"/>
  <c r="C386" i="5"/>
  <c r="AM38" i="5"/>
  <c r="J122" i="5"/>
  <c r="AL89" i="5"/>
  <c r="AI181" i="5"/>
  <c r="AY98" i="5"/>
  <c r="I65" i="5" s="1"/>
  <c r="AY97" i="5"/>
  <c r="I64" i="5" s="1"/>
  <c r="J14" i="5"/>
  <c r="AI94" i="5"/>
  <c r="AK32" i="5"/>
  <c r="AA40" i="5"/>
  <c r="AM32" i="5"/>
  <c r="AL32" i="5"/>
  <c r="C488" i="5"/>
  <c r="AL65" i="5" l="1"/>
  <c r="C647" i="5"/>
  <c r="C659" i="5"/>
  <c r="AM65" i="5"/>
  <c r="AM66" i="5"/>
  <c r="AL66" i="5"/>
  <c r="AY38" i="5"/>
  <c r="C648" i="5"/>
  <c r="BN46" i="5"/>
  <c r="C660" i="5"/>
  <c r="AK107" i="5"/>
  <c r="C858" i="5"/>
  <c r="Y32" i="5"/>
  <c r="AM95" i="5"/>
  <c r="AL60" i="5"/>
  <c r="AM60" i="5"/>
  <c r="AM61" i="5" s="1"/>
  <c r="C612" i="5"/>
  <c r="C600" i="5"/>
  <c r="AK59" i="5"/>
  <c r="P44" i="5"/>
  <c r="AK53" i="5"/>
  <c r="P38" i="5"/>
  <c r="AL61" i="5"/>
  <c r="C601" i="5"/>
  <c r="C613" i="5"/>
  <c r="C608" i="5"/>
  <c r="AL56" i="5"/>
  <c r="AM56" i="5"/>
  <c r="BN41" i="5"/>
  <c r="C596" i="5"/>
  <c r="S51" i="5"/>
  <c r="C326" i="5" s="1"/>
  <c r="AL54" i="5"/>
  <c r="AM54" i="5"/>
  <c r="C594" i="5"/>
  <c r="C606" i="5"/>
  <c r="BN40" i="5"/>
  <c r="AK57" i="5"/>
  <c r="P42" i="5"/>
  <c r="AL10" i="5"/>
  <c r="AP202" i="5" s="1"/>
  <c r="Y8" i="5"/>
  <c r="Y10" i="5"/>
  <c r="C747" i="5" s="1"/>
  <c r="AH75" i="5"/>
  <c r="BS71" i="5" s="1"/>
  <c r="AI175" i="5"/>
  <c r="D16" i="5" s="1"/>
  <c r="C362" i="5" s="1"/>
  <c r="G8" i="5"/>
  <c r="C400" i="5" s="1"/>
  <c r="C401" i="5" s="1"/>
  <c r="C397" i="5"/>
  <c r="AQ13" i="5"/>
  <c r="G11" i="5"/>
  <c r="AX7" i="5"/>
  <c r="AW33" i="5"/>
  <c r="AI10" i="5"/>
  <c r="BT10" i="5" s="1"/>
  <c r="C364" i="5"/>
  <c r="C353" i="5"/>
  <c r="AH10" i="5"/>
  <c r="BS10" i="5" s="1"/>
  <c r="C69" i="5"/>
  <c r="C70" i="5" s="1"/>
  <c r="AH175" i="5"/>
  <c r="C16" i="5" s="1"/>
  <c r="AI176" i="5"/>
  <c r="AD16" i="5"/>
  <c r="AG10" i="5"/>
  <c r="BE96" i="5"/>
  <c r="C221" i="5" s="1"/>
  <c r="C135" i="5"/>
  <c r="I136" i="5"/>
  <c r="C136" i="5"/>
  <c r="I135" i="5"/>
  <c r="AM25" i="5"/>
  <c r="AL25" i="5"/>
  <c r="C449" i="5"/>
  <c r="C438" i="5"/>
  <c r="E133" i="1"/>
  <c r="AJ55" i="1"/>
  <c r="AI55" i="1"/>
  <c r="AH84" i="5"/>
  <c r="BS80" i="5" s="1"/>
  <c r="C706" i="5"/>
  <c r="AI84" i="5"/>
  <c r="BT80" i="5" s="1"/>
  <c r="C775" i="5"/>
  <c r="AG84" i="5"/>
  <c r="AY32" i="5"/>
  <c r="BO39" i="5"/>
  <c r="AM9" i="5"/>
  <c r="BW9" i="5" s="1"/>
  <c r="AL9" i="5"/>
  <c r="BV9" i="5" s="1"/>
  <c r="C378" i="5"/>
  <c r="C389" i="5"/>
  <c r="AA19" i="5"/>
  <c r="AG33" i="5"/>
  <c r="J19" i="5"/>
  <c r="I20" i="5"/>
  <c r="C779" i="5"/>
  <c r="C710" i="5"/>
  <c r="BD23" i="5"/>
  <c r="J58" i="5" s="1"/>
  <c r="BD22" i="5"/>
  <c r="J57" i="5" s="1"/>
  <c r="AI83" i="5"/>
  <c r="BT79" i="5" s="1"/>
  <c r="E147" i="1"/>
  <c r="I133" i="1" s="1"/>
  <c r="AK65" i="1"/>
  <c r="E148" i="1" s="1"/>
  <c r="I134" i="1" s="1"/>
  <c r="AK67" i="1"/>
  <c r="AL67" i="1"/>
  <c r="AK66" i="1"/>
  <c r="E149" i="1" s="1"/>
  <c r="I135" i="1" s="1"/>
  <c r="C544" i="5"/>
  <c r="C555" i="5"/>
  <c r="BO31" i="5"/>
  <c r="BO37" i="5" s="1"/>
  <c r="BO33" i="5"/>
  <c r="C552" i="5"/>
  <c r="C541" i="5"/>
  <c r="C717" i="5"/>
  <c r="C786" i="5"/>
  <c r="C289" i="5"/>
  <c r="K122" i="5"/>
  <c r="L122" i="5" s="1"/>
  <c r="AB41" i="5"/>
  <c r="AM33" i="5"/>
  <c r="C489" i="5"/>
  <c r="AL33" i="5"/>
  <c r="C500" i="5"/>
  <c r="AM17" i="5"/>
  <c r="C430" i="5"/>
  <c r="C441" i="5"/>
  <c r="G32" i="5"/>
  <c r="AL17" i="5"/>
  <c r="AL36" i="5"/>
  <c r="C492" i="5"/>
  <c r="C503" i="5"/>
  <c r="AB44" i="5"/>
  <c r="AM36" i="5"/>
  <c r="AG42" i="5"/>
  <c r="M17" i="5"/>
  <c r="AV32" i="5"/>
  <c r="C713" i="5"/>
  <c r="C782" i="5"/>
  <c r="AM85" i="5"/>
  <c r="BW81" i="5"/>
  <c r="AA38" i="5"/>
  <c r="J38" i="5"/>
  <c r="AK30" i="5"/>
  <c r="C718" i="5"/>
  <c r="C787" i="5"/>
  <c r="AK41" i="5"/>
  <c r="M38" i="5"/>
  <c r="AL41" i="5" s="1"/>
  <c r="C122" i="5"/>
  <c r="AP81" i="5"/>
  <c r="BO18" i="5"/>
  <c r="BO22" i="5" s="1"/>
  <c r="BO24" i="5"/>
  <c r="AI77" i="5"/>
  <c r="BT73" i="5" s="1"/>
  <c r="AX13" i="5"/>
  <c r="AL21" i="5"/>
  <c r="C434" i="5"/>
  <c r="C445" i="5"/>
  <c r="AM21" i="5"/>
  <c r="L57" i="5"/>
  <c r="L58" i="5"/>
  <c r="AL19" i="5"/>
  <c r="AM19" i="5"/>
  <c r="C443" i="5"/>
  <c r="C432" i="5"/>
  <c r="AM45" i="5"/>
  <c r="C797" i="5"/>
  <c r="AK80" i="5"/>
  <c r="C725" i="5"/>
  <c r="C767" i="5"/>
  <c r="C698" i="5"/>
  <c r="AG76" i="5"/>
  <c r="C800" i="5"/>
  <c r="AK83" i="5"/>
  <c r="C728" i="5"/>
  <c r="C514" i="5"/>
  <c r="AH41" i="5"/>
  <c r="BS41" i="5" s="1"/>
  <c r="AI41" i="5"/>
  <c r="BT41" i="5" s="1"/>
  <c r="C525" i="5"/>
  <c r="P22" i="5"/>
  <c r="AG59" i="5"/>
  <c r="BN7" i="5"/>
  <c r="AL85" i="5"/>
  <c r="BV81" i="5"/>
  <c r="C557" i="5"/>
  <c r="C546" i="5"/>
  <c r="AK78" i="5"/>
  <c r="C795" i="5"/>
  <c r="C723" i="5"/>
  <c r="C749" i="5"/>
  <c r="AA223" i="5"/>
  <c r="AB207" i="5"/>
  <c r="AB210" i="5"/>
  <c r="AB208" i="5"/>
  <c r="AA205" i="5"/>
  <c r="AB200" i="5"/>
  <c r="AB223" i="5" s="1"/>
  <c r="AB214" i="5"/>
  <c r="AB224" i="5"/>
  <c r="AB221" i="5"/>
  <c r="AB204" i="5"/>
  <c r="AB225" i="5"/>
  <c r="AB209" i="5"/>
  <c r="AB203" i="5"/>
  <c r="AB205" i="5"/>
  <c r="AB219" i="5"/>
  <c r="AB202" i="5"/>
  <c r="AB212" i="5"/>
  <c r="AB218" i="5"/>
  <c r="AB216" i="5"/>
  <c r="AB220" i="5"/>
  <c r="AB213" i="5"/>
  <c r="AB211" i="5"/>
  <c r="AA200" i="5"/>
  <c r="AA220" i="5" s="1"/>
  <c r="AB217" i="5"/>
  <c r="AB222" i="5"/>
  <c r="AB215" i="5"/>
  <c r="AB206" i="5"/>
  <c r="AB201" i="5"/>
  <c r="BN20" i="5"/>
  <c r="C631" i="5"/>
  <c r="AH50" i="5"/>
  <c r="AW36" i="5"/>
  <c r="AI50" i="5"/>
  <c r="AI63" i="5"/>
  <c r="AH63" i="5"/>
  <c r="AL73" i="5"/>
  <c r="AM73" i="5"/>
  <c r="C667" i="5"/>
  <c r="C655" i="5"/>
  <c r="C523" i="5"/>
  <c r="C512" i="5"/>
  <c r="AH39" i="5"/>
  <c r="BS39" i="5" s="1"/>
  <c r="AI39" i="5"/>
  <c r="BT39" i="5" s="1"/>
  <c r="C796" i="5"/>
  <c r="C724" i="5"/>
  <c r="AK79" i="5"/>
  <c r="AM79" i="5"/>
  <c r="BW76" i="5" s="1"/>
  <c r="AL79" i="5"/>
  <c r="BV76" i="5" s="1"/>
  <c r="BV6" i="5"/>
  <c r="C447" i="5"/>
  <c r="C436" i="5"/>
  <c r="AL23" i="5"/>
  <c r="AM23" i="5"/>
  <c r="AL71" i="5"/>
  <c r="AM71" i="5"/>
  <c r="C653" i="5"/>
  <c r="C665" i="5"/>
  <c r="C587" i="5"/>
  <c r="C575" i="5"/>
  <c r="AI60" i="5"/>
  <c r="BT59" i="5" s="1"/>
  <c r="AH60" i="5"/>
  <c r="BS59" i="5" s="1"/>
  <c r="C498" i="5"/>
  <c r="AM31" i="5"/>
  <c r="C487" i="5"/>
  <c r="AL31" i="5"/>
  <c r="AB39" i="5"/>
  <c r="BO10" i="5"/>
  <c r="BO6" i="5"/>
  <c r="BO12" i="5" s="1"/>
  <c r="C543" i="5"/>
  <c r="C554" i="5"/>
  <c r="AD38" i="5"/>
  <c r="AK10" i="5"/>
  <c r="AN15" i="1"/>
  <c r="P70" i="1" s="1"/>
  <c r="BA11" i="5"/>
  <c r="AV36" i="5"/>
  <c r="BN8" i="5"/>
  <c r="AD19" i="5"/>
  <c r="BA10" i="5"/>
  <c r="BA12" i="5" s="1"/>
  <c r="BL10" i="5"/>
  <c r="BL12" i="5" s="1"/>
  <c r="BJ10" i="5"/>
  <c r="BJ12" i="5" s="1"/>
  <c r="BJ11" i="5"/>
  <c r="BZ20" i="5"/>
  <c r="BZ19" i="5"/>
  <c r="BZ21" i="5" s="1"/>
  <c r="BL11" i="5"/>
  <c r="AI28" i="5"/>
  <c r="BT28" i="5" s="1"/>
  <c r="AH28" i="5"/>
  <c r="BS28" i="5" s="1"/>
  <c r="AB14" i="5"/>
  <c r="AI76" i="5" s="1"/>
  <c r="BT72" i="5" s="1"/>
  <c r="C458" i="5"/>
  <c r="C469" i="5"/>
  <c r="C450" i="5"/>
  <c r="AM26" i="5"/>
  <c r="C439" i="5"/>
  <c r="E56" i="5"/>
  <c r="E57" i="5" s="1"/>
  <c r="C57" i="5"/>
  <c r="C58" i="5" s="1"/>
  <c r="BI19" i="5"/>
  <c r="C121" i="5"/>
  <c r="H53" i="5"/>
  <c r="AH95" i="5"/>
  <c r="BA91" i="5"/>
  <c r="O14" i="5"/>
  <c r="R14" i="5"/>
  <c r="C619" i="5" s="1"/>
  <c r="C798" i="5"/>
  <c r="AK81" i="5"/>
  <c r="C726" i="5"/>
  <c r="C435" i="5"/>
  <c r="BP40" i="5"/>
  <c r="AM22" i="5"/>
  <c r="AL22" i="5"/>
  <c r="C446" i="5"/>
  <c r="BP41" i="5"/>
  <c r="D56" i="5"/>
  <c r="C437" i="5"/>
  <c r="C448" i="5"/>
  <c r="B55" i="5"/>
  <c r="AL24" i="5"/>
  <c r="AM24" i="5"/>
  <c r="AB16" i="5"/>
  <c r="AI78" i="5" s="1"/>
  <c r="BT74" i="5" s="1"/>
  <c r="C471" i="5"/>
  <c r="AI30" i="5"/>
  <c r="BT30" i="5" s="1"/>
  <c r="AH30" i="5"/>
  <c r="BS30" i="5" s="1"/>
  <c r="C460" i="5"/>
  <c r="AZ98" i="5"/>
  <c r="L65" i="5" s="1"/>
  <c r="AZ97" i="5"/>
  <c r="L64" i="5" s="1"/>
  <c r="C785" i="5"/>
  <c r="C716" i="5"/>
  <c r="BL17" i="5"/>
  <c r="S23" i="5"/>
  <c r="BL18" i="5"/>
  <c r="BL16" i="5"/>
  <c r="BA17" i="5"/>
  <c r="BA18" i="5" s="1"/>
  <c r="BA16" i="5"/>
  <c r="AP49" i="5"/>
  <c r="AQ49" i="5" s="1"/>
  <c r="BJ17" i="5"/>
  <c r="BJ16" i="5"/>
  <c r="BJ18" i="5"/>
  <c r="R24" i="5"/>
  <c r="AG73" i="5"/>
  <c r="R22" i="5"/>
  <c r="P24" i="5"/>
  <c r="AG61" i="5"/>
  <c r="C777" i="5"/>
  <c r="C708" i="5"/>
  <c r="C769" i="5"/>
  <c r="C700" i="5"/>
  <c r="AG78" i="5"/>
  <c r="AM42" i="5"/>
  <c r="AM44" i="5"/>
  <c r="AH77" i="5"/>
  <c r="BS73" i="5" s="1"/>
  <c r="C538" i="5"/>
  <c r="C549" i="5"/>
  <c r="S32" i="5"/>
  <c r="AM8" i="5"/>
  <c r="BW8" i="5" s="1"/>
  <c r="C388" i="5"/>
  <c r="AL8" i="5"/>
  <c r="BV8" i="5" s="1"/>
  <c r="C377" i="5"/>
  <c r="AL20" i="5"/>
  <c r="BP39" i="5"/>
  <c r="C433" i="5"/>
  <c r="C444" i="5"/>
  <c r="AM20" i="5"/>
  <c r="AL18" i="5"/>
  <c r="C431" i="5"/>
  <c r="BP38" i="5"/>
  <c r="C442" i="5"/>
  <c r="AM18" i="5"/>
  <c r="AP55" i="5"/>
  <c r="C803" i="5"/>
  <c r="AM75" i="5"/>
  <c r="BW72" i="5" s="1"/>
  <c r="C731" i="5"/>
  <c r="AL75" i="5"/>
  <c r="BV72" i="5" s="1"/>
  <c r="AK101" i="5"/>
  <c r="C852" i="5"/>
  <c r="AZ19" i="5"/>
  <c r="L20" i="5"/>
  <c r="AG44" i="5"/>
  <c r="M19" i="5"/>
  <c r="AI80" i="5"/>
  <c r="BT76" i="5" s="1"/>
  <c r="AG80" i="5"/>
  <c r="AH80" i="5"/>
  <c r="BS76" i="5" s="1"/>
  <c r="C771" i="5"/>
  <c r="C702" i="5"/>
  <c r="AM10" i="5"/>
  <c r="BW10" i="5" s="1"/>
  <c r="AG31" i="5"/>
  <c r="AA17" i="5"/>
  <c r="J17" i="5"/>
  <c r="AP75" i="5"/>
  <c r="BC22" i="5" s="1"/>
  <c r="AH67" i="1"/>
  <c r="AG67" i="1"/>
  <c r="AG65" i="1"/>
  <c r="E141" i="1" s="1"/>
  <c r="G134" i="1" s="1"/>
  <c r="E140" i="1"/>
  <c r="G133" i="1" s="1"/>
  <c r="AB42" i="5"/>
  <c r="AM34" i="5"/>
  <c r="AL34" i="5"/>
  <c r="C501" i="5"/>
  <c r="C490" i="5"/>
  <c r="AV78" i="5"/>
  <c r="Y33" i="5" l="1"/>
  <c r="C750" i="5"/>
  <c r="Y27" i="5"/>
  <c r="C758" i="5"/>
  <c r="C757" i="5"/>
  <c r="C759" i="5"/>
  <c r="Y30" i="5"/>
  <c r="P32" i="5"/>
  <c r="AM53" i="5"/>
  <c r="C605" i="5"/>
  <c r="C593" i="5"/>
  <c r="AL53" i="5"/>
  <c r="AL59" i="5"/>
  <c r="AM59" i="5"/>
  <c r="C599" i="5"/>
  <c r="C611" i="5"/>
  <c r="AL57" i="5"/>
  <c r="AM57" i="5"/>
  <c r="C609" i="5"/>
  <c r="C597" i="5"/>
  <c r="BV10" i="5"/>
  <c r="AP200" i="5"/>
  <c r="AP201" i="5" s="1"/>
  <c r="C41" i="5" s="1"/>
  <c r="C748" i="5"/>
  <c r="AP15" i="5"/>
  <c r="BK22" i="5" s="1"/>
  <c r="X7" i="5" s="1"/>
  <c r="C741" i="5"/>
  <c r="AW22" i="5"/>
  <c r="AX23" i="5"/>
  <c r="G5" i="5" s="1"/>
  <c r="C399" i="5"/>
  <c r="AX22" i="5"/>
  <c r="G7" i="5" s="1"/>
  <c r="E69" i="5"/>
  <c r="E70" i="5" s="1"/>
  <c r="C71" i="5"/>
  <c r="C139" i="5" s="1"/>
  <c r="B70" i="5"/>
  <c r="C138" i="5" s="1"/>
  <c r="AH177" i="5"/>
  <c r="C17" i="5" s="1"/>
  <c r="AI177" i="5"/>
  <c r="D17" i="5" s="1"/>
  <c r="AG8" i="5"/>
  <c r="AH8" i="5"/>
  <c r="BS8" i="5" s="1"/>
  <c r="AI8" i="5"/>
  <c r="BT8" i="5" s="1"/>
  <c r="C351" i="5"/>
  <c r="BZ22" i="5"/>
  <c r="BA13" i="5"/>
  <c r="B57" i="5"/>
  <c r="C126" i="5" s="1"/>
  <c r="AG102" i="5"/>
  <c r="C826" i="5"/>
  <c r="C59" i="5"/>
  <c r="B59" i="5" s="1"/>
  <c r="E58" i="5"/>
  <c r="E59" i="5" s="1"/>
  <c r="AL78" i="5"/>
  <c r="BV75" i="5" s="1"/>
  <c r="AM78" i="5"/>
  <c r="BW75" i="5" s="1"/>
  <c r="C806" i="5"/>
  <c r="C734" i="5"/>
  <c r="R56" i="5"/>
  <c r="R59" i="5"/>
  <c r="R55" i="5"/>
  <c r="R53" i="5"/>
  <c r="R58" i="5"/>
  <c r="R60" i="5"/>
  <c r="I167" i="5" s="1"/>
  <c r="C334" i="5" s="1"/>
  <c r="R57" i="5"/>
  <c r="R54" i="5"/>
  <c r="AG45" i="5"/>
  <c r="M20" i="5"/>
  <c r="S24" i="5"/>
  <c r="AG74" i="5"/>
  <c r="BL19" i="5"/>
  <c r="AA225" i="5"/>
  <c r="AA210" i="5"/>
  <c r="AA214" i="5"/>
  <c r="AL83" i="5"/>
  <c r="BV80" i="5" s="1"/>
  <c r="C739" i="5"/>
  <c r="AM83" i="5"/>
  <c r="BW80" i="5" s="1"/>
  <c r="C811" i="5"/>
  <c r="AQ201" i="5"/>
  <c r="D41" i="5" s="1"/>
  <c r="BQ39" i="5"/>
  <c r="BP49" i="5"/>
  <c r="BQ49" i="5" s="1"/>
  <c r="BP43" i="5"/>
  <c r="D121" i="5"/>
  <c r="C540" i="5"/>
  <c r="C551" i="5"/>
  <c r="M32" i="5"/>
  <c r="BJ19" i="5"/>
  <c r="AI73" i="5"/>
  <c r="BT70" i="5" s="1"/>
  <c r="C629" i="5"/>
  <c r="C641" i="5"/>
  <c r="AH73" i="5"/>
  <c r="BS70" i="5" s="1"/>
  <c r="D57" i="5"/>
  <c r="D58" i="5" s="1"/>
  <c r="BJ13" i="5"/>
  <c r="AA212" i="5"/>
  <c r="AA224" i="5"/>
  <c r="AA216" i="5"/>
  <c r="AA213" i="5"/>
  <c r="AA215" i="5"/>
  <c r="AA201" i="5"/>
  <c r="I138" i="5"/>
  <c r="BP47" i="5"/>
  <c r="BQ47" i="5" s="1"/>
  <c r="BQ41" i="5"/>
  <c r="AA202" i="5"/>
  <c r="AA217" i="5"/>
  <c r="AF67" i="1"/>
  <c r="AP203" i="5"/>
  <c r="C42" i="5" s="1"/>
  <c r="AK12" i="5" s="1"/>
  <c r="AQ203" i="5"/>
  <c r="D42" i="5" s="1"/>
  <c r="AD20" i="5"/>
  <c r="AV37" i="5"/>
  <c r="AG64" i="5"/>
  <c r="C853" i="5"/>
  <c r="AK102" i="5"/>
  <c r="AA221" i="5"/>
  <c r="AA204" i="5"/>
  <c r="AA208" i="5"/>
  <c r="AI59" i="5"/>
  <c r="BT58" i="5" s="1"/>
  <c r="C586" i="5"/>
  <c r="BN19" i="5"/>
  <c r="AH59" i="5"/>
  <c r="BS58" i="5" s="1"/>
  <c r="C574" i="5"/>
  <c r="AA20" i="5"/>
  <c r="AG34" i="5"/>
  <c r="J20" i="5"/>
  <c r="J10" i="5" s="1"/>
  <c r="BO49" i="5"/>
  <c r="BO43" i="5"/>
  <c r="BO45" i="5" s="1"/>
  <c r="J135" i="5"/>
  <c r="BC23" i="5"/>
  <c r="I58" i="5" s="1"/>
  <c r="I57" i="5"/>
  <c r="C778" i="5"/>
  <c r="C709" i="5"/>
  <c r="AH61" i="5"/>
  <c r="AH165" i="5" s="1"/>
  <c r="C588" i="5"/>
  <c r="AI61" i="5"/>
  <c r="C576" i="5"/>
  <c r="AI145" i="5"/>
  <c r="AH145" i="5"/>
  <c r="C565" i="5"/>
  <c r="AG51" i="5"/>
  <c r="AA206" i="5"/>
  <c r="AA222" i="5"/>
  <c r="AA209" i="5"/>
  <c r="AI42" i="5"/>
  <c r="BT42" i="5" s="1"/>
  <c r="C515" i="5"/>
  <c r="AH42" i="5"/>
  <c r="BS42" i="5" s="1"/>
  <c r="C526" i="5"/>
  <c r="G27" i="5"/>
  <c r="G33" i="5"/>
  <c r="G30" i="5"/>
  <c r="C427" i="5" s="1"/>
  <c r="C428" i="5" s="1"/>
  <c r="C426" i="5"/>
  <c r="C736" i="5"/>
  <c r="AL80" i="5"/>
  <c r="BV77" i="5" s="1"/>
  <c r="AM80" i="5"/>
  <c r="BW77" i="5" s="1"/>
  <c r="C808" i="5"/>
  <c r="AB19" i="5"/>
  <c r="AH81" i="5" s="1"/>
  <c r="BS77" i="5" s="1"/>
  <c r="AI33" i="5"/>
  <c r="BT33" i="5" s="1"/>
  <c r="AH33" i="5"/>
  <c r="BS33" i="5" s="1"/>
  <c r="C463" i="5"/>
  <c r="C474" i="5"/>
  <c r="D136" i="5"/>
  <c r="AL81" i="5"/>
  <c r="BV78" i="5" s="1"/>
  <c r="C737" i="5"/>
  <c r="AM81" i="5"/>
  <c r="BW78" i="5" s="1"/>
  <c r="C809" i="5"/>
  <c r="C701" i="5"/>
  <c r="C770" i="5"/>
  <c r="AG79" i="5"/>
  <c r="C528" i="5"/>
  <c r="AI44" i="5"/>
  <c r="BT44" i="5" s="1"/>
  <c r="AH44" i="5"/>
  <c r="BS44" i="5" s="1"/>
  <c r="C517" i="5"/>
  <c r="AG72" i="5"/>
  <c r="BN13" i="5"/>
  <c r="AV41" i="5"/>
  <c r="S22" i="5"/>
  <c r="AD24" i="5"/>
  <c r="BA19" i="5"/>
  <c r="S14" i="5"/>
  <c r="P14" i="5"/>
  <c r="C829" i="5"/>
  <c r="AG105" i="5"/>
  <c r="AA211" i="5"/>
  <c r="AA218" i="5"/>
  <c r="AA207" i="5"/>
  <c r="AH76" i="5"/>
  <c r="BS72" i="5" s="1"/>
  <c r="D122" i="5"/>
  <c r="AM30" i="5"/>
  <c r="C486" i="5"/>
  <c r="C497" i="5"/>
  <c r="AL30" i="5"/>
  <c r="AB38" i="5"/>
  <c r="J32" i="5"/>
  <c r="J136" i="5"/>
  <c r="BP44" i="5"/>
  <c r="BQ44" i="5" s="1"/>
  <c r="BQ38" i="5"/>
  <c r="C711" i="5"/>
  <c r="C780" i="5"/>
  <c r="AB17" i="5"/>
  <c r="C472" i="5"/>
  <c r="AH31" i="5"/>
  <c r="BS31" i="5" s="1"/>
  <c r="C461" i="5"/>
  <c r="AI31" i="5"/>
  <c r="BT31" i="5" s="1"/>
  <c r="S33" i="5"/>
  <c r="S30" i="5"/>
  <c r="C669" i="5" s="1"/>
  <c r="C668" i="5"/>
  <c r="S27" i="5"/>
  <c r="AH78" i="5"/>
  <c r="BS74" i="5" s="1"/>
  <c r="I124" i="5"/>
  <c r="C123" i="5"/>
  <c r="C124" i="5"/>
  <c r="I123" i="5"/>
  <c r="BQ40" i="5"/>
  <c r="BP42" i="5"/>
  <c r="BP48" i="5"/>
  <c r="BQ48" i="5" s="1"/>
  <c r="BL13" i="5"/>
  <c r="AA219" i="5"/>
  <c r="AA203" i="5"/>
  <c r="AM41" i="5"/>
  <c r="C722" i="5"/>
  <c r="C794" i="5"/>
  <c r="AK77" i="5"/>
  <c r="C772" i="5"/>
  <c r="C703" i="5"/>
  <c r="AG81" i="5"/>
  <c r="D135" i="5"/>
  <c r="C310" i="5" l="1"/>
  <c r="P30" i="5"/>
  <c r="C227" i="5" s="1"/>
  <c r="C226" i="5"/>
  <c r="P27" i="5"/>
  <c r="P33" i="5"/>
  <c r="C742" i="5"/>
  <c r="BK23" i="5"/>
  <c r="X5" i="5" s="1"/>
  <c r="BL22" i="5"/>
  <c r="Y7" i="5" s="1"/>
  <c r="BL23" i="5"/>
  <c r="Y5" i="5" s="1"/>
  <c r="C743" i="5" s="1"/>
  <c r="AI81" i="5"/>
  <c r="BT77" i="5" s="1"/>
  <c r="F7" i="5"/>
  <c r="C398" i="5"/>
  <c r="AW23" i="5"/>
  <c r="F5" i="5" s="1"/>
  <c r="I137" i="5"/>
  <c r="J137" i="5" s="1"/>
  <c r="C125" i="5"/>
  <c r="I125" i="5"/>
  <c r="J125" i="5" s="1"/>
  <c r="C137" i="5"/>
  <c r="D140" i="5" s="1"/>
  <c r="F140" i="5" s="1"/>
  <c r="C269" i="5" s="1"/>
  <c r="I126" i="5"/>
  <c r="J126" i="5" s="1"/>
  <c r="C62" i="5"/>
  <c r="C131" i="5" s="1"/>
  <c r="AW32" i="5"/>
  <c r="AH9" i="5"/>
  <c r="BS9" i="5" s="1"/>
  <c r="D10" i="5"/>
  <c r="BO15" i="5"/>
  <c r="C352" i="5"/>
  <c r="AI9" i="5"/>
  <c r="BT9" i="5" s="1"/>
  <c r="C363" i="5"/>
  <c r="AD15" i="5"/>
  <c r="BO3" i="5"/>
  <c r="AG9" i="5"/>
  <c r="C452" i="5"/>
  <c r="J8" i="5"/>
  <c r="J11" i="5"/>
  <c r="AQ11" i="5"/>
  <c r="AB10" i="5"/>
  <c r="C128" i="5"/>
  <c r="D133" i="5" s="1"/>
  <c r="F133" i="5" s="1"/>
  <c r="C127" i="5"/>
  <c r="I127" i="5"/>
  <c r="AQ2" i="5"/>
  <c r="C781" i="5"/>
  <c r="C712" i="5"/>
  <c r="AM77" i="5"/>
  <c r="BW74" i="5" s="1"/>
  <c r="C805" i="5"/>
  <c r="AL77" i="5"/>
  <c r="BV74" i="5" s="1"/>
  <c r="C733" i="5"/>
  <c r="C834" i="5"/>
  <c r="AG110" i="5"/>
  <c r="J138" i="5"/>
  <c r="S53" i="5"/>
  <c r="J160" i="5" s="1"/>
  <c r="C335" i="5" s="1"/>
  <c r="I160" i="5"/>
  <c r="BN25" i="5"/>
  <c r="C640" i="5"/>
  <c r="AW41" i="5"/>
  <c r="C628" i="5"/>
  <c r="AH72" i="5"/>
  <c r="BS69" i="5" s="1"/>
  <c r="AI72" i="5"/>
  <c r="BT69" i="5" s="1"/>
  <c r="C704" i="5"/>
  <c r="C773" i="5"/>
  <c r="AG82" i="5"/>
  <c r="C270" i="5"/>
  <c r="AH74" i="5"/>
  <c r="AH168" i="5" s="1"/>
  <c r="AI74" i="5"/>
  <c r="C642" i="5"/>
  <c r="C630" i="5"/>
  <c r="I162" i="5"/>
  <c r="S55" i="5"/>
  <c r="J162" i="5" s="1"/>
  <c r="C337" i="5" s="1"/>
  <c r="C280" i="5"/>
  <c r="J124" i="5"/>
  <c r="C273" i="5"/>
  <c r="E135" i="5"/>
  <c r="F135" i="5" s="1"/>
  <c r="D138" i="5"/>
  <c r="C258" i="5"/>
  <c r="E121" i="5"/>
  <c r="F121" i="5" s="1"/>
  <c r="AI45" i="5"/>
  <c r="BT45" i="5" s="1"/>
  <c r="C529" i="5"/>
  <c r="AH45" i="5"/>
  <c r="BS45" i="5" s="1"/>
  <c r="C518" i="5"/>
  <c r="I166" i="5"/>
  <c r="S59" i="5"/>
  <c r="J166" i="5" s="1"/>
  <c r="C341" i="5" s="1"/>
  <c r="J123" i="5"/>
  <c r="C279" i="5"/>
  <c r="AH79" i="5"/>
  <c r="BS75" i="5" s="1"/>
  <c r="K135" i="5"/>
  <c r="L135" i="5" s="1"/>
  <c r="C303" i="5"/>
  <c r="BP45" i="5"/>
  <c r="BQ45" i="5" s="1"/>
  <c r="BQ43" i="5"/>
  <c r="I163" i="5"/>
  <c r="S56" i="5"/>
  <c r="J163" i="5" s="1"/>
  <c r="C338" i="5" s="1"/>
  <c r="BQ42" i="5"/>
  <c r="BP46" i="5"/>
  <c r="BQ46" i="5" s="1"/>
  <c r="D126" i="5"/>
  <c r="C783" i="5"/>
  <c r="C714" i="5"/>
  <c r="AG106" i="5"/>
  <c r="C830" i="5"/>
  <c r="I161" i="5"/>
  <c r="S54" i="5"/>
  <c r="J161" i="5" s="1"/>
  <c r="C336" i="5" s="1"/>
  <c r="D124" i="5"/>
  <c r="C250" i="5"/>
  <c r="D123" i="5"/>
  <c r="C249" i="5"/>
  <c r="C566" i="5"/>
  <c r="C578" i="5"/>
  <c r="AH51" i="5"/>
  <c r="BS50" i="5" s="1"/>
  <c r="AI51" i="5"/>
  <c r="BT50" i="5" s="1"/>
  <c r="P10" i="5"/>
  <c r="AI79" i="5"/>
  <c r="BT75" i="5" s="1"/>
  <c r="D125" i="5"/>
  <c r="AM12" i="5"/>
  <c r="BW12" i="5" s="1"/>
  <c r="C392" i="5"/>
  <c r="C381" i="5"/>
  <c r="AL12" i="5"/>
  <c r="BV12" i="5" s="1"/>
  <c r="C309" i="5"/>
  <c r="C534" i="5"/>
  <c r="M33" i="5"/>
  <c r="M27" i="5"/>
  <c r="M30" i="5"/>
  <c r="C535" i="5" s="1"/>
  <c r="C536" i="5" s="1"/>
  <c r="I164" i="5"/>
  <c r="S57" i="5"/>
  <c r="J164" i="5" s="1"/>
  <c r="C339" i="5" s="1"/>
  <c r="C304" i="5"/>
  <c r="K136" i="5"/>
  <c r="L136" i="5" s="1"/>
  <c r="E122" i="5"/>
  <c r="F122" i="5" s="1"/>
  <c r="C259" i="5"/>
  <c r="C632" i="5"/>
  <c r="AH64" i="5"/>
  <c r="BS61" i="5" s="1"/>
  <c r="AI64" i="5"/>
  <c r="BT61" i="5" s="1"/>
  <c r="C620" i="5"/>
  <c r="AW37" i="5"/>
  <c r="S10" i="5"/>
  <c r="D59" i="5"/>
  <c r="D62" i="5" s="1"/>
  <c r="I131" i="5" s="1"/>
  <c r="AK11" i="5"/>
  <c r="BO28" i="5"/>
  <c r="J27" i="5"/>
  <c r="AB27" i="5" s="1"/>
  <c r="C480" i="5"/>
  <c r="AB32" i="5"/>
  <c r="J33" i="5"/>
  <c r="C308" i="5"/>
  <c r="J30" i="5"/>
  <c r="E136" i="5"/>
  <c r="F136" i="5" s="1"/>
  <c r="C274" i="5"/>
  <c r="C475" i="5"/>
  <c r="AI34" i="5"/>
  <c r="BT34" i="5" s="1"/>
  <c r="AH34" i="5"/>
  <c r="BS34" i="5" s="1"/>
  <c r="AB20" i="5"/>
  <c r="C464" i="5"/>
  <c r="C391" i="5"/>
  <c r="AM11" i="5"/>
  <c r="BW11" i="5" s="1"/>
  <c r="C380" i="5"/>
  <c r="AL11" i="5"/>
  <c r="BO40" i="5"/>
  <c r="C33" i="5"/>
  <c r="D32" i="5"/>
  <c r="S58" i="5"/>
  <c r="J165" i="5" s="1"/>
  <c r="C340" i="5" s="1"/>
  <c r="I165" i="5"/>
  <c r="M10" i="5"/>
  <c r="J140" i="5" l="1"/>
  <c r="L140" i="5" s="1"/>
  <c r="C300" i="5" s="1"/>
  <c r="C268" i="5"/>
  <c r="C257" i="5"/>
  <c r="C252" i="5"/>
  <c r="C251" i="5"/>
  <c r="BO25" i="5"/>
  <c r="BO19" i="5"/>
  <c r="BO21" i="5" s="1"/>
  <c r="C271" i="5"/>
  <c r="AP11" i="5"/>
  <c r="D8" i="5"/>
  <c r="C346" i="5" s="1"/>
  <c r="C347" i="5" s="1"/>
  <c r="D11" i="5"/>
  <c r="AE10" i="5"/>
  <c r="C343" i="5"/>
  <c r="BO7" i="5"/>
  <c r="BO13" i="5" s="1"/>
  <c r="BO9" i="5"/>
  <c r="C272" i="5"/>
  <c r="AG101" i="5"/>
  <c r="C825" i="5"/>
  <c r="D137" i="5"/>
  <c r="C275" i="5" s="1"/>
  <c r="BO42" i="5"/>
  <c r="BO46" i="5" s="1"/>
  <c r="BO48" i="5"/>
  <c r="C481" i="5"/>
  <c r="C482" i="5" s="1"/>
  <c r="AB30" i="5"/>
  <c r="AQ17" i="5"/>
  <c r="K163" i="5"/>
  <c r="L163" i="5"/>
  <c r="C330" i="5"/>
  <c r="C329" i="5"/>
  <c r="L162" i="5"/>
  <c r="K162" i="5"/>
  <c r="BV11" i="5"/>
  <c r="AL151" i="5"/>
  <c r="E125" i="5"/>
  <c r="F125" i="5" s="1"/>
  <c r="C262" i="5"/>
  <c r="C260" i="5"/>
  <c r="E123" i="5"/>
  <c r="F123" i="5" s="1"/>
  <c r="K125" i="5"/>
  <c r="L125" i="5" s="1"/>
  <c r="C292" i="5"/>
  <c r="J127" i="5"/>
  <c r="C784" i="5"/>
  <c r="C715" i="5"/>
  <c r="AH151" i="5"/>
  <c r="K166" i="5"/>
  <c r="C333" i="5"/>
  <c r="L166" i="5"/>
  <c r="E138" i="5"/>
  <c r="F138" i="5" s="1"/>
  <c r="C276" i="5"/>
  <c r="I128" i="5"/>
  <c r="C692" i="5"/>
  <c r="BF22" i="5"/>
  <c r="AB11" i="5"/>
  <c r="BF23" i="5"/>
  <c r="C689" i="5"/>
  <c r="C763" i="5"/>
  <c r="BE22" i="5"/>
  <c r="C789" i="5"/>
  <c r="AB33" i="5"/>
  <c r="C693" i="5"/>
  <c r="C813" i="5"/>
  <c r="S8" i="5"/>
  <c r="C814" i="5" s="1"/>
  <c r="AQ9" i="5"/>
  <c r="AS22" i="5" s="1"/>
  <c r="S11" i="5"/>
  <c r="P8" i="5"/>
  <c r="C563" i="5" s="1"/>
  <c r="AP9" i="5"/>
  <c r="AQ22" i="5" s="1"/>
  <c r="C560" i="5"/>
  <c r="P11" i="5"/>
  <c r="C261" i="5"/>
  <c r="E124" i="5"/>
  <c r="F124" i="5" s="1"/>
  <c r="AH82" i="5"/>
  <c r="BS78" i="5" s="1"/>
  <c r="C327" i="5"/>
  <c r="L160" i="5"/>
  <c r="K160" i="5"/>
  <c r="D127" i="5"/>
  <c r="C253" i="5"/>
  <c r="AZ23" i="5"/>
  <c r="J5" i="5" s="1"/>
  <c r="AB5" i="5" s="1"/>
  <c r="AZ22" i="5"/>
  <c r="J7" i="5" s="1"/>
  <c r="AB7" i="5" s="1"/>
  <c r="C454" i="5"/>
  <c r="AP13" i="5"/>
  <c r="BA22" i="5" s="1"/>
  <c r="C506" i="5"/>
  <c r="M8" i="5"/>
  <c r="C509" i="5" s="1"/>
  <c r="C510" i="5" s="1"/>
  <c r="M11" i="5"/>
  <c r="L165" i="5"/>
  <c r="K165" i="5"/>
  <c r="C332" i="5"/>
  <c r="E126" i="5"/>
  <c r="F126" i="5" s="1"/>
  <c r="C263" i="5"/>
  <c r="C293" i="5"/>
  <c r="K126" i="5"/>
  <c r="L126" i="5" s="1"/>
  <c r="AI82" i="5"/>
  <c r="BT78" i="5" s="1"/>
  <c r="D128" i="5"/>
  <c r="C254" i="5"/>
  <c r="C328" i="5"/>
  <c r="L161" i="5"/>
  <c r="K161" i="5"/>
  <c r="C291" i="5"/>
  <c r="K124" i="5"/>
  <c r="L124" i="5" s="1"/>
  <c r="C248" i="5"/>
  <c r="C247" i="5"/>
  <c r="C455" i="5"/>
  <c r="C456" i="5" s="1"/>
  <c r="AB8" i="5"/>
  <c r="D33" i="5"/>
  <c r="AP1" i="5" s="1"/>
  <c r="D27" i="5"/>
  <c r="D30" i="5"/>
  <c r="C372" i="5" s="1"/>
  <c r="C373" i="5" s="1"/>
  <c r="C307" i="5"/>
  <c r="C371" i="5"/>
  <c r="AE32" i="5"/>
  <c r="K137" i="5"/>
  <c r="L137" i="5" s="1"/>
  <c r="C305" i="5"/>
  <c r="BO34" i="5"/>
  <c r="BO30" i="5"/>
  <c r="BO36" i="5" s="1"/>
  <c r="K164" i="5"/>
  <c r="C331" i="5"/>
  <c r="L164" i="5"/>
  <c r="K138" i="5"/>
  <c r="L138" i="5" s="1"/>
  <c r="C306" i="5"/>
  <c r="AY22" i="5"/>
  <c r="C290" i="5"/>
  <c r="K123" i="5"/>
  <c r="L123" i="5" s="1"/>
  <c r="C302" i="5" l="1"/>
  <c r="C299" i="5"/>
  <c r="C301" i="5"/>
  <c r="C298" i="5"/>
  <c r="E137" i="5"/>
  <c r="F137" i="5" s="1"/>
  <c r="C345" i="5"/>
  <c r="AV22" i="5"/>
  <c r="D5" i="5" s="1"/>
  <c r="AV23" i="5"/>
  <c r="D6" i="5" s="1"/>
  <c r="AU22" i="5"/>
  <c r="AW29" i="5"/>
  <c r="AI124" i="5"/>
  <c r="AI118" i="5"/>
  <c r="AI123" i="5"/>
  <c r="AI114" i="5"/>
  <c r="BH23" i="5"/>
  <c r="AE5" i="5" s="1"/>
  <c r="AH122" i="5"/>
  <c r="AI117" i="5"/>
  <c r="AI127" i="5"/>
  <c r="AI121" i="5"/>
  <c r="AH119" i="5"/>
  <c r="AH121" i="5"/>
  <c r="AI113" i="5"/>
  <c r="AH113" i="5"/>
  <c r="AH120" i="5"/>
  <c r="C818" i="5"/>
  <c r="AH118" i="5"/>
  <c r="AE8" i="5"/>
  <c r="C821" i="5" s="1"/>
  <c r="C822" i="5" s="1"/>
  <c r="AH123" i="5"/>
  <c r="AI135" i="5"/>
  <c r="AI112" i="5"/>
  <c r="AH117" i="5"/>
  <c r="AH127" i="5"/>
  <c r="AH132" i="5"/>
  <c r="AI115" i="5"/>
  <c r="AH115" i="5"/>
  <c r="AI125" i="5"/>
  <c r="AI134" i="5"/>
  <c r="AH130" i="5"/>
  <c r="AI111" i="5"/>
  <c r="AH111" i="5"/>
  <c r="AI128" i="5"/>
  <c r="AH125" i="5"/>
  <c r="AH114" i="5"/>
  <c r="AI133" i="5"/>
  <c r="AH126" i="5"/>
  <c r="AH135" i="5"/>
  <c r="AI132" i="5"/>
  <c r="AE11" i="5"/>
  <c r="AH124" i="5"/>
  <c r="AH134" i="5"/>
  <c r="AI126" i="5"/>
  <c r="AI131" i="5"/>
  <c r="AI116" i="5"/>
  <c r="AI119" i="5"/>
  <c r="AI120" i="5"/>
  <c r="AI122" i="5"/>
  <c r="BG22" i="5"/>
  <c r="AI130" i="5"/>
  <c r="AH116" i="5"/>
  <c r="C820" i="5"/>
  <c r="AH112" i="5"/>
  <c r="AH133" i="5"/>
  <c r="AH128" i="5"/>
  <c r="AH129" i="5"/>
  <c r="AH131" i="5"/>
  <c r="BH22" i="5"/>
  <c r="AE7" i="5" s="1"/>
  <c r="AI129" i="5"/>
  <c r="O5" i="5"/>
  <c r="C561" i="5"/>
  <c r="AQ23" i="5"/>
  <c r="O6" i="5" s="1"/>
  <c r="L7" i="5"/>
  <c r="BA23" i="5"/>
  <c r="L5" i="5" s="1"/>
  <c r="C507" i="5"/>
  <c r="C264" i="5"/>
  <c r="E127" i="5"/>
  <c r="F127" i="5" s="1"/>
  <c r="AH147" i="5"/>
  <c r="AI147" i="5"/>
  <c r="AH149" i="5"/>
  <c r="AI149" i="5"/>
  <c r="AQ20" i="5"/>
  <c r="C562" i="5"/>
  <c r="AR22" i="5"/>
  <c r="P5" i="5" s="1"/>
  <c r="AR23" i="5"/>
  <c r="P6" i="5" s="1"/>
  <c r="J128" i="5"/>
  <c r="J133" i="5"/>
  <c r="L133" i="5" s="1"/>
  <c r="C790" i="5"/>
  <c r="C694" i="5"/>
  <c r="C696" i="5" s="1"/>
  <c r="C616" i="5"/>
  <c r="AS23" i="5"/>
  <c r="R5" i="5" s="1"/>
  <c r="R7" i="5"/>
  <c r="BE23" i="5"/>
  <c r="C691" i="5"/>
  <c r="C690" i="5"/>
  <c r="C695" i="5" s="1"/>
  <c r="C764" i="5"/>
  <c r="C688" i="5"/>
  <c r="C687" i="5"/>
  <c r="C294" i="5"/>
  <c r="K127" i="5"/>
  <c r="L127" i="5" s="1"/>
  <c r="AY23" i="5"/>
  <c r="I5" i="5" s="1"/>
  <c r="I7" i="5"/>
  <c r="AA7" i="5" s="1"/>
  <c r="AE27" i="5"/>
  <c r="AM127" i="5"/>
  <c r="AE33" i="5"/>
  <c r="AL130" i="5"/>
  <c r="AM125" i="5"/>
  <c r="AL118" i="5"/>
  <c r="AL131" i="5"/>
  <c r="AM113" i="5"/>
  <c r="AL127" i="5"/>
  <c r="AL129" i="5"/>
  <c r="AM131" i="5"/>
  <c r="AL134" i="5"/>
  <c r="AL124" i="5"/>
  <c r="AM122" i="5"/>
  <c r="AM121" i="5"/>
  <c r="AL128" i="5"/>
  <c r="AM129" i="5"/>
  <c r="AM119" i="5"/>
  <c r="AM118" i="5"/>
  <c r="AY29" i="5"/>
  <c r="AM114" i="5"/>
  <c r="AL119" i="5"/>
  <c r="AM111" i="5"/>
  <c r="AL122" i="5"/>
  <c r="AL133" i="5"/>
  <c r="AL114" i="5"/>
  <c r="AM117" i="5"/>
  <c r="AL125" i="5"/>
  <c r="AM124" i="5"/>
  <c r="AM134" i="5"/>
  <c r="AL121" i="5"/>
  <c r="AL135" i="5"/>
  <c r="AM115" i="5"/>
  <c r="AL113" i="5"/>
  <c r="AL115" i="5"/>
  <c r="AM123" i="5"/>
  <c r="AM133" i="5"/>
  <c r="AL132" i="5"/>
  <c r="AL116" i="5"/>
  <c r="AM130" i="5"/>
  <c r="AM132" i="5"/>
  <c r="AM126" i="5"/>
  <c r="AL126" i="5"/>
  <c r="AL112" i="5"/>
  <c r="AM116" i="5"/>
  <c r="C847" i="5"/>
  <c r="AM120" i="5"/>
  <c r="AM112" i="5"/>
  <c r="AL120" i="5"/>
  <c r="AM135" i="5"/>
  <c r="AL111" i="5"/>
  <c r="AM128" i="5"/>
  <c r="AL123" i="5"/>
  <c r="AL117" i="5"/>
  <c r="BB22" i="5"/>
  <c r="M7" i="5" s="1"/>
  <c r="BB23" i="5"/>
  <c r="M5" i="5" s="1"/>
  <c r="C508" i="5"/>
  <c r="C265" i="5"/>
  <c r="E128" i="5"/>
  <c r="F128" i="5" s="1"/>
  <c r="C617" i="5"/>
  <c r="AT23" i="5"/>
  <c r="S5" i="5" s="1"/>
  <c r="AT22" i="5"/>
  <c r="S7" i="5" s="1"/>
  <c r="AM147" i="5"/>
  <c r="AM148" i="5"/>
  <c r="AL148" i="5"/>
  <c r="AL150" i="5"/>
  <c r="AL147" i="5"/>
  <c r="AM150" i="5"/>
  <c r="AX31" i="5" l="1"/>
  <c r="AX40" i="5"/>
  <c r="AE18" i="5"/>
  <c r="AX38" i="5"/>
  <c r="AX41" i="5"/>
  <c r="AE22" i="5"/>
  <c r="AE21" i="5"/>
  <c r="AE19" i="5"/>
  <c r="AX34" i="5"/>
  <c r="AE17" i="5"/>
  <c r="AE23" i="5"/>
  <c r="AX39" i="5"/>
  <c r="AE16" i="5"/>
  <c r="AX35" i="5"/>
  <c r="AE24" i="5"/>
  <c r="AE14" i="5"/>
  <c r="AE15" i="5"/>
  <c r="AE13" i="5"/>
  <c r="AE20" i="5"/>
  <c r="AX33" i="5"/>
  <c r="AX36" i="5"/>
  <c r="AX30" i="5"/>
  <c r="AX32" i="5"/>
  <c r="AX37" i="5"/>
  <c r="AD7" i="5"/>
  <c r="BG23" i="5"/>
  <c r="AD5" i="5" s="1"/>
  <c r="C819" i="5"/>
  <c r="C5" i="5"/>
  <c r="C344" i="5"/>
  <c r="AU23" i="5"/>
  <c r="C6" i="5" s="1"/>
  <c r="C453" i="5"/>
  <c r="AA5" i="5"/>
  <c r="C277" i="5"/>
  <c r="C278" i="5"/>
  <c r="C282" i="5"/>
  <c r="C281" i="5"/>
  <c r="C287" i="5"/>
  <c r="C283" i="5"/>
  <c r="AE41" i="5"/>
  <c r="AE44" i="5"/>
  <c r="AE45" i="5"/>
  <c r="AE37" i="5"/>
  <c r="AE46" i="5"/>
  <c r="AE43" i="5"/>
  <c r="AE40" i="5"/>
  <c r="AE36" i="5"/>
  <c r="AE35" i="5"/>
  <c r="AE38" i="5"/>
  <c r="AE42" i="5"/>
  <c r="AE39" i="5"/>
  <c r="C284" i="5"/>
  <c r="K128" i="5"/>
  <c r="L128" i="5" s="1"/>
  <c r="C295" i="5"/>
  <c r="AH105" i="5" l="1"/>
  <c r="C841" i="5"/>
  <c r="AI105" i="5"/>
  <c r="AF19" i="5"/>
  <c r="AH108" i="5"/>
  <c r="C844" i="5"/>
  <c r="AF22" i="5"/>
  <c r="AI108" i="5"/>
  <c r="AF14" i="5"/>
  <c r="C836" i="5"/>
  <c r="AI100" i="5"/>
  <c r="BT83" i="5" s="1"/>
  <c r="AH100" i="5"/>
  <c r="BS83" i="5" s="1"/>
  <c r="AI106" i="5"/>
  <c r="AF20" i="5"/>
  <c r="AH106" i="5"/>
  <c r="C842" i="5"/>
  <c r="C845" i="5"/>
  <c r="AI109" i="5"/>
  <c r="AH109" i="5"/>
  <c r="AF23" i="5"/>
  <c r="AF18" i="5"/>
  <c r="AI104" i="5"/>
  <c r="BT87" i="5" s="1"/>
  <c r="C840" i="5"/>
  <c r="AH104" i="5"/>
  <c r="BS87" i="5" s="1"/>
  <c r="AF21" i="5"/>
  <c r="AI107" i="5"/>
  <c r="AH107" i="5"/>
  <c r="C843" i="5"/>
  <c r="C835" i="5"/>
  <c r="AH99" i="5"/>
  <c r="BS82" i="5" s="1"/>
  <c r="AF13" i="5"/>
  <c r="AI99" i="5"/>
  <c r="BT82" i="5" s="1"/>
  <c r="C839" i="5"/>
  <c r="AH103" i="5"/>
  <c r="BS86" i="5" s="1"/>
  <c r="AI103" i="5"/>
  <c r="BT86" i="5" s="1"/>
  <c r="AF17" i="5"/>
  <c r="AH110" i="5"/>
  <c r="C846" i="5"/>
  <c r="AI110" i="5"/>
  <c r="AF24" i="5"/>
  <c r="AI102" i="5"/>
  <c r="BT85" i="5" s="1"/>
  <c r="C838" i="5"/>
  <c r="AH102" i="5"/>
  <c r="BS85" i="5" s="1"/>
  <c r="AF16" i="5"/>
  <c r="AH101" i="5"/>
  <c r="BS84" i="5" s="1"/>
  <c r="AI101" i="5"/>
  <c r="BT84" i="5" s="1"/>
  <c r="AF15" i="5"/>
  <c r="C837" i="5"/>
  <c r="C870" i="5"/>
  <c r="AL107" i="5"/>
  <c r="AF43" i="5"/>
  <c r="AM107" i="5"/>
  <c r="AL103" i="5"/>
  <c r="BV86" i="5" s="1"/>
  <c r="C866" i="5"/>
  <c r="AF39" i="5"/>
  <c r="AM103" i="5"/>
  <c r="BW86" i="5" s="1"/>
  <c r="AF45" i="5"/>
  <c r="AL109" i="5"/>
  <c r="C872" i="5"/>
  <c r="AM109" i="5"/>
  <c r="AM110" i="5"/>
  <c r="C873" i="5"/>
  <c r="AL110" i="5"/>
  <c r="AF46" i="5"/>
  <c r="AM102" i="5"/>
  <c r="BW85" i="5" s="1"/>
  <c r="C865" i="5"/>
  <c r="AL102" i="5"/>
  <c r="BV85" i="5" s="1"/>
  <c r="AF38" i="5"/>
  <c r="AL108" i="5"/>
  <c r="C871" i="5"/>
  <c r="AM108" i="5"/>
  <c r="AF44" i="5"/>
  <c r="C864" i="5"/>
  <c r="AF37" i="5"/>
  <c r="AM101" i="5"/>
  <c r="BW84" i="5" s="1"/>
  <c r="AL101" i="5"/>
  <c r="BV84" i="5" s="1"/>
  <c r="AM106" i="5"/>
  <c r="C869" i="5"/>
  <c r="AF42" i="5"/>
  <c r="AL106" i="5"/>
  <c r="C862" i="5"/>
  <c r="AL99" i="5"/>
  <c r="BV82" i="5" s="1"/>
  <c r="AM99" i="5"/>
  <c r="BW82" i="5" s="1"/>
  <c r="AF35" i="5"/>
  <c r="AE30" i="5"/>
  <c r="C848" i="5" s="1"/>
  <c r="C849" i="5" s="1"/>
  <c r="AL105" i="5"/>
  <c r="BV87" i="5" s="1"/>
  <c r="C868" i="5"/>
  <c r="AM105" i="5"/>
  <c r="BW87" i="5" s="1"/>
  <c r="AF41" i="5"/>
  <c r="AL100" i="5"/>
  <c r="BV83" i="5" s="1"/>
  <c r="AM100" i="5"/>
  <c r="BW83" i="5" s="1"/>
  <c r="AF36" i="5"/>
  <c r="C863" i="5"/>
  <c r="AQ31" i="5"/>
  <c r="AQ36" i="5" s="1"/>
  <c r="C816" i="5" s="1"/>
  <c r="AM104" i="5"/>
  <c r="C867" i="5"/>
  <c r="AL104" i="5"/>
  <c r="AF40" i="5"/>
  <c r="AR55" i="5" l="1"/>
  <c r="AQ32" i="5"/>
  <c r="AR56" i="5"/>
  <c r="AQ33" i="5"/>
  <c r="AQ34" i="5" l="1"/>
</calcChain>
</file>

<file path=xl/comments1.xml><?xml version="1.0" encoding="utf-8"?>
<comments xmlns="http://schemas.openxmlformats.org/spreadsheetml/2006/main">
  <authors>
    <author>User</author>
    <author>Simcox_O</author>
  </authors>
  <commentList>
    <comment ref="J1" authorId="0" shapeId="0">
      <text>
        <r>
          <rPr>
            <b/>
            <sz val="8"/>
            <color indexed="81"/>
            <rFont val="Tahoma"/>
            <family val="2"/>
          </rPr>
          <t>Only used to overlay 'Max Load' circle on Zone Characteristic diagrams.
It has no implications for testing.</t>
        </r>
        <r>
          <rPr>
            <sz val="8"/>
            <color indexed="81"/>
            <rFont val="Tahoma"/>
            <family val="2"/>
          </rPr>
          <t xml:space="preserve">
</t>
        </r>
      </text>
    </comment>
    <comment ref="W1" authorId="0" shapeId="0">
      <text>
        <r>
          <rPr>
            <b/>
            <sz val="8"/>
            <color indexed="81"/>
            <rFont val="Tahoma"/>
            <family val="2"/>
          </rPr>
          <t>30/09/10: Pre release V1.2
02/10/10: DCEF Plots added
20/07/11: Timing test Current Limits changed for 1st test to cope with very short ZR1/long ZR2 combination, 
               AR Deadtime logic changed. Cell formatting changes.</t>
        </r>
      </text>
    </comment>
    <comment ref="Q2" authorId="0" shapeId="0">
      <text>
        <r>
          <rPr>
            <b/>
            <sz val="8"/>
            <color indexed="81"/>
            <rFont val="Tahoma"/>
            <family val="2"/>
          </rPr>
          <t>Relay Connection information only. 
It has no bearing on relay modelling</t>
        </r>
      </text>
    </comment>
    <comment ref="AC5" authorId="0" shapeId="0">
      <text>
        <r>
          <rPr>
            <b/>
            <sz val="8"/>
            <color indexed="81"/>
            <rFont val="Tahoma"/>
            <family val="2"/>
          </rPr>
          <t>Scaler for nominal current:</t>
        </r>
        <r>
          <rPr>
            <sz val="8"/>
            <color indexed="81"/>
            <rFont val="Tahoma"/>
            <family val="2"/>
          </rPr>
          <t xml:space="preserve">
In 7SA61x, all settings are directly in Ohms, Amps etc. rather than multiples of In.
 Hence always equal to '1' </t>
        </r>
      </text>
    </comment>
    <comment ref="G9" authorId="0" shapeId="0">
      <text>
        <r>
          <rPr>
            <b/>
            <sz val="8"/>
            <color indexed="81"/>
            <rFont val="Tahoma"/>
            <family val="2"/>
          </rPr>
          <t>Phase Reactive Reach, Zone 1 (Fwd)</t>
        </r>
      </text>
    </comment>
    <comment ref="J9" authorId="0" shapeId="0">
      <text>
        <r>
          <rPr>
            <b/>
            <sz val="8"/>
            <color indexed="81"/>
            <rFont val="Tahoma"/>
            <family val="2"/>
          </rPr>
          <t xml:space="preserve">Ph-Ph Dir. Blinder
</t>
        </r>
        <r>
          <rPr>
            <sz val="8"/>
            <color indexed="81"/>
            <rFont val="Tahoma"/>
            <family val="2"/>
          </rPr>
          <t>Default: 30</t>
        </r>
      </text>
    </comment>
    <comment ref="M9" authorId="0" shapeId="0">
      <text>
        <r>
          <rPr>
            <b/>
            <sz val="8"/>
            <color indexed="81"/>
            <rFont val="Tahoma"/>
            <family val="2"/>
          </rPr>
          <t>Zone 3 Timers, (Fwd)</t>
        </r>
      </text>
    </comment>
    <comment ref="P9" authorId="0" shapeId="0">
      <text>
        <r>
          <rPr>
            <b/>
            <sz val="8"/>
            <color indexed="81"/>
            <rFont val="Tahoma"/>
            <family val="2"/>
          </rPr>
          <t>E/F Reactive Reach, Zone 3 (Fwd)</t>
        </r>
        <r>
          <rPr>
            <sz val="8"/>
            <color indexed="81"/>
            <rFont val="Tahoma"/>
            <family val="2"/>
          </rPr>
          <t xml:space="preserve">
</t>
        </r>
      </text>
    </comment>
    <comment ref="AB9" authorId="0" shapeId="0">
      <text>
        <r>
          <rPr>
            <b/>
            <sz val="8"/>
            <color indexed="81"/>
            <rFont val="Tahoma"/>
            <family val="2"/>
          </rPr>
          <t>Fixed for Toward the Busbar</t>
        </r>
        <r>
          <rPr>
            <sz val="8"/>
            <color indexed="81"/>
            <rFont val="Tahoma"/>
            <family val="2"/>
          </rPr>
          <t xml:space="preserve">
</t>
        </r>
      </text>
    </comment>
    <comment ref="B10" authorId="0" shapeId="0">
      <text>
        <r>
          <rPr>
            <b/>
            <sz val="8"/>
            <color indexed="81"/>
            <rFont val="Tahoma"/>
            <family val="2"/>
          </rPr>
          <t>Forward Resistive Blinder.
If set to 'COM(1)', BFRS is common resistive reach is all Fwd Zones.
If set to 'IND(2)', BFRS is the resistive blinder for Zone 3.
 BFR1S, BFR2s etc are the resitive blinders for their respective Zones.</t>
        </r>
        <r>
          <rPr>
            <sz val="8"/>
            <color indexed="81"/>
            <rFont val="Tahoma"/>
            <family val="2"/>
          </rPr>
          <t xml:space="preserve">
</t>
        </r>
      </text>
    </comment>
    <comment ref="D10" authorId="0" shapeId="0">
      <text>
        <r>
          <rPr>
            <b/>
            <sz val="8"/>
            <color indexed="81"/>
            <rFont val="Tahoma"/>
            <family val="2"/>
          </rPr>
          <t xml:space="preserve">Phase Emergency Overcurrent
</t>
        </r>
      </text>
    </comment>
    <comment ref="G10" authorId="0" shapeId="0">
      <text>
        <r>
          <rPr>
            <b/>
            <sz val="8"/>
            <color indexed="81"/>
            <rFont val="Tahoma"/>
            <family val="2"/>
          </rPr>
          <t>Load Compensation Angle, Droop of characteristic
(Zone 1, Z1X  Phase Characteristic)</t>
        </r>
        <r>
          <rPr>
            <sz val="8"/>
            <color indexed="81"/>
            <rFont val="Tahoma"/>
            <family val="2"/>
          </rPr>
          <t xml:space="preserve">
</t>
        </r>
      </text>
    </comment>
    <comment ref="J10" authorId="0" shapeId="0">
      <text>
        <r>
          <rPr>
            <b/>
            <sz val="8"/>
            <color indexed="81"/>
            <rFont val="Tahoma"/>
            <family val="2"/>
          </rPr>
          <t xml:space="preserve">Phase Resistive Reach, Zone 3 (Fwd), if 'BLZONE' is set to 'IND(2)'
Phase Resistive Reach for all Fwd Zones, if 'BLZONE' is set to 'COM(1)'
</t>
        </r>
      </text>
    </comment>
    <comment ref="M10" authorId="0" shapeId="0">
      <text>
        <r>
          <rPr>
            <b/>
            <sz val="8"/>
            <color indexed="81"/>
            <rFont val="Tahoma"/>
            <family val="2"/>
          </rPr>
          <t>Zone R1 Timers, (Rev)</t>
        </r>
        <r>
          <rPr>
            <sz val="8"/>
            <color indexed="81"/>
            <rFont val="Tahoma"/>
            <family val="2"/>
          </rPr>
          <t xml:space="preserve">
</t>
        </r>
      </text>
    </comment>
    <comment ref="P10" authorId="0" shapeId="0">
      <text>
        <r>
          <rPr>
            <b/>
            <sz val="8"/>
            <color indexed="81"/>
            <rFont val="Tahoma"/>
            <family val="2"/>
          </rPr>
          <t xml:space="preserve">E/F Dir. Blinder
</t>
        </r>
        <r>
          <rPr>
            <sz val="8"/>
            <color indexed="81"/>
            <rFont val="Tahoma"/>
            <family val="2"/>
          </rPr>
          <t>Default: 30</t>
        </r>
        <r>
          <rPr>
            <sz val="8"/>
            <color indexed="81"/>
            <rFont val="Tahoma"/>
            <family val="2"/>
          </rPr>
          <t xml:space="preserve">
</t>
        </r>
      </text>
    </comment>
    <comment ref="B11" authorId="0" shapeId="0">
      <text>
        <r>
          <rPr>
            <b/>
            <sz val="8"/>
            <color indexed="81"/>
            <rFont val="Tahoma"/>
            <family val="2"/>
          </rPr>
          <t xml:space="preserve">If set to '1',
</t>
        </r>
        <r>
          <rPr>
            <sz val="8"/>
            <color indexed="81"/>
            <rFont val="Tahoma"/>
            <family val="2"/>
          </rPr>
          <t xml:space="preserve"> TZ1S/TZ1G time delays are bypassed  - i.e. all Z1 tripping is instantaneous.
3-pole Definitive Trip for all Z1 faults for Carrier Fail
</t>
        </r>
        <r>
          <rPr>
            <b/>
            <sz val="8"/>
            <color indexed="81"/>
            <rFont val="Tahoma"/>
            <family val="2"/>
          </rPr>
          <t xml:space="preserve">
If set to '2', 
</t>
        </r>
        <r>
          <rPr>
            <sz val="8"/>
            <color indexed="81"/>
            <rFont val="Tahoma"/>
            <family val="2"/>
          </rPr>
          <t xml:space="preserve">All tripping is 3-phase. TZ1S/TZ1G are bypassed for 'Carrier Fail'.
There is no reclosing .
Note: Carrier Fail  occuring </t>
        </r>
        <r>
          <rPr>
            <u/>
            <sz val="8"/>
            <color indexed="81"/>
            <rFont val="Tahoma"/>
            <family val="2"/>
          </rPr>
          <t>co-incident</t>
        </r>
        <r>
          <rPr>
            <sz val="8"/>
            <color indexed="81"/>
            <rFont val="Tahoma"/>
            <family val="2"/>
          </rPr>
          <t xml:space="preserve"> with the Fault are ignored</t>
        </r>
      </text>
    </comment>
    <comment ref="D11" authorId="0" shapeId="0">
      <text>
        <r>
          <rPr>
            <b/>
            <sz val="8"/>
            <color indexed="81"/>
            <rFont val="Tahoma"/>
            <family val="2"/>
          </rPr>
          <t>E/F Emergency Overcurrent
Control to be implemented</t>
        </r>
        <r>
          <rPr>
            <sz val="8"/>
            <color indexed="81"/>
            <rFont val="Tahoma"/>
            <family val="2"/>
          </rPr>
          <t xml:space="preserve">
</t>
        </r>
      </text>
    </comment>
    <comment ref="G11" authorId="0" shapeId="0">
      <text>
        <r>
          <rPr>
            <b/>
            <sz val="8"/>
            <color indexed="81"/>
            <rFont val="Tahoma"/>
            <family val="2"/>
          </rPr>
          <t>Load Compensation Angle, Droop of characteristic
(Zone 1, Z1X  Phase Characteristic)</t>
        </r>
        <r>
          <rPr>
            <sz val="8"/>
            <color indexed="81"/>
            <rFont val="Tahoma"/>
            <family val="2"/>
          </rPr>
          <t xml:space="preserve">
</t>
        </r>
      </text>
    </comment>
    <comment ref="J11" authorId="0" shapeId="0">
      <text>
        <r>
          <rPr>
            <b/>
            <sz val="8"/>
            <color indexed="81"/>
            <rFont val="Tahoma"/>
            <family val="2"/>
          </rPr>
          <t>Ph-Ph Dir. Blinder</t>
        </r>
        <r>
          <rPr>
            <sz val="8"/>
            <color indexed="81"/>
            <rFont val="Tahoma"/>
            <family val="2"/>
          </rPr>
          <t xml:space="preserve">
Default: 120</t>
        </r>
      </text>
    </comment>
    <comment ref="M11" authorId="0" shapeId="0">
      <text>
        <r>
          <rPr>
            <b/>
            <sz val="8"/>
            <color indexed="81"/>
            <rFont val="Tahoma"/>
            <family val="2"/>
          </rPr>
          <t>Zone R2 Timers, (Rev)</t>
        </r>
        <r>
          <rPr>
            <sz val="8"/>
            <color indexed="81"/>
            <rFont val="Tahoma"/>
            <family val="2"/>
          </rPr>
          <t xml:space="preserve">
</t>
        </r>
      </text>
    </comment>
    <comment ref="P11" authorId="0" shapeId="0">
      <text>
        <r>
          <rPr>
            <b/>
            <sz val="8"/>
            <color indexed="81"/>
            <rFont val="Tahoma"/>
            <family val="2"/>
          </rPr>
          <t>E/F Resistive Reach, Zone 3 (Fwd), if 'BLZONE' is set to 'IND(2)'
E/F Resistive Reach for all Fwd Zones, if 'BLZONE' is set to 'COM(1)'</t>
        </r>
        <r>
          <rPr>
            <sz val="8"/>
            <color indexed="81"/>
            <rFont val="Tahoma"/>
            <family val="2"/>
          </rPr>
          <t xml:space="preserve">
</t>
        </r>
      </text>
    </comment>
    <comment ref="AB11" authorId="0" shapeId="0">
      <text>
        <r>
          <rPr>
            <b/>
            <sz val="8"/>
            <color indexed="81"/>
            <rFont val="Tahoma"/>
            <family val="2"/>
          </rPr>
          <t>Toshiba stated 0.08A but test found a min op value of 0.118A</t>
        </r>
      </text>
    </comment>
    <comment ref="D12" authorId="0" shapeId="0">
      <text>
        <r>
          <rPr>
            <b/>
            <sz val="8"/>
            <color indexed="81"/>
            <rFont val="Tahoma"/>
            <family val="2"/>
          </rPr>
          <t>User:</t>
        </r>
        <r>
          <rPr>
            <sz val="8"/>
            <color indexed="81"/>
            <rFont val="Tahoma"/>
            <family val="2"/>
          </rPr>
          <t xml:space="preserve">
For development</t>
        </r>
      </text>
    </comment>
    <comment ref="G12" authorId="0" shapeId="0">
      <text>
        <r>
          <rPr>
            <b/>
            <sz val="8"/>
            <color indexed="81"/>
            <rFont val="Tahoma"/>
            <family val="2"/>
          </rPr>
          <t>Phase Reactive Reach, Zone 1Ext (Fwd)</t>
        </r>
        <r>
          <rPr>
            <sz val="8"/>
            <color indexed="81"/>
            <rFont val="Tahoma"/>
            <family val="2"/>
          </rPr>
          <t xml:space="preserve">
</t>
        </r>
      </text>
    </comment>
    <comment ref="J12" authorId="0" shapeId="0">
      <text>
        <r>
          <rPr>
            <b/>
            <sz val="8"/>
            <color indexed="81"/>
            <rFont val="Tahoma"/>
            <family val="2"/>
          </rPr>
          <t>Phase Reactive Reach, Zone R1 (Rev)</t>
        </r>
        <r>
          <rPr>
            <sz val="8"/>
            <color indexed="81"/>
            <rFont val="Tahoma"/>
            <family val="2"/>
          </rPr>
          <t xml:space="preserve">
</t>
        </r>
      </text>
    </comment>
    <comment ref="M12" authorId="0" shapeId="0">
      <text>
        <r>
          <rPr>
            <b/>
            <sz val="8"/>
            <color indexed="81"/>
            <rFont val="Tahoma"/>
            <family val="2"/>
          </rPr>
          <t>Zone ND, Timers</t>
        </r>
      </text>
    </comment>
    <comment ref="P12" authorId="0" shapeId="0">
      <text>
        <r>
          <rPr>
            <b/>
            <sz val="8"/>
            <color indexed="81"/>
            <rFont val="Tahoma"/>
            <family val="2"/>
          </rPr>
          <t>E/F Dir. Blinder</t>
        </r>
        <r>
          <rPr>
            <sz val="8"/>
            <color indexed="81"/>
            <rFont val="Tahoma"/>
            <family val="2"/>
          </rPr>
          <t xml:space="preserve">
Default: 120</t>
        </r>
      </text>
    </comment>
    <comment ref="D13" authorId="0" shapeId="0">
      <text>
        <r>
          <rPr>
            <b/>
            <sz val="8"/>
            <color indexed="81"/>
            <rFont val="Tahoma"/>
            <family val="2"/>
          </rPr>
          <t>User:</t>
        </r>
        <r>
          <rPr>
            <sz val="8"/>
            <color indexed="81"/>
            <rFont val="Tahoma"/>
            <family val="2"/>
          </rPr>
          <t xml:space="preserve">
For Development
</t>
        </r>
      </text>
    </comment>
    <comment ref="G13" authorId="0" shapeId="0">
      <text>
        <r>
          <rPr>
            <b/>
            <sz val="8"/>
            <color indexed="81"/>
            <rFont val="Tahoma"/>
            <family val="2"/>
          </rPr>
          <t>If 'BLZONE' is set to 'IND(2)':
Phase Resistive Reach, Zone 1 (Fwd)</t>
        </r>
      </text>
    </comment>
    <comment ref="J13" authorId="0" shapeId="0">
      <text>
        <r>
          <rPr>
            <b/>
            <sz val="8"/>
            <color indexed="81"/>
            <rFont val="Tahoma"/>
            <family val="2"/>
          </rPr>
          <t>Phase Reactive Reach, Zone R2 (Rev)</t>
        </r>
        <r>
          <rPr>
            <sz val="8"/>
            <color indexed="81"/>
            <rFont val="Tahoma"/>
            <family val="2"/>
          </rPr>
          <t xml:space="preserve">
</t>
        </r>
      </text>
    </comment>
    <comment ref="M13" authorId="0" shapeId="0">
      <text>
        <r>
          <rPr>
            <b/>
            <sz val="8"/>
            <color indexed="81"/>
            <rFont val="Tahoma"/>
            <family val="2"/>
          </rPr>
          <t>E/F Reactive Reach, Zone 1 (Fwd)</t>
        </r>
        <r>
          <rPr>
            <sz val="8"/>
            <color indexed="81"/>
            <rFont val="Tahoma"/>
            <family val="2"/>
          </rPr>
          <t xml:space="preserve">
</t>
        </r>
      </text>
    </comment>
    <comment ref="P13" authorId="0" shapeId="0">
      <text>
        <r>
          <rPr>
            <b/>
            <sz val="8"/>
            <color indexed="81"/>
            <rFont val="Tahoma"/>
            <family val="2"/>
          </rPr>
          <t>E/F Reactive Reach, Zone R1 (Rev)</t>
        </r>
        <r>
          <rPr>
            <sz val="8"/>
            <color indexed="81"/>
            <rFont val="Tahoma"/>
            <family val="2"/>
          </rPr>
          <t xml:space="preserve">
</t>
        </r>
      </text>
    </comment>
    <comment ref="D14" authorId="0" shapeId="0">
      <text>
        <r>
          <rPr>
            <b/>
            <sz val="8"/>
            <color indexed="81"/>
            <rFont val="Tahoma"/>
            <family val="2"/>
          </rPr>
          <t>Broken Conductor Tripping.
Fixed 'Off'</t>
        </r>
      </text>
    </comment>
    <comment ref="G14" authorId="0" shapeId="0">
      <text>
        <r>
          <rPr>
            <b/>
            <sz val="8"/>
            <color indexed="81"/>
            <rFont val="Tahoma"/>
            <family val="2"/>
          </rPr>
          <t>If 'BLZONE' is set to 'IND(2)':
Phase Reactive Reach, Zone 1Ext (Fwd)</t>
        </r>
        <r>
          <rPr>
            <sz val="8"/>
            <color indexed="81"/>
            <rFont val="Tahoma"/>
            <family val="2"/>
          </rPr>
          <t xml:space="preserve">
</t>
        </r>
      </text>
    </comment>
    <comment ref="J14" authorId="0" shapeId="0">
      <text>
        <r>
          <rPr>
            <b/>
            <sz val="8"/>
            <color indexed="81"/>
            <rFont val="Tahoma"/>
            <family val="2"/>
          </rPr>
          <t>Phase Reactive Reach, Zone 4</t>
        </r>
        <r>
          <rPr>
            <sz val="8"/>
            <color indexed="81"/>
            <rFont val="Tahoma"/>
            <family val="2"/>
          </rPr>
          <t xml:space="preserve">
Blocking of 'Echo' circuit (POTT schemes)</t>
        </r>
      </text>
    </comment>
    <comment ref="M14" authorId="0" shapeId="0">
      <text>
        <r>
          <rPr>
            <b/>
            <sz val="8"/>
            <color indexed="81"/>
            <rFont val="Tahoma"/>
            <family val="2"/>
          </rPr>
          <t>E/F Reactive Reach, Zone 1 Ext (Fwd)</t>
        </r>
        <r>
          <rPr>
            <sz val="8"/>
            <color indexed="81"/>
            <rFont val="Tahoma"/>
            <family val="2"/>
          </rPr>
          <t xml:space="preserve">
</t>
        </r>
      </text>
    </comment>
    <comment ref="P14" authorId="0" shapeId="0">
      <text>
        <r>
          <rPr>
            <b/>
            <sz val="8"/>
            <color indexed="81"/>
            <rFont val="Tahoma"/>
            <family val="2"/>
          </rPr>
          <t>E/F Reactive Reach, Zone R2 (Rev)</t>
        </r>
        <r>
          <rPr>
            <sz val="8"/>
            <color indexed="81"/>
            <rFont val="Tahoma"/>
            <family val="2"/>
          </rPr>
          <t xml:space="preserve">
</t>
        </r>
      </text>
    </comment>
    <comment ref="V14" authorId="0" shapeId="0">
      <text>
        <r>
          <rPr>
            <b/>
            <sz val="8"/>
            <color indexed="81"/>
            <rFont val="Tahoma"/>
            <family val="2"/>
          </rPr>
          <t xml:space="preserve">Weak Infeed Trip supervision, 3 Phase trip
</t>
        </r>
        <r>
          <rPr>
            <sz val="8"/>
            <color indexed="81"/>
            <rFont val="Tahoma"/>
            <family val="2"/>
          </rPr>
          <t xml:space="preserve">
</t>
        </r>
      </text>
    </comment>
    <comment ref="D15" authorId="0" shapeId="0">
      <text>
        <r>
          <rPr>
            <b/>
            <sz val="8"/>
            <color indexed="81"/>
            <rFont val="Tahoma"/>
            <family val="2"/>
          </rPr>
          <t>POTT Zone for Tx/Rx
PUTT Zone for Rx</t>
        </r>
      </text>
    </comment>
    <comment ref="G15" authorId="0" shapeId="0">
      <text>
        <r>
          <rPr>
            <b/>
            <sz val="8"/>
            <color indexed="81"/>
            <rFont val="Tahoma"/>
            <family val="2"/>
          </rPr>
          <t xml:space="preserve">Phase Reactive Reach, Zone 2 (Fwd)
</t>
        </r>
        <r>
          <rPr>
            <sz val="8"/>
            <color indexed="81"/>
            <rFont val="Tahoma"/>
            <family val="2"/>
          </rPr>
          <t xml:space="preserve">
</t>
        </r>
      </text>
    </comment>
    <comment ref="J15" authorId="0" shapeId="0">
      <text>
        <r>
          <rPr>
            <b/>
            <sz val="8"/>
            <color indexed="81"/>
            <rFont val="Tahoma"/>
            <family val="2"/>
          </rPr>
          <t>Phase Resistive Reach, Reverse Zones (ZR1, ZR2 and Z4)</t>
        </r>
        <r>
          <rPr>
            <sz val="8"/>
            <color indexed="81"/>
            <rFont val="Tahoma"/>
            <family val="2"/>
          </rPr>
          <t xml:space="preserve">
</t>
        </r>
      </text>
    </comment>
    <comment ref="M15" authorId="0" shapeId="0">
      <text>
        <r>
          <rPr>
            <b/>
            <sz val="8"/>
            <color indexed="81"/>
            <rFont val="Tahoma"/>
            <family val="2"/>
          </rPr>
          <t>Load Compensation Angle,
 Zone 1 E/F Characteristicc)</t>
        </r>
        <r>
          <rPr>
            <sz val="8"/>
            <color indexed="81"/>
            <rFont val="Tahoma"/>
            <family val="2"/>
          </rPr>
          <t xml:space="preserve">
</t>
        </r>
      </text>
    </comment>
    <comment ref="P15" authorId="0" shapeId="0">
      <text>
        <r>
          <rPr>
            <b/>
            <sz val="8"/>
            <color indexed="81"/>
            <rFont val="Tahoma"/>
            <family val="2"/>
          </rPr>
          <t>E/F Reactive Reach, Zone 4
Blocking of 'Echo' circuit (POTT schemes)</t>
        </r>
        <r>
          <rPr>
            <sz val="8"/>
            <color indexed="81"/>
            <rFont val="Tahoma"/>
            <family val="2"/>
          </rPr>
          <t xml:space="preserve">
</t>
        </r>
      </text>
    </comment>
    <comment ref="G16" authorId="0" shapeId="0">
      <text>
        <r>
          <rPr>
            <b/>
            <sz val="8"/>
            <color indexed="81"/>
            <rFont val="Tahoma"/>
            <family val="2"/>
          </rPr>
          <t>If 'BLZONE' is set to 'IND(2)':
Phase Resistive Reach, Zone 2 (Fwd)</t>
        </r>
      </text>
    </comment>
    <comment ref="J16" authorId="0" shapeId="0">
      <text>
        <r>
          <rPr>
            <b/>
            <sz val="8"/>
            <color indexed="81"/>
            <rFont val="Tahoma"/>
            <family val="2"/>
          </rPr>
          <t>Zone ND, Phase Reactive Reach</t>
        </r>
      </text>
    </comment>
    <comment ref="M16" authorId="0" shapeId="0">
      <text>
        <r>
          <rPr>
            <b/>
            <sz val="8"/>
            <color indexed="81"/>
            <rFont val="Tahoma"/>
            <family val="2"/>
          </rPr>
          <t>Load Compensation Angle,
 Zone 1 E/F Characteristicc)</t>
        </r>
        <r>
          <rPr>
            <sz val="8"/>
            <color indexed="81"/>
            <rFont val="Tahoma"/>
            <family val="2"/>
          </rPr>
          <t xml:space="preserve">
</t>
        </r>
      </text>
    </comment>
    <comment ref="P16" authorId="0" shapeId="0">
      <text>
        <r>
          <rPr>
            <b/>
            <sz val="8"/>
            <color indexed="81"/>
            <rFont val="Tahoma"/>
            <family val="2"/>
          </rPr>
          <t>E/F  Resistive Reach, Reverse Zones (ZR1, ZR2 and Z4)</t>
        </r>
        <r>
          <rPr>
            <sz val="8"/>
            <color indexed="81"/>
            <rFont val="Tahoma"/>
            <family val="2"/>
          </rPr>
          <t xml:space="preserve">
</t>
        </r>
      </text>
    </comment>
    <comment ref="V16" authorId="0" shapeId="0">
      <text>
        <r>
          <rPr>
            <b/>
            <sz val="8"/>
            <color indexed="81"/>
            <rFont val="Tahoma"/>
            <family val="2"/>
          </rPr>
          <t>Weak Infeed Trip supervision, 1/3 Phase trip as appropriate</t>
        </r>
        <r>
          <rPr>
            <sz val="8"/>
            <color indexed="81"/>
            <rFont val="Tahoma"/>
            <family val="2"/>
          </rPr>
          <t xml:space="preserve">
</t>
        </r>
      </text>
    </comment>
    <comment ref="G17" authorId="0" shapeId="0">
      <text>
        <r>
          <rPr>
            <b/>
            <sz val="8"/>
            <color indexed="81"/>
            <rFont val="Tahoma"/>
            <family val="2"/>
          </rPr>
          <t>Phase Reactive Reach, Zone 3 (Fwd)</t>
        </r>
        <r>
          <rPr>
            <sz val="8"/>
            <color indexed="81"/>
            <rFont val="Tahoma"/>
            <family val="2"/>
          </rPr>
          <t xml:space="preserve">
</t>
        </r>
      </text>
    </comment>
    <comment ref="J17" authorId="0" shapeId="0">
      <text>
        <r>
          <rPr>
            <b/>
            <sz val="8"/>
            <color indexed="81"/>
            <rFont val="Tahoma"/>
            <family val="2"/>
          </rPr>
          <t>Zone ND, Phase Resistive Reach</t>
        </r>
        <r>
          <rPr>
            <sz val="8"/>
            <color indexed="81"/>
            <rFont val="Tahoma"/>
            <family val="2"/>
          </rPr>
          <t xml:space="preserve">
</t>
        </r>
      </text>
    </comment>
    <comment ref="M17" authorId="0" shapeId="0">
      <text>
        <r>
          <rPr>
            <b/>
            <sz val="8"/>
            <color indexed="81"/>
            <rFont val="Tahoma"/>
            <family val="2"/>
          </rPr>
          <t>If 'BLZONE' is set to 'IND(2)':
E/F Resistive Reach, Zone 1 (Fwd)</t>
        </r>
        <r>
          <rPr>
            <sz val="8"/>
            <color indexed="81"/>
            <rFont val="Tahoma"/>
            <family val="2"/>
          </rPr>
          <t xml:space="preserve">
</t>
        </r>
      </text>
    </comment>
    <comment ref="P17" authorId="0" shapeId="0">
      <text>
        <r>
          <rPr>
            <b/>
            <sz val="8"/>
            <color indexed="81"/>
            <rFont val="Tahoma"/>
            <family val="2"/>
          </rPr>
          <t>Resistive Zero-Sequence Compensation</t>
        </r>
        <r>
          <rPr>
            <sz val="8"/>
            <color indexed="81"/>
            <rFont val="Tahoma"/>
            <family val="2"/>
          </rPr>
          <t xml:space="preserve">
Applies to Z1, Z1X load compensation only</t>
        </r>
      </text>
    </comment>
    <comment ref="B18" authorId="0" shapeId="0">
      <text>
        <r>
          <rPr>
            <b/>
            <sz val="8"/>
            <color indexed="81"/>
            <rFont val="Tahoma"/>
            <family val="2"/>
          </rPr>
          <t>Switch 1st Reverse Zone On/Off</t>
        </r>
      </text>
    </comment>
    <comment ref="D18" authorId="0" shapeId="0">
      <text>
        <r>
          <rPr>
            <b/>
            <sz val="8"/>
            <color indexed="81"/>
            <rFont val="Tahoma"/>
            <family val="2"/>
          </rPr>
          <t xml:space="preserve">Weak Infeed </t>
        </r>
        <r>
          <rPr>
            <b/>
            <u/>
            <sz val="10"/>
            <color indexed="81"/>
            <rFont val="Tahoma"/>
            <family val="2"/>
          </rPr>
          <t>Trip</t>
        </r>
        <r>
          <rPr>
            <b/>
            <sz val="8"/>
            <color indexed="81"/>
            <rFont val="Tahoma"/>
            <family val="2"/>
          </rPr>
          <t xml:space="preserve"> Function</t>
        </r>
        <r>
          <rPr>
            <sz val="8"/>
            <color indexed="81"/>
            <rFont val="Tahoma"/>
            <family val="2"/>
          </rPr>
          <t xml:space="preserve">
</t>
        </r>
      </text>
    </comment>
    <comment ref="J18" authorId="0" shapeId="0">
      <text>
        <r>
          <rPr>
            <b/>
            <sz val="8"/>
            <color indexed="81"/>
            <rFont val="Tahoma"/>
            <family val="2"/>
          </rPr>
          <t>Zone 1 Timers, (Fwd)</t>
        </r>
        <r>
          <rPr>
            <sz val="8"/>
            <color indexed="81"/>
            <rFont val="Tahoma"/>
            <family val="2"/>
          </rPr>
          <t xml:space="preserve">
</t>
        </r>
      </text>
    </comment>
    <comment ref="M18" authorId="0" shapeId="0">
      <text>
        <r>
          <rPr>
            <b/>
            <sz val="8"/>
            <color indexed="81"/>
            <rFont val="Tahoma"/>
            <family val="2"/>
          </rPr>
          <t>If 'BLZONE' is set to 'IND(2)':
E/F Resistive Reach, Zone 1 Ext (Fwd)</t>
        </r>
        <r>
          <rPr>
            <sz val="8"/>
            <color indexed="81"/>
            <rFont val="Tahoma"/>
            <family val="2"/>
          </rPr>
          <t xml:space="preserve">
</t>
        </r>
      </text>
    </comment>
    <comment ref="B19" authorId="0" shapeId="0">
      <text>
        <r>
          <rPr>
            <b/>
            <sz val="8"/>
            <color indexed="81"/>
            <rFont val="Tahoma"/>
            <family val="2"/>
          </rPr>
          <t>Switch 2nd Reverse Zone On/Off</t>
        </r>
        <r>
          <rPr>
            <sz val="8"/>
            <color indexed="81"/>
            <rFont val="Tahoma"/>
            <family val="2"/>
          </rPr>
          <t xml:space="preserve">
</t>
        </r>
      </text>
    </comment>
    <comment ref="J19" authorId="0" shapeId="0">
      <text>
        <r>
          <rPr>
            <b/>
            <sz val="8"/>
            <color indexed="81"/>
            <rFont val="Tahoma"/>
            <family val="2"/>
          </rPr>
          <t>Zone 2 Timers, (Fwd)</t>
        </r>
      </text>
    </comment>
    <comment ref="M19" authorId="0" shapeId="0">
      <text>
        <r>
          <rPr>
            <b/>
            <sz val="8"/>
            <color indexed="81"/>
            <rFont val="Tahoma"/>
            <family val="2"/>
          </rPr>
          <t>E/F Reactive Reach, Zone 2 (Fwd)</t>
        </r>
      </text>
    </comment>
    <comment ref="V19" authorId="0" shapeId="0">
      <text>
        <r>
          <rPr>
            <b/>
            <sz val="8"/>
            <color indexed="81"/>
            <rFont val="Tahoma"/>
            <family val="2"/>
          </rPr>
          <t>Forward PU (Carrier Tx)  delay</t>
        </r>
      </text>
    </comment>
    <comment ref="J20" authorId="0" shapeId="0">
      <text>
        <r>
          <rPr>
            <b/>
            <sz val="8"/>
            <color indexed="81"/>
            <rFont val="Tahoma"/>
            <family val="2"/>
          </rPr>
          <t>Zone ND, Phase Reactive Reach</t>
        </r>
      </text>
    </comment>
    <comment ref="M20" authorId="0" shapeId="0">
      <text>
        <r>
          <rPr>
            <b/>
            <sz val="8"/>
            <color indexed="81"/>
            <rFont val="Tahoma"/>
            <family val="2"/>
          </rPr>
          <t>If 'BLZONE' is set to 'IND(2)':
E/F Resistive Reach, Zone 2 (Fwd)</t>
        </r>
        <r>
          <rPr>
            <sz val="8"/>
            <color indexed="81"/>
            <rFont val="Tahoma"/>
            <family val="2"/>
          </rPr>
          <t xml:space="preserve">
</t>
        </r>
      </text>
    </comment>
    <comment ref="P20" authorId="0" shapeId="0">
      <text>
        <r>
          <rPr>
            <b/>
            <sz val="8"/>
            <color indexed="81"/>
            <rFont val="Tahoma"/>
            <family val="2"/>
          </rPr>
          <t>Reactive Zero-Sequence Compensation</t>
        </r>
        <r>
          <rPr>
            <sz val="8"/>
            <color indexed="81"/>
            <rFont val="Tahoma"/>
            <family val="2"/>
          </rPr>
          <t xml:space="preserve">
</t>
        </r>
      </text>
    </comment>
    <comment ref="V20" authorId="0" shapeId="0">
      <text>
        <r>
          <rPr>
            <b/>
            <sz val="8"/>
            <color indexed="81"/>
            <rFont val="Tahoma"/>
            <family val="2"/>
          </rPr>
          <t xml:space="preserve">Reverse PU delay
Should be set to '0' so that current reversal can operate correctly
</t>
        </r>
      </text>
    </comment>
    <comment ref="J21" authorId="0" shapeId="0">
      <text>
        <r>
          <rPr>
            <b/>
            <sz val="8"/>
            <color indexed="81"/>
            <rFont val="Tahoma"/>
            <family val="2"/>
          </rPr>
          <t>Zone ND, Phase Resistive Reach</t>
        </r>
        <r>
          <rPr>
            <sz val="8"/>
            <color indexed="81"/>
            <rFont val="Tahoma"/>
            <family val="2"/>
          </rPr>
          <t xml:space="preserve">
</t>
        </r>
      </text>
    </comment>
    <comment ref="V21" authorId="0" shapeId="0">
      <text>
        <r>
          <rPr>
            <b/>
            <sz val="8"/>
            <color indexed="81"/>
            <rFont val="Tahoma"/>
            <family val="2"/>
          </rPr>
          <t>Transient Block timer 
(Current reversal)</t>
        </r>
      </text>
    </comment>
    <comment ref="S23" authorId="0" shapeId="0">
      <text>
        <r>
          <rPr>
            <b/>
            <sz val="8"/>
            <color indexed="81"/>
            <rFont val="Tahoma"/>
            <family val="2"/>
          </rPr>
          <t>Minimum Current for Earth Faults</t>
        </r>
        <r>
          <rPr>
            <sz val="8"/>
            <color indexed="81"/>
            <rFont val="Tahoma"/>
            <family val="2"/>
          </rPr>
          <t xml:space="preserve">
</t>
        </r>
      </text>
    </comment>
    <comment ref="B25" authorId="0" shapeId="0">
      <text>
        <r>
          <rPr>
            <b/>
            <sz val="8"/>
            <color indexed="81"/>
            <rFont val="Tahoma"/>
            <family val="2"/>
          </rPr>
          <t xml:space="preserve">Evolving Fault supervision.
</t>
        </r>
        <r>
          <rPr>
            <sz val="8"/>
            <color indexed="81"/>
            <rFont val="Tahoma"/>
            <family val="2"/>
          </rPr>
          <t>Must be set greater than TSPR1</t>
        </r>
      </text>
    </comment>
    <comment ref="B26" authorId="1" shapeId="0">
      <text>
        <r>
          <rPr>
            <b/>
            <sz val="8"/>
            <color indexed="81"/>
            <rFont val="Tahoma"/>
            <family val="2"/>
          </rPr>
          <t>Three-pole Dead-Time</t>
        </r>
        <r>
          <rPr>
            <sz val="8"/>
            <color indexed="81"/>
            <rFont val="Tahoma"/>
            <family val="2"/>
          </rPr>
          <t xml:space="preserve">
</t>
        </r>
      </text>
    </comment>
    <comment ref="B27" authorId="0" shapeId="0">
      <text>
        <r>
          <rPr>
            <b/>
            <sz val="8"/>
            <color indexed="81"/>
            <rFont val="Tahoma"/>
            <family val="2"/>
          </rPr>
          <t>Single Pole Dead Time</t>
        </r>
      </text>
    </comment>
    <comment ref="B28" authorId="1" shapeId="0">
      <text>
        <r>
          <rPr>
            <b/>
            <sz val="8"/>
            <color indexed="81"/>
            <rFont val="Tahoma"/>
            <family val="2"/>
          </rPr>
          <t xml:space="preserve">Associated with synch check - 
</t>
        </r>
        <r>
          <rPr>
            <sz val="8"/>
            <color indexed="81"/>
            <rFont val="Tahoma"/>
            <family val="2"/>
          </rPr>
          <t xml:space="preserve">Generates 3-pole trip and aborts AR cycle if synch conditions are not met, even when synch-check is not employed. </t>
        </r>
        <r>
          <rPr>
            <sz val="8"/>
            <color indexed="81"/>
            <rFont val="Tahoma"/>
            <family val="2"/>
          </rPr>
          <t xml:space="preserve">
</t>
        </r>
        <r>
          <rPr>
            <b/>
            <sz val="8"/>
            <color indexed="81"/>
            <rFont val="Tahoma"/>
            <family val="2"/>
          </rPr>
          <t xml:space="preserve">For 3-pole </t>
        </r>
        <r>
          <rPr>
            <b/>
            <u/>
            <sz val="8"/>
            <color indexed="81"/>
            <rFont val="Tahoma"/>
            <family val="2"/>
          </rPr>
          <t>only</t>
        </r>
        <r>
          <rPr>
            <b/>
            <sz val="8"/>
            <color indexed="81"/>
            <rFont val="Tahoma"/>
            <family val="2"/>
          </rPr>
          <t xml:space="preserve"> tripping (TPAR):</t>
        </r>
        <r>
          <rPr>
            <sz val="8"/>
            <color indexed="81"/>
            <rFont val="Tahoma"/>
            <family val="2"/>
          </rPr>
          <t xml:space="preserve">
It must be set greater than Dead Time </t>
        </r>
        <r>
          <rPr>
            <b/>
            <sz val="8"/>
            <color indexed="81"/>
            <rFont val="Tahoma"/>
            <family val="2"/>
          </rPr>
          <t>TTPR1</t>
        </r>
        <r>
          <rPr>
            <sz val="8"/>
            <color indexed="81"/>
            <rFont val="Tahoma"/>
            <family val="2"/>
          </rPr>
          <t xml:space="preserve">
</t>
        </r>
        <r>
          <rPr>
            <b/>
            <sz val="8"/>
            <color indexed="81"/>
            <rFont val="Tahoma"/>
            <family val="2"/>
          </rPr>
          <t xml:space="preserve">For 1-pole </t>
        </r>
        <r>
          <rPr>
            <b/>
            <u/>
            <sz val="8"/>
            <color indexed="81"/>
            <rFont val="Tahoma"/>
            <family val="2"/>
          </rPr>
          <t>only</t>
        </r>
        <r>
          <rPr>
            <b/>
            <sz val="8"/>
            <color indexed="81"/>
            <rFont val="Tahoma"/>
            <family val="2"/>
          </rPr>
          <t xml:space="preserve"> tripping (SPAR):</t>
        </r>
        <r>
          <rPr>
            <sz val="8"/>
            <color indexed="81"/>
            <rFont val="Tahoma"/>
            <family val="2"/>
          </rPr>
          <t xml:space="preserve">
It must be set greater than Dead Time </t>
        </r>
        <r>
          <rPr>
            <b/>
            <sz val="8"/>
            <color indexed="81"/>
            <rFont val="Tahoma"/>
            <family val="2"/>
          </rPr>
          <t>TSPR1</t>
        </r>
        <r>
          <rPr>
            <sz val="8"/>
            <color indexed="81"/>
            <rFont val="Tahoma"/>
            <family val="2"/>
          </rPr>
          <t xml:space="preserve">
</t>
        </r>
        <r>
          <rPr>
            <b/>
            <sz val="8"/>
            <color indexed="81"/>
            <rFont val="Tahoma"/>
            <family val="2"/>
          </rPr>
          <t>For 1/3 pole tripping (SPAR&amp;TPAR):</t>
        </r>
        <r>
          <rPr>
            <sz val="8"/>
            <color indexed="81"/>
            <rFont val="Tahoma"/>
            <family val="2"/>
          </rPr>
          <t xml:space="preserve">
It must be set greater than </t>
        </r>
        <r>
          <rPr>
            <b/>
            <sz val="8"/>
            <color indexed="81"/>
            <rFont val="Tahoma"/>
            <family val="2"/>
          </rPr>
          <t>TSPR1 + TTPR1</t>
        </r>
        <r>
          <rPr>
            <sz val="8"/>
            <color indexed="81"/>
            <rFont val="Tahoma"/>
            <family val="2"/>
          </rPr>
          <t xml:space="preserve">  to cater for evolving faults
</t>
        </r>
      </text>
    </comment>
    <comment ref="C95" authorId="1" shapeId="0">
      <text>
        <r>
          <rPr>
            <b/>
            <sz val="8"/>
            <color indexed="81"/>
            <rFont val="Tahoma"/>
            <family val="2"/>
          </rPr>
          <t xml:space="preserve">Not applicable -
</t>
        </r>
        <r>
          <rPr>
            <sz val="8"/>
            <color indexed="81"/>
            <rFont val="Tahoma"/>
            <family val="2"/>
          </rPr>
          <t>Dead Time for multi-phase faults</t>
        </r>
        <r>
          <rPr>
            <b/>
            <sz val="8"/>
            <color indexed="81"/>
            <rFont val="Tahoma"/>
            <family val="2"/>
          </rPr>
          <t xml:space="preserve">
</t>
        </r>
        <r>
          <rPr>
            <sz val="8"/>
            <color indexed="81"/>
            <rFont val="Tahoma"/>
            <family val="2"/>
          </rPr>
          <t xml:space="preserve">
</t>
        </r>
      </text>
    </comment>
    <comment ref="D102" authorId="0" shapeId="0">
      <text>
        <r>
          <rPr>
            <b/>
            <sz val="8"/>
            <color indexed="81"/>
            <rFont val="Tahoma"/>
            <family val="2"/>
          </rPr>
          <t>Standalone Over-Reach for AR when teleprotection is not available</t>
        </r>
        <r>
          <rPr>
            <sz val="8"/>
            <color indexed="81"/>
            <rFont val="Tahoma"/>
            <family val="2"/>
          </rPr>
          <t xml:space="preserve">
</t>
        </r>
      </text>
    </comment>
  </commentList>
</comments>
</file>

<file path=xl/comments2.xml><?xml version="1.0" encoding="utf-8"?>
<comments xmlns="http://schemas.openxmlformats.org/spreadsheetml/2006/main">
  <authors>
    <author>User</author>
    <author>Oliver Simcox</author>
  </authors>
  <commentList>
    <comment ref="D10" authorId="0" shapeId="0">
      <text>
        <r>
          <rPr>
            <b/>
            <sz val="8"/>
            <color indexed="81"/>
            <rFont val="Tahoma"/>
            <family val="2"/>
          </rPr>
          <t>Limited to UVCV x Un</t>
        </r>
        <r>
          <rPr>
            <sz val="8"/>
            <color indexed="81"/>
            <rFont val="Tahoma"/>
            <family val="2"/>
          </rPr>
          <t xml:space="preserve">
All other zones limited to 110% of Un</t>
        </r>
      </text>
    </comment>
    <comment ref="D32" authorId="0" shapeId="0">
      <text>
        <r>
          <rPr>
            <b/>
            <sz val="8"/>
            <color indexed="81"/>
            <rFont val="Tahoma"/>
            <family val="2"/>
          </rPr>
          <t>Limited to 95% of UVCV</t>
        </r>
        <r>
          <rPr>
            <sz val="8"/>
            <color indexed="81"/>
            <rFont val="Tahoma"/>
            <family val="2"/>
          </rPr>
          <t xml:space="preserve">
</t>
        </r>
      </text>
    </comment>
    <comment ref="C61" authorId="1" shapeId="0">
      <text>
        <r>
          <rPr>
            <b/>
            <sz val="8"/>
            <color indexed="81"/>
            <rFont val="Tahoma"/>
            <family val="2"/>
          </rPr>
          <t>White Text on Grey Background indicates NO OP because test current is less than setting for Min. Iph&gt;.</t>
        </r>
      </text>
    </comment>
    <comment ref="D61" authorId="1" shapeId="0">
      <text>
        <r>
          <rPr>
            <b/>
            <sz val="8"/>
            <color indexed="81"/>
            <rFont val="Tahoma"/>
            <family val="2"/>
          </rPr>
          <t>White Text on Grey Background indicates NO OP because test current is less than setting for Min. Iph&gt;.</t>
        </r>
      </text>
    </comment>
    <comment ref="C63" authorId="1" shapeId="0">
      <text>
        <r>
          <rPr>
            <b/>
            <sz val="8"/>
            <color indexed="81"/>
            <rFont val="Tahoma"/>
            <family val="2"/>
          </rPr>
          <t>If test currents are too high to time all zones in one macro, reduce the test voltage to test inner Zones.</t>
        </r>
      </text>
    </comment>
    <comment ref="BD74" authorId="0" shapeId="0">
      <text>
        <r>
          <rPr>
            <b/>
            <sz val="8"/>
            <color indexed="81"/>
            <rFont val="Tahoma"/>
            <family val="2"/>
          </rPr>
          <t>Intersect Angle for intersect between Z1S (Zone 1 reactance reach) and BRRS (Reverse Resistive reach)</t>
        </r>
        <r>
          <rPr>
            <sz val="8"/>
            <color indexed="81"/>
            <rFont val="Tahoma"/>
            <family val="2"/>
          </rPr>
          <t xml:space="preserve">
</t>
        </r>
      </text>
    </comment>
    <comment ref="BD78" authorId="0" shapeId="0">
      <text>
        <r>
          <rPr>
            <b/>
            <sz val="8"/>
            <color indexed="81"/>
            <rFont val="Tahoma"/>
            <family val="2"/>
          </rPr>
          <t>Intersect Angle for intersect between Z1S (Zone 1 reactance reach) and BRRS (Reverse Resistive reach)</t>
        </r>
        <r>
          <rPr>
            <sz val="8"/>
            <color indexed="81"/>
            <rFont val="Tahoma"/>
            <family val="2"/>
          </rPr>
          <t xml:space="preserve">
</t>
        </r>
      </text>
    </comment>
    <comment ref="BD84" authorId="0" shapeId="0">
      <text>
        <r>
          <rPr>
            <b/>
            <sz val="8"/>
            <color indexed="81"/>
            <rFont val="Tahoma"/>
            <family val="2"/>
          </rPr>
          <t>Intersect Angle for intersect between Z1S (Zone 1 reactance reach) and BRRS (Reverse Resistive reach)</t>
        </r>
        <r>
          <rPr>
            <sz val="8"/>
            <color indexed="81"/>
            <rFont val="Tahoma"/>
            <family val="2"/>
          </rPr>
          <t xml:space="preserve">
</t>
        </r>
      </text>
    </comment>
    <comment ref="BD89" authorId="0" shapeId="0">
      <text>
        <r>
          <rPr>
            <b/>
            <sz val="8"/>
            <color indexed="81"/>
            <rFont val="Tahoma"/>
            <family val="2"/>
          </rPr>
          <t>Intersect Angle for intersect between Z1S (Zone 1 reactance reach) and BRRS (Reverse Resistive reach)</t>
        </r>
        <r>
          <rPr>
            <sz val="8"/>
            <color indexed="81"/>
            <rFont val="Tahoma"/>
            <family val="2"/>
          </rPr>
          <t xml:space="preserve">
</t>
        </r>
      </text>
    </comment>
    <comment ref="BE94" authorId="0" shapeId="0">
      <text>
        <r>
          <rPr>
            <b/>
            <sz val="8"/>
            <color indexed="81"/>
            <rFont val="Tahoma"/>
            <family val="2"/>
          </rPr>
          <t xml:space="preserve">99999 = No Op
</t>
        </r>
      </text>
    </comment>
    <comment ref="BE95" authorId="0" shapeId="0">
      <text>
        <r>
          <rPr>
            <b/>
            <sz val="8"/>
            <color indexed="81"/>
            <rFont val="Tahoma"/>
            <family val="2"/>
          </rPr>
          <t xml:space="preserve">99999 = No Op
</t>
        </r>
      </text>
    </comment>
  </commentList>
</comments>
</file>

<file path=xl/sharedStrings.xml><?xml version="1.0" encoding="utf-8"?>
<sst xmlns="http://schemas.openxmlformats.org/spreadsheetml/2006/main" count="1481" uniqueCount="1190">
  <si>
    <t>Station:</t>
  </si>
  <si>
    <t>Feeder:</t>
  </si>
  <si>
    <t>Direction Limits</t>
  </si>
  <si>
    <t>Type=</t>
  </si>
  <si>
    <t>Phase - Phase</t>
  </si>
  <si>
    <t>Phase - Earth</t>
  </si>
  <si>
    <t>Starpoint=</t>
  </si>
  <si>
    <t>CTStarPoint</t>
  </si>
  <si>
    <t>Zone 1</t>
  </si>
  <si>
    <t>Zone 2</t>
  </si>
  <si>
    <t>Zone 3</t>
  </si>
  <si>
    <t>Delta Angle:</t>
  </si>
  <si>
    <t>Convert for CT Starpoint</t>
  </si>
  <si>
    <t>Dir.1</t>
  </si>
  <si>
    <t>Dir.2</t>
  </si>
  <si>
    <t>Dir.3</t>
  </si>
  <si>
    <t>Dir.1B</t>
  </si>
  <si>
    <t>Phase to Phase Faults</t>
  </si>
  <si>
    <t>Ph-Ph Plot Data</t>
  </si>
  <si>
    <t>Ph-E Plot Data</t>
  </si>
  <si>
    <t>R</t>
  </si>
  <si>
    <t>X</t>
  </si>
  <si>
    <t>Test Voltages /Angles</t>
  </si>
  <si>
    <t>Pulse Duration (Cycles)</t>
  </si>
  <si>
    <t>Ang</t>
  </si>
  <si>
    <t>Imp</t>
  </si>
  <si>
    <t>Zone1</t>
  </si>
  <si>
    <t>Zone2</t>
  </si>
  <si>
    <t>Imped.</t>
  </si>
  <si>
    <t>Zone3</t>
  </si>
  <si>
    <t>Zone1B</t>
  </si>
  <si>
    <t>Phase to Earth Faults</t>
  </si>
  <si>
    <t>Faulty Phase    R, S, T</t>
  </si>
  <si>
    <t>Healthy Phase  S, T, R</t>
  </si>
  <si>
    <t>Healthy Phase  T, R, S</t>
  </si>
  <si>
    <t>Time</t>
  </si>
  <si>
    <t>Ph-Ph</t>
  </si>
  <si>
    <t>Ph-E</t>
  </si>
  <si>
    <t>[ms]</t>
  </si>
  <si>
    <t>Zone 1,</t>
  </si>
  <si>
    <t>Zone 2,</t>
  </si>
  <si>
    <t>Voltage for Timing Tests</t>
  </si>
  <si>
    <t>Test Angle, +/-</t>
  </si>
  <si>
    <t>Magnitude [V]</t>
  </si>
  <si>
    <t>Delta Ang</t>
  </si>
  <si>
    <t>Scheme</t>
  </si>
  <si>
    <t>Scheme:</t>
  </si>
  <si>
    <t>Test Current Phase-Angle</t>
  </si>
  <si>
    <t>Forward:</t>
  </si>
  <si>
    <t>Reverse:</t>
  </si>
  <si>
    <t>K Factor:</t>
  </si>
  <si>
    <t/>
  </si>
  <si>
    <t>In=</t>
  </si>
  <si>
    <t>Fault Voltage</t>
  </si>
  <si>
    <t>Spinner Value</t>
  </si>
  <si>
    <t>V Scaler</t>
  </si>
  <si>
    <t>Angle</t>
  </si>
  <si>
    <t>No Overreach</t>
  </si>
  <si>
    <t>Disp.Z2</t>
  </si>
  <si>
    <t>Rounding</t>
  </si>
  <si>
    <t>R-S</t>
  </si>
  <si>
    <t>S-T</t>
  </si>
  <si>
    <t>T-R</t>
  </si>
  <si>
    <t>Z1</t>
  </si>
  <si>
    <t>Z1B</t>
  </si>
  <si>
    <t>Z2</t>
  </si>
  <si>
    <t>Z3</t>
  </si>
  <si>
    <t>Faulty Ph2</t>
  </si>
  <si>
    <t>Faulty Ph1</t>
  </si>
  <si>
    <t>Healthy Ph</t>
  </si>
  <si>
    <t>VA</t>
  </si>
  <si>
    <t>VB</t>
  </si>
  <si>
    <t>VC</t>
  </si>
  <si>
    <t>Selection</t>
  </si>
  <si>
    <t>Extremely Inverse</t>
  </si>
  <si>
    <t>Normal Inverse</t>
  </si>
  <si>
    <t>Very Inverse</t>
  </si>
  <si>
    <t>[3303] Ie&gt;</t>
  </si>
  <si>
    <t>[3304] Delay Time</t>
  </si>
  <si>
    <t>I/Ie</t>
  </si>
  <si>
    <t>A/Ph</t>
  </si>
  <si>
    <t>Inverse Time E/F</t>
  </si>
  <si>
    <t>Time [s]</t>
  </si>
  <si>
    <t>A / Ph</t>
  </si>
  <si>
    <t>SOTF</t>
  </si>
  <si>
    <t>Z1 effective</t>
  </si>
  <si>
    <t>Fault detection</t>
  </si>
  <si>
    <r>
      <t>ProTest Volts (</t>
    </r>
    <r>
      <rPr>
        <i/>
        <sz val="8"/>
        <rFont val="Arial"/>
        <family val="2"/>
      </rPr>
      <t>Fault V</t>
    </r>
    <r>
      <rPr>
        <sz val="8"/>
        <rFont val="Arial"/>
        <family val="2"/>
      </rPr>
      <t>)</t>
    </r>
  </si>
  <si>
    <t>Max. Reach @ Fault V</t>
  </si>
  <si>
    <t>Min Op</t>
  </si>
  <si>
    <t>Phase-Phase</t>
  </si>
  <si>
    <t>Phase-Earth</t>
  </si>
  <si>
    <t>Z1B Non Dir.</t>
  </si>
  <si>
    <t>Emergency O/C</t>
  </si>
  <si>
    <t>Phase</t>
  </si>
  <si>
    <t>Earth</t>
  </si>
  <si>
    <t>[A]</t>
  </si>
  <si>
    <t>Tol +</t>
  </si>
  <si>
    <t>Tol -</t>
  </si>
  <si>
    <t>Basic Dir.</t>
  </si>
  <si>
    <t xml:space="preserve">Resultant </t>
  </si>
  <si>
    <t>Load Angle</t>
  </si>
  <si>
    <t>Max Rch</t>
  </si>
  <si>
    <t>Load Plot</t>
  </si>
  <si>
    <t>Voltage Plot</t>
  </si>
  <si>
    <t>Current Plot</t>
  </si>
  <si>
    <t>Inverse Time E. Fault</t>
  </si>
  <si>
    <t>[s]</t>
  </si>
  <si>
    <t>Imp Ph-E</t>
  </si>
  <si>
    <t>Back-Up Over-Current</t>
  </si>
  <si>
    <t>Back-Up O/C</t>
  </si>
  <si>
    <t>Back-Up OverCurrent</t>
  </si>
  <si>
    <t>Ph Setting</t>
  </si>
  <si>
    <t>EF Setting</t>
  </si>
  <si>
    <t>InvEF_1</t>
  </si>
  <si>
    <t>InvEF_2</t>
  </si>
  <si>
    <t>InvEF_3</t>
  </si>
  <si>
    <t>InvEF_4</t>
  </si>
  <si>
    <t>InvEF_5</t>
  </si>
  <si>
    <t>InvEF_6</t>
  </si>
  <si>
    <t>InvEF_7</t>
  </si>
  <si>
    <t>InvEF_8</t>
  </si>
  <si>
    <t>InvEF_t1</t>
  </si>
  <si>
    <t>InvEF_t2</t>
  </si>
  <si>
    <t>InvEF_t3</t>
  </si>
  <si>
    <t>InvEF_t4</t>
  </si>
  <si>
    <t>InvEF_t5</t>
  </si>
  <si>
    <t>InvEF_t6</t>
  </si>
  <si>
    <t>InvEF_t7</t>
  </si>
  <si>
    <t>FI1</t>
  </si>
  <si>
    <t>FI2</t>
  </si>
  <si>
    <t>FI3</t>
  </si>
  <si>
    <t>FI4</t>
  </si>
  <si>
    <t>FI5</t>
  </si>
  <si>
    <t>FI6</t>
  </si>
  <si>
    <t>FI7</t>
  </si>
  <si>
    <t>FI8</t>
  </si>
  <si>
    <t>FI9</t>
  </si>
  <si>
    <t>FI10</t>
  </si>
  <si>
    <t>FI11</t>
  </si>
  <si>
    <t>RI1</t>
  </si>
  <si>
    <t>RI2</t>
  </si>
  <si>
    <t>RI3</t>
  </si>
  <si>
    <t>RI4</t>
  </si>
  <si>
    <t>RI5</t>
  </si>
  <si>
    <t>FIe1</t>
  </si>
  <si>
    <t>FIe2</t>
  </si>
  <si>
    <t>FIe3</t>
  </si>
  <si>
    <t>FIe4</t>
  </si>
  <si>
    <t>FIe5</t>
  </si>
  <si>
    <t>FIe6</t>
  </si>
  <si>
    <t>FIe7</t>
  </si>
  <si>
    <t>FIe8</t>
  </si>
  <si>
    <t>FIe9</t>
  </si>
  <si>
    <t>FIe10</t>
  </si>
  <si>
    <t>RIe1</t>
  </si>
  <si>
    <t>RIe2</t>
  </si>
  <si>
    <t>RIe3</t>
  </si>
  <si>
    <t>RIe4</t>
  </si>
  <si>
    <t>RIe5</t>
  </si>
  <si>
    <t>Ft1</t>
  </si>
  <si>
    <t>Ft2</t>
  </si>
  <si>
    <t>Ft3</t>
  </si>
  <si>
    <t>Ft4</t>
  </si>
  <si>
    <t>Ft5</t>
  </si>
  <si>
    <t>Ft6</t>
  </si>
  <si>
    <t>Ft7</t>
  </si>
  <si>
    <t>Ft8</t>
  </si>
  <si>
    <t>Ft9</t>
  </si>
  <si>
    <t>Ft10</t>
  </si>
  <si>
    <t>Rt1</t>
  </si>
  <si>
    <t>Rt2</t>
  </si>
  <si>
    <t>Rt3</t>
  </si>
  <si>
    <t>Rt4</t>
  </si>
  <si>
    <t>Rte_1</t>
  </si>
  <si>
    <t>Rte_2</t>
  </si>
  <si>
    <t>Rte_3</t>
  </si>
  <si>
    <t>Rte_4</t>
  </si>
  <si>
    <t>Fte_1</t>
  </si>
  <si>
    <t>Fte_2</t>
  </si>
  <si>
    <t>Fte_3</t>
  </si>
  <si>
    <t>Fte_4</t>
  </si>
  <si>
    <t>Fte_5</t>
  </si>
  <si>
    <t>Fte_6</t>
  </si>
  <si>
    <t>Fte_7</t>
  </si>
  <si>
    <t>Fte_8</t>
  </si>
  <si>
    <t>Fte_9</t>
  </si>
  <si>
    <t>Fte_10</t>
  </si>
  <si>
    <t>Vh</t>
  </si>
  <si>
    <t>Tol</t>
  </si>
  <si>
    <t>EM_Ie_1</t>
  </si>
  <si>
    <t>EM_Ie_2</t>
  </si>
  <si>
    <t>EM_Ie_3</t>
  </si>
  <si>
    <t>EM_Ie_4</t>
  </si>
  <si>
    <t>EM_I_1</t>
  </si>
  <si>
    <t>EM_I_2</t>
  </si>
  <si>
    <t>EM_I_3</t>
  </si>
  <si>
    <t>EM_I_4</t>
  </si>
  <si>
    <t>Inv_Ang</t>
  </si>
  <si>
    <t>VfRev</t>
  </si>
  <si>
    <t>VfFwd</t>
  </si>
  <si>
    <t>Ve_F</t>
  </si>
  <si>
    <t>Ve_R</t>
  </si>
  <si>
    <t>Fwd EF V</t>
  </si>
  <si>
    <t>Rev EF V</t>
  </si>
  <si>
    <t>FIe11</t>
  </si>
  <si>
    <t>In</t>
  </si>
  <si>
    <t>J_PU</t>
  </si>
  <si>
    <t>Je_PU</t>
  </si>
  <si>
    <t>E PU</t>
  </si>
  <si>
    <t>Ph PU</t>
  </si>
  <si>
    <t>ZFS_Flt_V</t>
  </si>
  <si>
    <t>ZFS_I_Limit</t>
  </si>
  <si>
    <t>ZFR_I_Limit</t>
  </si>
  <si>
    <t>ZFR_Flt_V</t>
  </si>
  <si>
    <t>Rev E Start Z</t>
  </si>
  <si>
    <t>Fwd E Start Z</t>
  </si>
  <si>
    <t>Rev Ph Start Z</t>
  </si>
  <si>
    <t>ZFSe_I_Limit</t>
  </si>
  <si>
    <t>ZFSe_Flt_V</t>
  </si>
  <si>
    <t>ZFRe_I_Limit</t>
  </si>
  <si>
    <t>ZFRe_Flt_V</t>
  </si>
  <si>
    <t>Z1_Cycles</t>
  </si>
  <si>
    <t>Z1B_Cycles</t>
  </si>
  <si>
    <t>Z2_Cycles</t>
  </si>
  <si>
    <t>Z3_Cycles</t>
  </si>
  <si>
    <t>Z1_V</t>
  </si>
  <si>
    <t>Z1B_V</t>
  </si>
  <si>
    <t>Z2_V</t>
  </si>
  <si>
    <t>Z3_V</t>
  </si>
  <si>
    <t>Z1e_V</t>
  </si>
  <si>
    <t>Z1Be_V</t>
  </si>
  <si>
    <t>Z2e_V</t>
  </si>
  <si>
    <t>Z3e_V</t>
  </si>
  <si>
    <t>Z1_I_Lim</t>
  </si>
  <si>
    <t>Z1B_I_Lim</t>
  </si>
  <si>
    <t>Z2_I_Lim</t>
  </si>
  <si>
    <t>Z3_I_Lim</t>
  </si>
  <si>
    <t>Z1e_I_Lim</t>
  </si>
  <si>
    <t>Z2e_I_Lim</t>
  </si>
  <si>
    <t>Z1Be_I_Lim</t>
  </si>
  <si>
    <t>Z3e_I_Lim</t>
  </si>
  <si>
    <t>Z1 Plot</t>
  </si>
  <si>
    <t>Z2 Plot</t>
  </si>
  <si>
    <t>Z1B Plot</t>
  </si>
  <si>
    <t>Z3 Plot</t>
  </si>
  <si>
    <t>SOTF_V</t>
  </si>
  <si>
    <t>SOTF_I_Lim</t>
  </si>
  <si>
    <t>SOTFe_V</t>
  </si>
  <si>
    <t>SOTFe_I_Lim</t>
  </si>
  <si>
    <t>Z1B Acceleration</t>
  </si>
  <si>
    <t>PUTT_V</t>
  </si>
  <si>
    <t>PUTT_I_Lim</t>
  </si>
  <si>
    <t>PUTTe_V</t>
  </si>
  <si>
    <t>PUTTe_I_Lim</t>
  </si>
  <si>
    <t>I_Ang</t>
  </si>
  <si>
    <t>Timing Macros</t>
  </si>
  <si>
    <t>Max_On</t>
  </si>
  <si>
    <t>Teleprotection</t>
  </si>
  <si>
    <t>Formatting Info</t>
  </si>
  <si>
    <t>ZPUTT_A1</t>
  </si>
  <si>
    <t>ZPUTT_A2</t>
  </si>
  <si>
    <t>ZPUTT_A3</t>
  </si>
  <si>
    <t>ZPUTT_A4</t>
  </si>
  <si>
    <t>ZPUTT_A5</t>
  </si>
  <si>
    <t>ZPUTT_A6</t>
  </si>
  <si>
    <t>ZPUTT_A7</t>
  </si>
  <si>
    <t>ZPUTT_A8</t>
  </si>
  <si>
    <t>ZPUTT_A9</t>
  </si>
  <si>
    <t>ZPUTT_A10</t>
  </si>
  <si>
    <t>ZPUTT_A11</t>
  </si>
  <si>
    <t>ZPUTT_Z1</t>
  </si>
  <si>
    <t>ZPUTT_Z2</t>
  </si>
  <si>
    <t>ZPUTT_Z3</t>
  </si>
  <si>
    <t>ZPUTT_Z4</t>
  </si>
  <si>
    <t>ZPUTT_Z5</t>
  </si>
  <si>
    <t>ZPUTT_Z6</t>
  </si>
  <si>
    <t>ZPUTT_Z7</t>
  </si>
  <si>
    <t>ZPUTT_Z8</t>
  </si>
  <si>
    <t>ZPUTT_Z9</t>
  </si>
  <si>
    <t>ZPUTT_Z10</t>
  </si>
  <si>
    <t>ZPUTT_Z11</t>
  </si>
  <si>
    <t>ZSOTF_A1</t>
  </si>
  <si>
    <t>ZSOTF_A2</t>
  </si>
  <si>
    <t>ZSOTF_A3</t>
  </si>
  <si>
    <t>ZSOTF_A4</t>
  </si>
  <si>
    <t>ZSOTF_A5</t>
  </si>
  <si>
    <t>ZSOTF_A6</t>
  </si>
  <si>
    <t>ZSOTF_A7</t>
  </si>
  <si>
    <t>ZSOTF_A8</t>
  </si>
  <si>
    <t>ZSOTF_A9</t>
  </si>
  <si>
    <t>ZSOTF_A10</t>
  </si>
  <si>
    <t>ZSOTF_A11</t>
  </si>
  <si>
    <t>ZSOTF_A12</t>
  </si>
  <si>
    <t>ZSOTF_Z1</t>
  </si>
  <si>
    <t>ZSOTF_Z2</t>
  </si>
  <si>
    <t>ZSOTF_Z3</t>
  </si>
  <si>
    <t>ZSOTF_Z4</t>
  </si>
  <si>
    <t>ZSOTF_Z5</t>
  </si>
  <si>
    <t>ZSOTF_Z6</t>
  </si>
  <si>
    <t>ZSOTF_Z7</t>
  </si>
  <si>
    <t>ZSOTF_Z8</t>
  </si>
  <si>
    <t>ZSOTF_Z9</t>
  </si>
  <si>
    <t>ZSOTF_Z10</t>
  </si>
  <si>
    <t>ZSOTF_Z11</t>
  </si>
  <si>
    <t>ZSOTF_Z12</t>
  </si>
  <si>
    <t>ZPUTTe_A1</t>
  </si>
  <si>
    <t>ZPUTTe_A2</t>
  </si>
  <si>
    <t>ZPUTTe_A3</t>
  </si>
  <si>
    <t>ZPUTTe_A4</t>
  </si>
  <si>
    <t>ZPUTTe_A5</t>
  </si>
  <si>
    <t>ZPUTTe_A6</t>
  </si>
  <si>
    <t>ZPUTTe_A7</t>
  </si>
  <si>
    <t>ZPUTTe_A8</t>
  </si>
  <si>
    <t>ZPUTTe_A9</t>
  </si>
  <si>
    <t>ZPUTTe_A10</t>
  </si>
  <si>
    <t>ZPUTTe_A11</t>
  </si>
  <si>
    <t>ZPUTTe_Z1</t>
  </si>
  <si>
    <t>ZPUTTe_Z2</t>
  </si>
  <si>
    <t>ZPUTTe_Z3</t>
  </si>
  <si>
    <t>ZPUTTe_Z4</t>
  </si>
  <si>
    <t>ZPUTTe_Z5</t>
  </si>
  <si>
    <t>ZPUTTe_Z6</t>
  </si>
  <si>
    <t>ZPUTTe_Z7</t>
  </si>
  <si>
    <t>ZPUTTe_Z8</t>
  </si>
  <si>
    <t>ZPUTTe_Z9</t>
  </si>
  <si>
    <t>ZPUTTe_Z10</t>
  </si>
  <si>
    <t>ZPUTTe_Z11</t>
  </si>
  <si>
    <t>ZSOTFe_A1</t>
  </si>
  <si>
    <t>ZSOTFe_A2</t>
  </si>
  <si>
    <t>ZSOTFe_A3</t>
  </si>
  <si>
    <t>ZSOTFe_A4</t>
  </si>
  <si>
    <t>ZSOTFe_A5</t>
  </si>
  <si>
    <t>ZSOTFe_A6</t>
  </si>
  <si>
    <t>ZSOTFe_A7</t>
  </si>
  <si>
    <t>ZSOTFe_A8</t>
  </si>
  <si>
    <t>ZSOTFe_A9</t>
  </si>
  <si>
    <t>ZSOTFe_A10</t>
  </si>
  <si>
    <t>ZSOTFe_A11</t>
  </si>
  <si>
    <t>ZSOTFe_A12</t>
  </si>
  <si>
    <t>ZSOTFe_Z1</t>
  </si>
  <si>
    <t>ZSOTFe_Z2</t>
  </si>
  <si>
    <t>ZSOTFe_Z3</t>
  </si>
  <si>
    <t>ZSOTFe_Z4</t>
  </si>
  <si>
    <t>ZSOTFe_Z5</t>
  </si>
  <si>
    <t>ZSOTFe_Z6</t>
  </si>
  <si>
    <t>ZSOTFe_Z7</t>
  </si>
  <si>
    <t>ZSOTFe_Z8</t>
  </si>
  <si>
    <t>ZSOTFe_Z9</t>
  </si>
  <si>
    <t>ZSOTFe_Z10</t>
  </si>
  <si>
    <t>ZSOTFe_Z11</t>
  </si>
  <si>
    <t>ZSOTFe_Z12</t>
  </si>
  <si>
    <t>Zone 4</t>
  </si>
  <si>
    <t>Zone 5</t>
  </si>
  <si>
    <t>Dir.4</t>
  </si>
  <si>
    <t>Dir.5</t>
  </si>
  <si>
    <t>Z4_Cycles</t>
  </si>
  <si>
    <t>Z5_Cycles</t>
  </si>
  <si>
    <t>PTT</t>
  </si>
  <si>
    <t>Z4</t>
  </si>
  <si>
    <t>PTT Tx</t>
  </si>
  <si>
    <t>PTT_TX_A1</t>
  </si>
  <si>
    <t>PTT_TX_A2</t>
  </si>
  <si>
    <t>PTT_TX_A3</t>
  </si>
  <si>
    <t>PTT_TX_A4</t>
  </si>
  <si>
    <t>PTT_TX_A5</t>
  </si>
  <si>
    <t>PTT_TX_A6</t>
  </si>
  <si>
    <t>PTT_TX_Z1</t>
  </si>
  <si>
    <t>PTT_TX_Z2</t>
  </si>
  <si>
    <t>PTT_TX_Z3</t>
  </si>
  <si>
    <t>PTT_TX_Z4</t>
  </si>
  <si>
    <t>PTT_TX_Z5</t>
  </si>
  <si>
    <t>PTT_TX_Z6</t>
  </si>
  <si>
    <t>PTT_TX_V</t>
  </si>
  <si>
    <t>PTT_Tx_I_Limit</t>
  </si>
  <si>
    <t>PTTe_TX_V</t>
  </si>
  <si>
    <t>PTTe_Tx_I_Limit</t>
  </si>
  <si>
    <t>PTTe_TX_A1</t>
  </si>
  <si>
    <t>PTTe_TX_A2</t>
  </si>
  <si>
    <t>PTTe_TX_A3</t>
  </si>
  <si>
    <t>PTTe_TX_A4</t>
  </si>
  <si>
    <t>PTTe_TX_A5</t>
  </si>
  <si>
    <t>PTTe_TX_A6</t>
  </si>
  <si>
    <t>PTTe_TX_Z1</t>
  </si>
  <si>
    <t>PTTe_TX_Z2</t>
  </si>
  <si>
    <t>PTTe_TX_Z3</t>
  </si>
  <si>
    <t>PTTe_TX_Z4</t>
  </si>
  <si>
    <t>PTTe_TX_Z5</t>
  </si>
  <si>
    <t>PTTe_TX_Z6</t>
  </si>
  <si>
    <t>PTTe Tx</t>
  </si>
  <si>
    <t>PTT_Dir</t>
  </si>
  <si>
    <t>Start_Z1</t>
  </si>
  <si>
    <t>Start_Z2</t>
  </si>
  <si>
    <t>Start_Z3</t>
  </si>
  <si>
    <t>Start_Z4</t>
  </si>
  <si>
    <t>Start_V</t>
  </si>
  <si>
    <t>Start_I_Lim</t>
  </si>
  <si>
    <t>Carrier Start</t>
  </si>
  <si>
    <t>StartE_V</t>
  </si>
  <si>
    <t>StartE_I_Lim</t>
  </si>
  <si>
    <t>StartE_Z1</t>
  </si>
  <si>
    <t>StartE_Z2</t>
  </si>
  <si>
    <t>StartE_Z3</t>
  </si>
  <si>
    <t>StartE_Z4</t>
  </si>
  <si>
    <t>1.1*MaxReach</t>
  </si>
  <si>
    <t>Corner Angle</t>
  </si>
  <si>
    <t>Mag</t>
  </si>
  <si>
    <t>c</t>
  </si>
  <si>
    <t>b</t>
  </si>
  <si>
    <t>d</t>
  </si>
  <si>
    <t>DCEF_I</t>
  </si>
  <si>
    <t>DCEF_V</t>
  </si>
  <si>
    <t>WEI_UV</t>
  </si>
  <si>
    <t>a</t>
  </si>
  <si>
    <t>Slope</t>
  </si>
  <si>
    <t>Corner Mag</t>
  </si>
  <si>
    <t>x</t>
  </si>
  <si>
    <t>y</t>
  </si>
  <si>
    <t>z</t>
  </si>
  <si>
    <t>PTT_TX_A7</t>
  </si>
  <si>
    <t>PTT_TX_Z7</t>
  </si>
  <si>
    <t>PTT_TX_A8</t>
  </si>
  <si>
    <t>PTT_TX_A9</t>
  </si>
  <si>
    <t>PTT_TX_Z8</t>
  </si>
  <si>
    <t>PTT_TX_Z9</t>
  </si>
  <si>
    <t>PTTe_TX_A7</t>
  </si>
  <si>
    <t>PTTe_TX_Z7</t>
  </si>
  <si>
    <t>Corner  2Ang</t>
  </si>
  <si>
    <t>m</t>
  </si>
  <si>
    <t>n</t>
  </si>
  <si>
    <t>o</t>
  </si>
  <si>
    <t>Fwd Blinder 1</t>
  </si>
  <si>
    <t>Fwd Blinder 2</t>
  </si>
  <si>
    <t>Rev Blinder 1</t>
  </si>
  <si>
    <t>Scaler</t>
  </si>
  <si>
    <t>ZE1</t>
  </si>
  <si>
    <t>ZE1B</t>
  </si>
  <si>
    <t>ZE2</t>
  </si>
  <si>
    <t>ZE3</t>
  </si>
  <si>
    <t>ZE4</t>
  </si>
  <si>
    <t>ZE5</t>
  </si>
  <si>
    <t>Corner 2 Mag</t>
  </si>
  <si>
    <t>Blinder Mag</t>
  </si>
  <si>
    <t>Blinder 1</t>
  </si>
  <si>
    <t>Blinder 2</t>
  </si>
  <si>
    <t>I</t>
  </si>
  <si>
    <t>Z1_A1</t>
  </si>
  <si>
    <t>Z1_A2</t>
  </si>
  <si>
    <t>Z1_A3</t>
  </si>
  <si>
    <t>Z1_A4</t>
  </si>
  <si>
    <t>Z1_A5</t>
  </si>
  <si>
    <t>Z1_A6</t>
  </si>
  <si>
    <t>Z1_A7</t>
  </si>
  <si>
    <t>Z1_A8</t>
  </si>
  <si>
    <t>Z1_A9</t>
  </si>
  <si>
    <t>Z1_A10</t>
  </si>
  <si>
    <t>Z1_A11</t>
  </si>
  <si>
    <t>Z1_Z1</t>
  </si>
  <si>
    <t>Z1_Z2</t>
  </si>
  <si>
    <t>Z1_Z3</t>
  </si>
  <si>
    <t>Z1_Z4</t>
  </si>
  <si>
    <t>Z1_Z5</t>
  </si>
  <si>
    <t>Z1_Z6</t>
  </si>
  <si>
    <t>Z1_Z7</t>
  </si>
  <si>
    <t>Z1_Z8</t>
  </si>
  <si>
    <t>Z1_Z9</t>
  </si>
  <si>
    <t>Z1_Z10</t>
  </si>
  <si>
    <t>Z1_Z11</t>
  </si>
  <si>
    <t>Z3_A1</t>
  </si>
  <si>
    <t>Z3_A2</t>
  </si>
  <si>
    <t>Z3_A3</t>
  </si>
  <si>
    <t>Z3_A4</t>
  </si>
  <si>
    <t>Z3_A5</t>
  </si>
  <si>
    <t>Z3_A6</t>
  </si>
  <si>
    <t>Z3_A7</t>
  </si>
  <si>
    <t>Z3_A8</t>
  </si>
  <si>
    <t>Z3_A9</t>
  </si>
  <si>
    <t>Z3_A10</t>
  </si>
  <si>
    <t>Z3_A11</t>
  </si>
  <si>
    <t>Z3_Z1</t>
  </si>
  <si>
    <t>Z3_Z2</t>
  </si>
  <si>
    <t>Z3_Z3</t>
  </si>
  <si>
    <t>Z3_Z4</t>
  </si>
  <si>
    <t>Z3_Z5</t>
  </si>
  <si>
    <t>Z3_Z6</t>
  </si>
  <si>
    <t>Z3_Z7</t>
  </si>
  <si>
    <t>Z3_Z8</t>
  </si>
  <si>
    <t>Z3_Z9</t>
  </si>
  <si>
    <t>Z3_Z10</t>
  </si>
  <si>
    <t>Z3_Z11</t>
  </si>
  <si>
    <t>Z1e_A1</t>
  </si>
  <si>
    <t>Z1e_A2</t>
  </si>
  <si>
    <t>Z1e_A3</t>
  </si>
  <si>
    <t>Z1e_A4</t>
  </si>
  <si>
    <t>Z1e_A5</t>
  </si>
  <si>
    <t>Z1e_A6</t>
  </si>
  <si>
    <t>Z1e_A7</t>
  </si>
  <si>
    <t>Z1e_A8</t>
  </si>
  <si>
    <t>Z1e_A9</t>
  </si>
  <si>
    <t>Z1e_A10</t>
  </si>
  <si>
    <t>Z1e_A11</t>
  </si>
  <si>
    <t>Z1e_Z1</t>
  </si>
  <si>
    <t>Z1e_Z2</t>
  </si>
  <si>
    <t>Z1e_Z3</t>
  </si>
  <si>
    <t>Z1e_Z4</t>
  </si>
  <si>
    <t>Z1e_Z5</t>
  </si>
  <si>
    <t>Z1e_Z6</t>
  </si>
  <si>
    <t>Z1e_Z7</t>
  </si>
  <si>
    <t>Z1e_Z8</t>
  </si>
  <si>
    <t>Z1e_Z9</t>
  </si>
  <si>
    <t>Z1e_Z10</t>
  </si>
  <si>
    <t>Z1e_Z11</t>
  </si>
  <si>
    <t>Z3e_A1</t>
  </si>
  <si>
    <t>Z3e_A2</t>
  </si>
  <si>
    <t>Z3e_A3</t>
  </si>
  <si>
    <t>Z3e_A4</t>
  </si>
  <si>
    <t>Z3e_A5</t>
  </si>
  <si>
    <t>Z3e_A6</t>
  </si>
  <si>
    <t>Z3e_A7</t>
  </si>
  <si>
    <t>Z3e_A8</t>
  </si>
  <si>
    <t>Z3e_A9</t>
  </si>
  <si>
    <t>Z3e_A10</t>
  </si>
  <si>
    <t>Z3e_A11</t>
  </si>
  <si>
    <t>Z3e_Z1</t>
  </si>
  <si>
    <t>Z3e_Z2</t>
  </si>
  <si>
    <t>Z3e_Z3</t>
  </si>
  <si>
    <t>Z3e_Z4</t>
  </si>
  <si>
    <t>Z3e_Z5</t>
  </si>
  <si>
    <t>Z3e_Z6</t>
  </si>
  <si>
    <t>Z3e_Z7</t>
  </si>
  <si>
    <t>Z3e_Z8</t>
  </si>
  <si>
    <t>Z3e_Z9</t>
  </si>
  <si>
    <t>Z3e_Z10</t>
  </si>
  <si>
    <t>Z3e_Z11</t>
  </si>
  <si>
    <t>Long Time Inverse</t>
  </si>
  <si>
    <t>Meas_V</t>
  </si>
  <si>
    <t>Measurands</t>
  </si>
  <si>
    <t>Meas_Ang</t>
  </si>
  <si>
    <t>PTTe_TX_A8</t>
  </si>
  <si>
    <t>PTTe_TX_Z8</t>
  </si>
  <si>
    <t>PTTe_TX_A9</t>
  </si>
  <si>
    <t>PTTe_TX_Z9</t>
  </si>
  <si>
    <t>CB Fail Settings:</t>
  </si>
  <si>
    <t>[3902]   I &gt;</t>
  </si>
  <si>
    <t>[3906] T2, Busbar</t>
  </si>
  <si>
    <t>[3905] T1, Retrip</t>
  </si>
  <si>
    <t>[3907] T3, CB Def.</t>
  </si>
  <si>
    <t>CBF_t3</t>
  </si>
  <si>
    <t>CBF_t1</t>
  </si>
  <si>
    <t>CBF_t2</t>
  </si>
  <si>
    <t>CBF_I</t>
  </si>
  <si>
    <t>Z1e_Cycles</t>
  </si>
  <si>
    <t>Z2e_Cycles</t>
  </si>
  <si>
    <t>Z3e_Cycles</t>
  </si>
  <si>
    <t>Z4e_Cycles</t>
  </si>
  <si>
    <t>Z5e_Cycles</t>
  </si>
  <si>
    <t>Z1Be_Cycles</t>
  </si>
  <si>
    <t>Z1B_A1</t>
  </si>
  <si>
    <t>Z1B_A2</t>
  </si>
  <si>
    <t>Z1B_A3</t>
  </si>
  <si>
    <t>Z1B_A4</t>
  </si>
  <si>
    <t>Z1B_A5</t>
  </si>
  <si>
    <t>Z1B_A6</t>
  </si>
  <si>
    <t>Z1B_A7</t>
  </si>
  <si>
    <t>Z1B_A8</t>
  </si>
  <si>
    <t>Z1B_A9</t>
  </si>
  <si>
    <t>Z1B_A10</t>
  </si>
  <si>
    <t>Z1B_A11</t>
  </si>
  <si>
    <t>Z1B_Z1</t>
  </si>
  <si>
    <t>Z1B_Z2</t>
  </si>
  <si>
    <t>Z1B_Z3</t>
  </si>
  <si>
    <t>Z1B_Z4</t>
  </si>
  <si>
    <t>Z1B_Z5</t>
  </si>
  <si>
    <t>Z1B_Z6</t>
  </si>
  <si>
    <t>Z1B_Z7</t>
  </si>
  <si>
    <t>Z1B_Z8</t>
  </si>
  <si>
    <t>Z1B_Z9</t>
  </si>
  <si>
    <t>Z1B_Z10</t>
  </si>
  <si>
    <t>Z1B_Z11</t>
  </si>
  <si>
    <t>Z1Be_A1</t>
  </si>
  <si>
    <t>Z1Be_A2</t>
  </si>
  <si>
    <t>Z1Be_A3</t>
  </si>
  <si>
    <t>Z1Be_A4</t>
  </si>
  <si>
    <t>Z1Be_A5</t>
  </si>
  <si>
    <t>Z1Be_A6</t>
  </si>
  <si>
    <t>Z1Be_A7</t>
  </si>
  <si>
    <t>Z1Be_A8</t>
  </si>
  <si>
    <t>Z1Be_A9</t>
  </si>
  <si>
    <t>Z1Be_A10</t>
  </si>
  <si>
    <t>Z1Be_A11</t>
  </si>
  <si>
    <t>Z1Be_Z1</t>
  </si>
  <si>
    <t>Z1Be_Z2</t>
  </si>
  <si>
    <t>Z1Be_Z3</t>
  </si>
  <si>
    <t>Z1Be_Z4</t>
  </si>
  <si>
    <t>Z1Be_Z5</t>
  </si>
  <si>
    <t>Z1Be_Z6</t>
  </si>
  <si>
    <t>Z1Be_Z7</t>
  </si>
  <si>
    <t>Z1Be_Z8</t>
  </si>
  <si>
    <t>Z1Be_Z9</t>
  </si>
  <si>
    <t>Z1Be_Z10</t>
  </si>
  <si>
    <t>Z1Be_Z11</t>
  </si>
  <si>
    <t>Ph-Ph Fault Voltages</t>
  </si>
  <si>
    <t>Load Compensation</t>
  </si>
  <si>
    <t>Total Line</t>
  </si>
  <si>
    <t>Top segment</t>
  </si>
  <si>
    <t>Bottom segment</t>
  </si>
  <si>
    <t>X Co-ord</t>
  </si>
  <si>
    <t>R Co-ord</t>
  </si>
  <si>
    <t>Corner</t>
  </si>
  <si>
    <t>Start</t>
  </si>
  <si>
    <t>Mid Pt</t>
  </si>
  <si>
    <t>Fwd Timing</t>
  </si>
  <si>
    <t>Ph-Ph SOTF</t>
  </si>
  <si>
    <t>P-E SOTF</t>
  </si>
  <si>
    <t>Z1B_t</t>
  </si>
  <si>
    <t>Healthy V, Ph Flts</t>
  </si>
  <si>
    <t>Healthy V, E Flts</t>
  </si>
  <si>
    <t>Vh_e</t>
  </si>
  <si>
    <t>Vh_e_Ang</t>
  </si>
  <si>
    <t>Rev_Vh_e</t>
  </si>
  <si>
    <t>Rev_Vh_e_Ang</t>
  </si>
  <si>
    <t>RBB</t>
  </si>
  <si>
    <t>Z5_A1</t>
  </si>
  <si>
    <t>Z5_A2</t>
  </si>
  <si>
    <t>Z5_A3</t>
  </si>
  <si>
    <t>Z5_A4</t>
  </si>
  <si>
    <t>Z5_A5</t>
  </si>
  <si>
    <t>Z5_A6</t>
  </si>
  <si>
    <t>Z5_A7</t>
  </si>
  <si>
    <t>Z5_A8</t>
  </si>
  <si>
    <t>Z5_A9</t>
  </si>
  <si>
    <t>Z5_A10</t>
  </si>
  <si>
    <t>Z5_A11</t>
  </si>
  <si>
    <t>Z5_Z1</t>
  </si>
  <si>
    <t>Z5_Z2</t>
  </si>
  <si>
    <t>Z5_Z3</t>
  </si>
  <si>
    <t>Z5_Z4</t>
  </si>
  <si>
    <t>Z5_Z5</t>
  </si>
  <si>
    <t>Z5_Z6</t>
  </si>
  <si>
    <t>Z5_Z7</t>
  </si>
  <si>
    <t>Z5_Z8</t>
  </si>
  <si>
    <t>Z5_Z9</t>
  </si>
  <si>
    <t>Z5_Z10</t>
  </si>
  <si>
    <t>Z5_Z11</t>
  </si>
  <si>
    <t>Z5e_A1</t>
  </si>
  <si>
    <t>Z5e_A2</t>
  </si>
  <si>
    <t>Z5e_A3</t>
  </si>
  <si>
    <t>Z5e_A4</t>
  </si>
  <si>
    <t>Z5e_A5</t>
  </si>
  <si>
    <t>Z5e_A6</t>
  </si>
  <si>
    <t>Z5e_A7</t>
  </si>
  <si>
    <t>Z5e_A8</t>
  </si>
  <si>
    <t>Z5e_A9</t>
  </si>
  <si>
    <t>Z5e_A10</t>
  </si>
  <si>
    <t>Z5e_A11</t>
  </si>
  <si>
    <t>Z5e_Z1</t>
  </si>
  <si>
    <t>Z5e_Z2</t>
  </si>
  <si>
    <t>Z5e_Z3</t>
  </si>
  <si>
    <t>Z5e_Z4</t>
  </si>
  <si>
    <t>Z5e_Z5</t>
  </si>
  <si>
    <t>Z5e_Z6</t>
  </si>
  <si>
    <t>Z5e_Z7</t>
  </si>
  <si>
    <t>Z5e_Z8</t>
  </si>
  <si>
    <t>Z5e_Z9</t>
  </si>
  <si>
    <t>Z5e_Z11</t>
  </si>
  <si>
    <t>Effective Min I&gt; for EF</t>
  </si>
  <si>
    <t>Max Reach</t>
  </si>
  <si>
    <t>Ze</t>
  </si>
  <si>
    <t>Zph</t>
  </si>
  <si>
    <t>Display</t>
  </si>
  <si>
    <t xml:space="preserve"> Max Reach</t>
  </si>
  <si>
    <t>Z1 Test points</t>
  </si>
  <si>
    <t xml:space="preserve">Timing Tests </t>
  </si>
  <si>
    <t>For SOTF</t>
  </si>
  <si>
    <t>Open_Line</t>
  </si>
  <si>
    <t>Z5e_Z10</t>
  </si>
  <si>
    <t>Timing Delta Current</t>
  </si>
  <si>
    <t>RE</t>
  </si>
  <si>
    <t>t</t>
  </si>
  <si>
    <t>Disp.Z3</t>
  </si>
  <si>
    <t>Disp.Z1B</t>
  </si>
  <si>
    <t>Zone 3,</t>
  </si>
  <si>
    <t>No Op</t>
  </si>
  <si>
    <t>Rounding E/F</t>
  </si>
  <si>
    <t>t1</t>
  </si>
  <si>
    <t>Max Z, X axis.</t>
  </si>
  <si>
    <t>Max Z, R axis.</t>
  </si>
  <si>
    <t>Test V, X axis</t>
  </si>
  <si>
    <t>Test Ve, R axis</t>
  </si>
  <si>
    <t>Test_Ve_Fwd_R</t>
  </si>
  <si>
    <t>FIe1_R</t>
  </si>
  <si>
    <t>FIe2_R</t>
  </si>
  <si>
    <t>FIe3_R</t>
  </si>
  <si>
    <t>FIe4_R</t>
  </si>
  <si>
    <t>R-Axis Timing</t>
  </si>
  <si>
    <t>Timing Warnings</t>
  </si>
  <si>
    <t>7SA511 AR Logic</t>
  </si>
  <si>
    <t>Z1B Untestable</t>
  </si>
  <si>
    <t>Z1/Z1b Timers</t>
  </si>
  <si>
    <t>Gen. Trafo</t>
  </si>
  <si>
    <t>Gen_Trafo</t>
  </si>
  <si>
    <t>Z1S</t>
  </si>
  <si>
    <t>Ang.of Inc</t>
  </si>
  <si>
    <t>Z2S</t>
  </si>
  <si>
    <t>Z3S</t>
  </si>
  <si>
    <t>BFR1S</t>
  </si>
  <si>
    <t>BFR2S</t>
  </si>
  <si>
    <t>Z1G</t>
  </si>
  <si>
    <t>Z2G</t>
  </si>
  <si>
    <t>Z3G</t>
  </si>
  <si>
    <r>
      <t xml:space="preserve">Min. </t>
    </r>
    <r>
      <rPr>
        <sz val="8"/>
        <rFont val="Times New Roman"/>
        <family val="1"/>
      </rPr>
      <t xml:space="preserve"> I</t>
    </r>
    <r>
      <rPr>
        <sz val="8"/>
        <rFont val="Arial"/>
        <family val="2"/>
      </rPr>
      <t>ph</t>
    </r>
    <r>
      <rPr>
        <sz val="8"/>
        <rFont val="System"/>
        <family val="2"/>
      </rPr>
      <t>&gt;</t>
    </r>
  </si>
  <si>
    <t>Forward</t>
  </si>
  <si>
    <t>Zone R1</t>
  </si>
  <si>
    <t>Zone ND</t>
  </si>
  <si>
    <t>Zone R2</t>
  </si>
  <si>
    <t>Reverse</t>
  </si>
  <si>
    <t>Zone 1X</t>
  </si>
  <si>
    <t>GRZ100</t>
  </si>
  <si>
    <t>For AR on GRZ100xxx</t>
  </si>
  <si>
    <t>GRZ100xxx Only</t>
  </si>
  <si>
    <t>(GRZ100xxx only)</t>
  </si>
  <si>
    <t>GRZ100xxx</t>
  </si>
  <si>
    <t>TZ1S, TZ1G</t>
  </si>
  <si>
    <t>TZ2S, TZ2G</t>
  </si>
  <si>
    <t>TZ3S, TZ3G</t>
  </si>
  <si>
    <t>TZR1S, TZR1G</t>
  </si>
  <si>
    <t>TZR2S, TZR2G</t>
  </si>
  <si>
    <t>TZNDS, TZNDG</t>
  </si>
  <si>
    <t>ZR1S</t>
  </si>
  <si>
    <t>ZR2S</t>
  </si>
  <si>
    <t>BFLG</t>
  </si>
  <si>
    <t>Zone Active (Check Box)</t>
  </si>
  <si>
    <t>ZR1</t>
  </si>
  <si>
    <t>Display Ph-Ph</t>
  </si>
  <si>
    <t>Display Ph-E</t>
  </si>
  <si>
    <t>ZR2</t>
  </si>
  <si>
    <t>Plot Ph-Ph Zones</t>
  </si>
  <si>
    <t>Plot Ph-E Zones</t>
  </si>
  <si>
    <t>Zone 1 Ext.</t>
  </si>
  <si>
    <t>Zone 1X,</t>
  </si>
  <si>
    <t>Disp.R1</t>
  </si>
  <si>
    <t>Disp.R2</t>
  </si>
  <si>
    <t>BRRS</t>
  </si>
  <si>
    <t>BRRG</t>
  </si>
  <si>
    <t>Z1XG</t>
  </si>
  <si>
    <t>Z1XS</t>
  </si>
  <si>
    <t>Zone 4 ???</t>
  </si>
  <si>
    <t>Zone R1,</t>
  </si>
  <si>
    <t>Zone R2,</t>
  </si>
  <si>
    <t>Phase-Earth Voltages</t>
  </si>
  <si>
    <t>Faulty Phase</t>
  </si>
  <si>
    <t>Healthy Phase</t>
  </si>
  <si>
    <t>R-E</t>
  </si>
  <si>
    <t>S-E</t>
  </si>
  <si>
    <t>T-E</t>
  </si>
  <si>
    <t>Disp.Z1X</t>
  </si>
  <si>
    <t>ZND</t>
  </si>
  <si>
    <t>Z1x</t>
  </si>
  <si>
    <t>ND</t>
  </si>
  <si>
    <t>ZR1 (Z4)</t>
  </si>
  <si>
    <t>ZR2 (Z5)</t>
  </si>
  <si>
    <t>Z1X</t>
  </si>
  <si>
    <t>Non Directional</t>
  </si>
  <si>
    <t>BNDS</t>
  </si>
  <si>
    <t>ZNDS</t>
  </si>
  <si>
    <t>Starpoint</t>
  </si>
  <si>
    <t>Resistive Blinder</t>
  </si>
  <si>
    <t>Zone Restive Reach</t>
  </si>
  <si>
    <t>Disp. ZND</t>
  </si>
  <si>
    <t>Z4_A1</t>
  </si>
  <si>
    <t>Z4_A2</t>
  </si>
  <si>
    <t>Z4_A3</t>
  </si>
  <si>
    <t>Z4_A4</t>
  </si>
  <si>
    <t>Z4_A5</t>
  </si>
  <si>
    <t>Z4_A6</t>
  </si>
  <si>
    <t>Z4_A7</t>
  </si>
  <si>
    <t>Z4_A8</t>
  </si>
  <si>
    <t>Z4_A9</t>
  </si>
  <si>
    <t>Z4_A10</t>
  </si>
  <si>
    <t>Z4_A11</t>
  </si>
  <si>
    <t>Z4_Z1</t>
  </si>
  <si>
    <t>Z4_Z2</t>
  </si>
  <si>
    <t>Z4_Z3</t>
  </si>
  <si>
    <t>Z4_Z4</t>
  </si>
  <si>
    <t>Z4_Z5</t>
  </si>
  <si>
    <t>Z4_Z6</t>
  </si>
  <si>
    <t>Z4_Z7</t>
  </si>
  <si>
    <t>Z4_Z8</t>
  </si>
  <si>
    <t>Z4_Z9</t>
  </si>
  <si>
    <t>Z4_Z10</t>
  </si>
  <si>
    <t>Z4_Z11</t>
  </si>
  <si>
    <t>Z4e_A1</t>
  </si>
  <si>
    <t>Z4e_A2</t>
  </si>
  <si>
    <t>Z4e_A3</t>
  </si>
  <si>
    <t>Z4e_A4</t>
  </si>
  <si>
    <t>Z4e_A5</t>
  </si>
  <si>
    <t>Z4e_A6</t>
  </si>
  <si>
    <t>Z4e_A7</t>
  </si>
  <si>
    <t>Z4e_A8</t>
  </si>
  <si>
    <t>Z4e_A9</t>
  </si>
  <si>
    <t>Z4e_A10</t>
  </si>
  <si>
    <t>Z4e_A11</t>
  </si>
  <si>
    <t>Z4e_Z1</t>
  </si>
  <si>
    <t>Z4e_Z2</t>
  </si>
  <si>
    <t>Z4e_Z3</t>
  </si>
  <si>
    <t>Z4e_Z4</t>
  </si>
  <si>
    <t>Z4e_Z5</t>
  </si>
  <si>
    <t>Z4e_Z6</t>
  </si>
  <si>
    <t>Z4e_Z7</t>
  </si>
  <si>
    <t>Z4e_Z8</t>
  </si>
  <si>
    <t>Z4e_Z9</t>
  </si>
  <si>
    <t>Z4e_Z10</t>
  </si>
  <si>
    <t>Z4e_Z11</t>
  </si>
  <si>
    <t>Z2e_A1</t>
  </si>
  <si>
    <t>Z2e_A2</t>
  </si>
  <si>
    <t>Z2e_A3</t>
  </si>
  <si>
    <t>Z2e_A4</t>
  </si>
  <si>
    <t>Z2e_A5</t>
  </si>
  <si>
    <t>Z2e_A6</t>
  </si>
  <si>
    <t>Z2e_A7</t>
  </si>
  <si>
    <t>Z2e_A8</t>
  </si>
  <si>
    <t>Z2e_A9</t>
  </si>
  <si>
    <t>Z2e_A10</t>
  </si>
  <si>
    <t>Z2e_A11</t>
  </si>
  <si>
    <t>Z2e_Z1</t>
  </si>
  <si>
    <t>Z2e_Z2</t>
  </si>
  <si>
    <t>Z2e_Z3</t>
  </si>
  <si>
    <t>Z2e_Z4</t>
  </si>
  <si>
    <t>Z2e_Z5</t>
  </si>
  <si>
    <t>Z2e_Z6</t>
  </si>
  <si>
    <t>Z2e_Z7</t>
  </si>
  <si>
    <t>Z2e_Z8</t>
  </si>
  <si>
    <t>Z2e_Z9</t>
  </si>
  <si>
    <t>Z2e_Z10</t>
  </si>
  <si>
    <t>Z2e_Z11</t>
  </si>
  <si>
    <t>Z2_A1</t>
  </si>
  <si>
    <t>Z2_A2</t>
  </si>
  <si>
    <t>Z2_A3</t>
  </si>
  <si>
    <t>Z2_A4</t>
  </si>
  <si>
    <t>Z2_A5</t>
  </si>
  <si>
    <t>Z2_A6</t>
  </si>
  <si>
    <t>Z2_A7</t>
  </si>
  <si>
    <t>Z2_A8</t>
  </si>
  <si>
    <t>Z2_A9</t>
  </si>
  <si>
    <t>Z2_A10</t>
  </si>
  <si>
    <t>Z2_A11</t>
  </si>
  <si>
    <t>Z2_Z1</t>
  </si>
  <si>
    <t>Z2_Z2</t>
  </si>
  <si>
    <t>Z2_Z3</t>
  </si>
  <si>
    <t>Z2_Z4</t>
  </si>
  <si>
    <t>Z2_Z5</t>
  </si>
  <si>
    <t>Z2_Z6</t>
  </si>
  <si>
    <t>Z2_Z7</t>
  </si>
  <si>
    <t>Z2_Z8</t>
  </si>
  <si>
    <t>Z2_Z9</t>
  </si>
  <si>
    <t>Z2_Z10</t>
  </si>
  <si>
    <t>Z2_Z11</t>
  </si>
  <si>
    <t xml:space="preserve">BFRS    </t>
  </si>
  <si>
    <t>Round</t>
  </si>
  <si>
    <t>Max Fwd I</t>
  </si>
  <si>
    <t>Max Rev I</t>
  </si>
  <si>
    <t>ZNDBT</t>
  </si>
  <si>
    <t>ZR2BT</t>
  </si>
  <si>
    <t>ZR1BT</t>
  </si>
  <si>
    <t>Protection Scheme</t>
  </si>
  <si>
    <t>3 PUP (Permissive Underreach)</t>
  </si>
  <si>
    <t>7 POP+DEF (POTT + DCEF)</t>
  </si>
  <si>
    <t>10 PUP+DEF (PUTT + DCEF)</t>
  </si>
  <si>
    <t>Z1CNT</t>
  </si>
  <si>
    <t>VT Sec. V</t>
  </si>
  <si>
    <t>CT Pri.  A</t>
  </si>
  <si>
    <t>Krs (%)</t>
  </si>
  <si>
    <t>Kxs (%)</t>
  </si>
  <si>
    <t>Ir, Is, It, In</t>
  </si>
  <si>
    <t>CT Connections:</t>
  </si>
  <si>
    <t>VT Pri. [kV]</t>
  </si>
  <si>
    <t>Off(0)</t>
  </si>
  <si>
    <t>On(1)</t>
  </si>
  <si>
    <t>BLZONE</t>
  </si>
  <si>
    <t>IND(2)</t>
  </si>
  <si>
    <t>COM(1)</t>
  </si>
  <si>
    <t>TZ1XS, TZ1XG</t>
  </si>
  <si>
    <t>Reaches/Times</t>
  </si>
  <si>
    <t>Zone Summary:</t>
  </si>
  <si>
    <t>BFRXS</t>
  </si>
  <si>
    <t>Z4S</t>
  </si>
  <si>
    <t>BFR1G</t>
  </si>
  <si>
    <t>BFRXG</t>
  </si>
  <si>
    <t>BFR2G</t>
  </si>
  <si>
    <t>ZR1G</t>
  </si>
  <si>
    <t>ZR2G</t>
  </si>
  <si>
    <t>Not defined:</t>
  </si>
  <si>
    <t>OCH(A)</t>
  </si>
  <si>
    <t>TSOTF</t>
  </si>
  <si>
    <t>BFRG</t>
  </si>
  <si>
    <t>2 Z1-EXT (O/R without Teleprot.)</t>
  </si>
  <si>
    <t>ZBS-angle</t>
  </si>
  <si>
    <t>BFLS-angle</t>
  </si>
  <si>
    <t>EFL</t>
  </si>
  <si>
    <t>Zone FS</t>
  </si>
  <si>
    <t>CT Connections</t>
  </si>
  <si>
    <t>Ph Resistive</t>
  </si>
  <si>
    <t>Ph Reactive</t>
  </si>
  <si>
    <t>E/F Resistive</t>
  </si>
  <si>
    <t>E/F Reactive</t>
  </si>
  <si>
    <t>(Ohms/Phase)</t>
  </si>
  <si>
    <t>Non-Dir.</t>
  </si>
  <si>
    <t>Z4G</t>
  </si>
  <si>
    <t>Compensated E/F</t>
  </si>
  <si>
    <t>Z4(echo Block)</t>
  </si>
  <si>
    <t>Generic</t>
  </si>
  <si>
    <t>Specific</t>
  </si>
  <si>
    <t>Zone 6</t>
  </si>
  <si>
    <t>Dir.6</t>
  </si>
  <si>
    <t>Z4 (Z6)</t>
  </si>
  <si>
    <t>BCDEN</t>
  </si>
  <si>
    <t>Linked Parameters</t>
  </si>
  <si>
    <t>Res Reach</t>
  </si>
  <si>
    <t>Z4_A12</t>
  </si>
  <si>
    <t>Z4_Z12</t>
  </si>
  <si>
    <t>Z4e_A12</t>
  </si>
  <si>
    <t>Z5e_A12</t>
  </si>
  <si>
    <t>Z5_Z12</t>
  </si>
  <si>
    <t>Z5_A12</t>
  </si>
  <si>
    <t>Z4e_Z12</t>
  </si>
  <si>
    <r>
      <t>Z1S</t>
    </r>
    <r>
      <rPr>
        <sz val="9"/>
        <rFont val="Arial"/>
        <family val="2"/>
      </rPr>
      <t xml:space="preserve"> </t>
    </r>
    <r>
      <rPr>
        <sz val="9"/>
        <rFont val="Symbol"/>
        <family val="1"/>
        <charset val="2"/>
      </rPr>
      <t xml:space="preserve">q </t>
    </r>
    <r>
      <rPr>
        <sz val="8"/>
        <rFont val="Arial"/>
        <family val="2"/>
      </rPr>
      <t>1</t>
    </r>
  </si>
  <si>
    <r>
      <t>Z1S</t>
    </r>
    <r>
      <rPr>
        <sz val="9"/>
        <rFont val="Arial"/>
        <family val="2"/>
      </rPr>
      <t xml:space="preserve"> </t>
    </r>
    <r>
      <rPr>
        <sz val="9"/>
        <rFont val="Symbol"/>
        <family val="1"/>
        <charset val="2"/>
      </rPr>
      <t>q</t>
    </r>
    <r>
      <rPr>
        <i/>
        <sz val="9"/>
        <rFont val="Symbol"/>
        <family val="1"/>
        <charset val="2"/>
      </rPr>
      <t xml:space="preserve"> </t>
    </r>
    <r>
      <rPr>
        <sz val="9"/>
        <rFont val="Arial"/>
        <family val="2"/>
      </rPr>
      <t>2</t>
    </r>
  </si>
  <si>
    <t>Co-Ords</t>
  </si>
  <si>
    <t>Start Slope</t>
  </si>
  <si>
    <t>Co-Ords #8</t>
  </si>
  <si>
    <t>Co-Ords #7</t>
  </si>
  <si>
    <t>Co-Ords #4</t>
  </si>
  <si>
    <t>Co-Ords #5</t>
  </si>
  <si>
    <t>ZNDG</t>
  </si>
  <si>
    <t>Co-ords</t>
  </si>
  <si>
    <t>Limit Ang</t>
  </si>
  <si>
    <t>Zone 1B</t>
  </si>
  <si>
    <t>Z5e_Z12</t>
  </si>
  <si>
    <t>VfR_Ang</t>
  </si>
  <si>
    <t>VfR_Mag</t>
  </si>
  <si>
    <t>VfF_Ang</t>
  </si>
  <si>
    <t>VfF_Mag</t>
  </si>
  <si>
    <t>VFS_Ang</t>
  </si>
  <si>
    <t>VFS_Mag</t>
  </si>
  <si>
    <t>VRS_Ang</t>
  </si>
  <si>
    <t>VRS_Mag</t>
  </si>
  <si>
    <t>Z1_Ang</t>
  </si>
  <si>
    <t>Z1_Mag</t>
  </si>
  <si>
    <t>Z1B_Ang</t>
  </si>
  <si>
    <t>Z1B_Mag</t>
  </si>
  <si>
    <t>Z2_Ang</t>
  </si>
  <si>
    <t>Z2_Mag</t>
  </si>
  <si>
    <t>Z3_Ang</t>
  </si>
  <si>
    <t>Z3_Mag</t>
  </si>
  <si>
    <t>Rnd_Z1</t>
  </si>
  <si>
    <t>Rnd_Z1B</t>
  </si>
  <si>
    <t>Rnd_Z2</t>
  </si>
  <si>
    <t>Rnd_Z3</t>
  </si>
  <si>
    <t>Rnd_Z1e</t>
  </si>
  <si>
    <t>Rnd_Z1Be</t>
  </si>
  <si>
    <t>Rnd_Z2e</t>
  </si>
  <si>
    <t>Rnd_Z3e</t>
  </si>
  <si>
    <t>Rnd_SOTF</t>
  </si>
  <si>
    <t>Rnd_SOTFe</t>
  </si>
  <si>
    <t>Rnd_PUTT</t>
  </si>
  <si>
    <t>Rnd_PUTTe</t>
  </si>
  <si>
    <t>SOTF_Ang</t>
  </si>
  <si>
    <t>SOTF_Mag</t>
  </si>
  <si>
    <t>PUTT_Ang</t>
  </si>
  <si>
    <t>PUTT_Mag</t>
  </si>
  <si>
    <t>PTT_Tx_Ang</t>
  </si>
  <si>
    <t>PTT_Tx_Mag</t>
  </si>
  <si>
    <t>Start_Ang</t>
  </si>
  <si>
    <t>Start_Mag</t>
  </si>
  <si>
    <t>UVCV</t>
  </si>
  <si>
    <t>UVCZ</t>
  </si>
  <si>
    <t>UVFS</t>
  </si>
  <si>
    <t>UVFG</t>
  </si>
  <si>
    <t>Dead_Time_1</t>
  </si>
  <si>
    <t>Dead_Time_3</t>
  </si>
  <si>
    <t>Dir_Delta</t>
  </si>
  <si>
    <t>ZR1/Fwd Zone Crash</t>
  </si>
  <si>
    <t>ZR2/Fwd Zone Crash</t>
  </si>
  <si>
    <r>
      <t>UVC</t>
    </r>
    <r>
      <rPr>
        <sz val="12"/>
        <color indexed="9"/>
        <rFont val="Arial"/>
        <family val="2"/>
      </rPr>
      <t xml:space="preserve"> </t>
    </r>
    <r>
      <rPr>
        <sz val="12"/>
        <color indexed="9"/>
        <rFont val="Symbol"/>
        <family val="1"/>
        <charset val="2"/>
      </rPr>
      <t>q</t>
    </r>
  </si>
  <si>
    <r>
      <t>ZBG</t>
    </r>
    <r>
      <rPr>
        <sz val="9"/>
        <rFont val="Arial"/>
        <family val="2"/>
      </rPr>
      <t xml:space="preserve"> </t>
    </r>
    <r>
      <rPr>
        <sz val="9"/>
        <rFont val="Symbol"/>
        <family val="1"/>
        <charset val="2"/>
      </rPr>
      <t xml:space="preserve">q </t>
    </r>
  </si>
  <si>
    <r>
      <t>Z1G</t>
    </r>
    <r>
      <rPr>
        <sz val="9"/>
        <color indexed="9"/>
        <rFont val="Arial"/>
        <family val="2"/>
      </rPr>
      <t xml:space="preserve"> </t>
    </r>
    <r>
      <rPr>
        <sz val="9"/>
        <color indexed="9"/>
        <rFont val="Symbol"/>
        <family val="1"/>
        <charset val="2"/>
      </rPr>
      <t>q 1</t>
    </r>
  </si>
  <si>
    <r>
      <t>Z1G</t>
    </r>
    <r>
      <rPr>
        <sz val="9"/>
        <color indexed="9"/>
        <rFont val="Arial"/>
        <family val="2"/>
      </rPr>
      <t xml:space="preserve"> </t>
    </r>
    <r>
      <rPr>
        <sz val="9"/>
        <color indexed="9"/>
        <rFont val="Symbol"/>
        <family val="1"/>
        <charset val="2"/>
      </rPr>
      <t>q 2</t>
    </r>
  </si>
  <si>
    <t>Max Test V for E/F</t>
  </si>
  <si>
    <t>EFL Multiplier</t>
  </si>
  <si>
    <t>ZR1S/BRLS_Ang Intersect</t>
  </si>
  <si>
    <t>ZR2S/BRLS_Ang Intersect</t>
  </si>
  <si>
    <t>ZR1G/BRLG_Ang Intersect</t>
  </si>
  <si>
    <t>ZR2G/BRLG_Ang Intersect</t>
  </si>
  <si>
    <t>OC</t>
  </si>
  <si>
    <t>TOC</t>
  </si>
  <si>
    <t>EF</t>
  </si>
  <si>
    <t>TEF</t>
  </si>
  <si>
    <t>OCBT</t>
  </si>
  <si>
    <t>EFBT</t>
  </si>
  <si>
    <t>Em. EF</t>
  </si>
  <si>
    <t>Em. OC</t>
  </si>
  <si>
    <t>EM_I_t</t>
  </si>
  <si>
    <t>EM_Ie_t</t>
  </si>
  <si>
    <t>Op.Time [ms]</t>
  </si>
  <si>
    <t>Z2G Overreach</t>
  </si>
  <si>
    <t>ZR1G Overreach</t>
  </si>
  <si>
    <t>ZR1/ZR2 O/Reaching BRLS</t>
  </si>
  <si>
    <t>End point</t>
  </si>
  <si>
    <t>End_pt</t>
  </si>
  <si>
    <t>Fwd Z O/R</t>
  </si>
  <si>
    <t>4 POP  (Permissive Overrreach)</t>
  </si>
  <si>
    <t>ZONSEL</t>
  </si>
  <si>
    <t>Z2(1)</t>
  </si>
  <si>
    <t>Z3(2)</t>
  </si>
  <si>
    <t>PTT Zone Sel</t>
  </si>
  <si>
    <t>PTT Rx</t>
  </si>
  <si>
    <t>Current Limit: [A]</t>
  </si>
  <si>
    <t>PTT_TX_A10</t>
  </si>
  <si>
    <t>PTT_TX_A11</t>
  </si>
  <si>
    <t>PTT_TX_Z10</t>
  </si>
  <si>
    <t>PTT_TX_Z11</t>
  </si>
  <si>
    <t>PTTe_TX_A10</t>
  </si>
  <si>
    <t>PTTe_TX_A11</t>
  </si>
  <si>
    <t>PTTe_TX_Z10</t>
  </si>
  <si>
    <t>PTTe_TX_Z11</t>
  </si>
  <si>
    <t>Point 1a</t>
  </si>
  <si>
    <t>Point 1b</t>
  </si>
  <si>
    <t>Point 1c</t>
  </si>
  <si>
    <t>Z1S/BRRS/7.5 Intersects</t>
  </si>
  <si>
    <t>BRRS / 7.5 Intersect</t>
  </si>
  <si>
    <t>Z1 / 7.5 intersect</t>
  </si>
  <si>
    <t>7.5 /R Axis Intersect</t>
  </si>
  <si>
    <t>Pt 1/ 7.5 intersect</t>
  </si>
  <si>
    <t>Blinder length, Axis to 7.5 line</t>
  </si>
  <si>
    <t>Z1, Point 1</t>
  </si>
  <si>
    <t>Slope / 7.5 intersect</t>
  </si>
  <si>
    <t>Slope / 7.5 Line</t>
  </si>
  <si>
    <t>PSBSZ</t>
  </si>
  <si>
    <t>PSBGZ</t>
  </si>
  <si>
    <t>ZR2 /BRLS Line</t>
  </si>
  <si>
    <t>ZR1 /BRLS Line</t>
  </si>
  <si>
    <t>BFLS</t>
  </si>
  <si>
    <t>ZR1/ZR2, Pt 2</t>
  </si>
  <si>
    <t>MidPt, Slope/7.5</t>
  </si>
  <si>
    <t>ZR2, Point 1</t>
  </si>
  <si>
    <t>Co Ords Z1 / 7.5</t>
  </si>
  <si>
    <t>Z1 / Slope</t>
  </si>
  <si>
    <t>Z6_V_Mag</t>
  </si>
  <si>
    <t>Z6_V_Ang</t>
  </si>
  <si>
    <t>PTT Echo Block</t>
  </si>
  <si>
    <t>Z6e_V_Mag</t>
  </si>
  <si>
    <t>Z6_I1_Ang</t>
  </si>
  <si>
    <t>Z6_I2_Ang</t>
  </si>
  <si>
    <t>Z6_I3_Ang</t>
  </si>
  <si>
    <t>Z6_I1_Mag</t>
  </si>
  <si>
    <t>Z6_I2_Mag</t>
  </si>
  <si>
    <t>Z6_I3_Mag</t>
  </si>
  <si>
    <t>Z6e_I1_Ang</t>
  </si>
  <si>
    <t>Z6e_I2_Ang</t>
  </si>
  <si>
    <t>Z6e_I3_Ang</t>
  </si>
  <si>
    <t>Z6e_I1_Mag</t>
  </si>
  <si>
    <t>Z6e_I2_Mag</t>
  </si>
  <si>
    <t>Z6e_I3_Mag</t>
  </si>
  <si>
    <t>Zone6 (Z4)</t>
  </si>
  <si>
    <t>Zone 4 (Echo)</t>
  </si>
  <si>
    <t>ECHO</t>
  </si>
  <si>
    <t>WKIT</t>
  </si>
  <si>
    <t>Echo</t>
  </si>
  <si>
    <t>BNDG</t>
  </si>
  <si>
    <t>UVLS</t>
  </si>
  <si>
    <t>UVLG</t>
  </si>
  <si>
    <t>EF_UV1</t>
  </si>
  <si>
    <t>EF_UV2</t>
  </si>
  <si>
    <t>DEFRI</t>
  </si>
  <si>
    <t>DEFFI</t>
  </si>
  <si>
    <t>Z6e_Z1_Mag</t>
  </si>
  <si>
    <t>Z6e_Z2_Mag</t>
  </si>
  <si>
    <t>Z6e_Z3_Mag</t>
  </si>
  <si>
    <t>SOTF Z2</t>
  </si>
  <si>
    <t>SOTF Z3</t>
  </si>
  <si>
    <t>SOTF OC</t>
  </si>
  <si>
    <t>SOTF R1</t>
  </si>
  <si>
    <t>SOTF R2</t>
  </si>
  <si>
    <t>Z2G/ Z3G Overlap</t>
  </si>
  <si>
    <t>SOTF_Cycles</t>
  </si>
  <si>
    <t>Min SOTF Ph</t>
  </si>
  <si>
    <t>Min SOTF EF</t>
  </si>
  <si>
    <t>OCH</t>
  </si>
  <si>
    <t>Test Voltages</t>
  </si>
  <si>
    <t>PSB-Z1 'Off', All other zones 'On'</t>
  </si>
  <si>
    <t>Load</t>
  </si>
  <si>
    <t>Max Load [MVA]:</t>
  </si>
  <si>
    <t>Max Load current</t>
  </si>
  <si>
    <t>Z6_V</t>
  </si>
  <si>
    <t>PCB:1.615A @Vh</t>
  </si>
  <si>
    <t>Fault Locator</t>
  </si>
  <si>
    <t>Vr</t>
  </si>
  <si>
    <t>Vs</t>
  </si>
  <si>
    <t>Vt</t>
  </si>
  <si>
    <t>Ir</t>
  </si>
  <si>
    <t>Is</t>
  </si>
  <si>
    <t>It</t>
  </si>
  <si>
    <t>TTPR1</t>
  </si>
  <si>
    <t>TSPR1</t>
  </si>
  <si>
    <t>Descriptions</t>
  </si>
  <si>
    <t>AR Timers</t>
  </si>
  <si>
    <t>CBF</t>
  </si>
  <si>
    <t>TMPR1</t>
  </si>
  <si>
    <t>OCBF</t>
  </si>
  <si>
    <t>TBF1</t>
  </si>
  <si>
    <t>TW1</t>
  </si>
  <si>
    <t>TBF2</t>
  </si>
  <si>
    <t>TRDY1</t>
  </si>
  <si>
    <t>TRR</t>
  </si>
  <si>
    <t>TSUC</t>
  </si>
  <si>
    <t>TEVLV</t>
  </si>
  <si>
    <t>OR_Zone</t>
  </si>
  <si>
    <t>PSB</t>
  </si>
  <si>
    <t>PSB_Fwd_X</t>
  </si>
  <si>
    <t>PSB_Fwd_R</t>
  </si>
  <si>
    <t>PSB_Rev_X</t>
  </si>
  <si>
    <t>PSB_Rev_R</t>
  </si>
  <si>
    <t>Fault Current</t>
  </si>
  <si>
    <t>Fault Model</t>
  </si>
  <si>
    <t>Impedance</t>
  </si>
  <si>
    <t>1-Ph Fault Model</t>
  </si>
  <si>
    <t>2-Ph Fault Model</t>
  </si>
  <si>
    <t>3-Ph Fault Model</t>
  </si>
  <si>
    <t>AR Mode</t>
  </si>
  <si>
    <t>Disable(1)</t>
  </si>
  <si>
    <t>SPAR(2)</t>
  </si>
  <si>
    <t>TPAR(3)</t>
  </si>
  <si>
    <t>SPAR&amp;TPAR(4)</t>
  </si>
  <si>
    <t>AutoReclose Mode</t>
  </si>
  <si>
    <t>TRR Min</t>
  </si>
  <si>
    <t>E/F</t>
  </si>
  <si>
    <t>1(1)</t>
  </si>
  <si>
    <t>2(2)</t>
  </si>
  <si>
    <t>Z1 Time</t>
  </si>
  <si>
    <t>Z1  Time bypassed</t>
  </si>
  <si>
    <t>AR Effective</t>
  </si>
  <si>
    <t>Z1 Time Effective</t>
  </si>
  <si>
    <t>TZ1S/G</t>
  </si>
  <si>
    <t>AR Setting Discrepancy</t>
  </si>
  <si>
    <t>I_Jump_Det</t>
  </si>
  <si>
    <t>Current Jump for Flt Detection</t>
  </si>
  <si>
    <t>3Uo</t>
  </si>
  <si>
    <t>3Io</t>
  </si>
  <si>
    <t>MW</t>
  </si>
  <si>
    <t>Mvar</t>
  </si>
  <si>
    <t>Starpoint Correction</t>
  </si>
  <si>
    <t>Max Load</t>
  </si>
  <si>
    <t>Ph-Ph Selection</t>
  </si>
  <si>
    <t>E/F Selection</t>
  </si>
  <si>
    <t>DEFFEN</t>
  </si>
  <si>
    <t>DEFREN</t>
  </si>
  <si>
    <t>DEFFV</t>
  </si>
  <si>
    <t>DEFRV</t>
  </si>
  <si>
    <t>DEF_Angle</t>
  </si>
  <si>
    <t>DEF_Ang</t>
  </si>
  <si>
    <t>DCEFRV</t>
  </si>
  <si>
    <t>TDEFF</t>
  </si>
  <si>
    <t>TREBK</t>
  </si>
  <si>
    <t>TDEFR</t>
  </si>
  <si>
    <t>ms</t>
  </si>
  <si>
    <t>UVLG, 1-Ph drop</t>
  </si>
  <si>
    <t>Ph-Ph Drop</t>
  </si>
  <si>
    <t>Z1X Released</t>
  </si>
  <si>
    <t>DCEF Settings</t>
  </si>
  <si>
    <t>CBF_Add_On</t>
  </si>
  <si>
    <t>ms (Slower contact monitored)</t>
  </si>
  <si>
    <t>DCEF Volts</t>
  </si>
  <si>
    <t>SOTF EF Time</t>
  </si>
  <si>
    <t>Fwd OC Only 'On'</t>
  </si>
  <si>
    <t>Fev OC Only 'On'</t>
  </si>
  <si>
    <t>SOTF_t_Ang</t>
  </si>
  <si>
    <t>1-Phase</t>
  </si>
  <si>
    <t>2-Phase</t>
  </si>
  <si>
    <t>3-Phase</t>
  </si>
  <si>
    <t>DCEF</t>
  </si>
  <si>
    <t>Display DCEF</t>
  </si>
  <si>
    <t>Fault Model Scalers</t>
  </si>
  <si>
    <t>Evolving Fault</t>
  </si>
  <si>
    <t>Evolving I</t>
  </si>
  <si>
    <t>Max reach</t>
  </si>
  <si>
    <t>MVAr</t>
  </si>
  <si>
    <t>kV</t>
  </si>
  <si>
    <t>kA</t>
  </si>
  <si>
    <t>TH</t>
  </si>
  <si>
    <t>Duns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</si>
</sst>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dd/mm/yy;@"/>
    <numFmt numFmtId="167" formatCode="0.0%"/>
  </numFmts>
  <fonts count="72">
    <font>
      <sz val="10"/>
      <name val="Arial"/>
    </font>
    <font>
      <sz val="10"/>
      <name val="Arial"/>
      <family val="2"/>
    </font>
    <font>
      <b/>
      <u/>
      <sz val="10"/>
      <name val="Arial"/>
      <family val="2"/>
    </font>
    <font>
      <b/>
      <sz val="10"/>
      <name val="Arial"/>
      <family val="2"/>
    </font>
    <font>
      <sz val="8"/>
      <name val="Arial"/>
      <family val="2"/>
    </font>
    <font>
      <b/>
      <sz val="8"/>
      <name val="Arial"/>
      <family val="2"/>
    </font>
    <font>
      <b/>
      <u/>
      <sz val="8"/>
      <name val="Arial"/>
      <family val="2"/>
    </font>
    <font>
      <sz val="10"/>
      <name val="Arial"/>
      <family val="2"/>
    </font>
    <font>
      <sz val="8"/>
      <name val="Arial Narrow"/>
      <family val="2"/>
    </font>
    <font>
      <b/>
      <sz val="9"/>
      <name val="Arial"/>
      <family val="2"/>
    </font>
    <font>
      <sz val="14"/>
      <name val="Arial"/>
      <family val="2"/>
    </font>
    <font>
      <sz val="12"/>
      <name val="Arial Narrow"/>
      <family val="2"/>
    </font>
    <font>
      <b/>
      <sz val="8"/>
      <name val="Arial"/>
      <family val="2"/>
    </font>
    <font>
      <sz val="7.5"/>
      <name val="Arial Narrow"/>
      <family val="2"/>
    </font>
    <font>
      <sz val="8"/>
      <name val="Times New Roman"/>
      <family val="1"/>
    </font>
    <font>
      <sz val="8"/>
      <name val="System"/>
      <family val="2"/>
    </font>
    <font>
      <sz val="12"/>
      <name val="Arial"/>
      <family val="2"/>
    </font>
    <font>
      <sz val="12"/>
      <name val="Arial"/>
      <family val="2"/>
    </font>
    <font>
      <b/>
      <sz val="7.5"/>
      <name val="Arial"/>
      <family val="2"/>
    </font>
    <font>
      <b/>
      <sz val="7.5"/>
      <name val="Arial"/>
      <family val="2"/>
    </font>
    <font>
      <b/>
      <sz val="8"/>
      <name val="Arial Narrow"/>
      <family val="2"/>
    </font>
    <font>
      <i/>
      <sz val="8"/>
      <name val="Arial"/>
      <family val="2"/>
    </font>
    <font>
      <b/>
      <sz val="8"/>
      <color indexed="10"/>
      <name val="Arial"/>
      <family val="2"/>
    </font>
    <font>
      <b/>
      <sz val="8"/>
      <color indexed="81"/>
      <name val="Tahoma"/>
      <family val="2"/>
    </font>
    <font>
      <b/>
      <sz val="10"/>
      <color indexed="10"/>
      <name val="Arial"/>
      <family val="2"/>
    </font>
    <font>
      <b/>
      <sz val="10"/>
      <color indexed="12"/>
      <name val="Arial"/>
      <family val="2"/>
    </font>
    <font>
      <sz val="10"/>
      <color indexed="12"/>
      <name val="Arial"/>
      <family val="2"/>
    </font>
    <font>
      <b/>
      <u/>
      <sz val="10"/>
      <color indexed="12"/>
      <name val="Arial"/>
      <family val="2"/>
    </font>
    <font>
      <sz val="8"/>
      <color indexed="8"/>
      <name val="Arial"/>
      <family val="2"/>
    </font>
    <font>
      <sz val="10"/>
      <color indexed="23"/>
      <name val="Arial"/>
      <family val="2"/>
    </font>
    <font>
      <sz val="8"/>
      <name val="Arial"/>
      <family val="2"/>
    </font>
    <font>
      <b/>
      <sz val="14"/>
      <name val="Arial"/>
      <family val="2"/>
    </font>
    <font>
      <sz val="8"/>
      <color indexed="40"/>
      <name val="Arial"/>
      <family val="2"/>
    </font>
    <font>
      <sz val="8"/>
      <color indexed="14"/>
      <name val="Arial"/>
      <family val="2"/>
    </font>
    <font>
      <sz val="8"/>
      <color indexed="10"/>
      <name val="Arial"/>
      <family val="2"/>
    </font>
    <font>
      <b/>
      <sz val="8"/>
      <color indexed="12"/>
      <name val="Arial"/>
      <family val="2"/>
    </font>
    <font>
      <sz val="8"/>
      <color indexed="12"/>
      <name val="Arial"/>
      <family val="2"/>
    </font>
    <font>
      <sz val="8"/>
      <color indexed="20"/>
      <name val="Arial"/>
      <family val="2"/>
    </font>
    <font>
      <sz val="8"/>
      <color indexed="50"/>
      <name val="Arial"/>
      <family val="2"/>
    </font>
    <font>
      <sz val="8"/>
      <color indexed="14"/>
      <name val="Arial"/>
      <family val="2"/>
    </font>
    <font>
      <b/>
      <sz val="8"/>
      <color indexed="40"/>
      <name val="Arial"/>
      <family val="2"/>
    </font>
    <font>
      <b/>
      <sz val="8"/>
      <color indexed="50"/>
      <name val="Arial"/>
      <family val="2"/>
    </font>
    <font>
      <b/>
      <sz val="8"/>
      <color indexed="14"/>
      <name val="Arial"/>
      <family val="2"/>
    </font>
    <font>
      <b/>
      <sz val="8"/>
      <color indexed="8"/>
      <name val="Arial"/>
      <family val="2"/>
    </font>
    <font>
      <i/>
      <sz val="8"/>
      <color indexed="8"/>
      <name val="Arial"/>
      <family val="2"/>
    </font>
    <font>
      <sz val="8"/>
      <color indexed="81"/>
      <name val="Tahoma"/>
      <family val="2"/>
    </font>
    <font>
      <sz val="8"/>
      <name val="Z2 Plot"/>
    </font>
    <font>
      <sz val="8"/>
      <color indexed="61"/>
      <name val="Arial"/>
      <family val="2"/>
    </font>
    <font>
      <sz val="6"/>
      <name val="Arial"/>
      <family val="2"/>
    </font>
    <font>
      <sz val="6"/>
      <name val="Arial"/>
      <family val="2"/>
    </font>
    <font>
      <b/>
      <sz val="8"/>
      <color indexed="12"/>
      <name val="Arial"/>
      <family val="2"/>
    </font>
    <font>
      <i/>
      <sz val="7.5"/>
      <color indexed="22"/>
      <name val="Arial"/>
      <family val="2"/>
    </font>
    <font>
      <sz val="9"/>
      <name val="Symbol"/>
      <family val="1"/>
      <charset val="2"/>
    </font>
    <font>
      <sz val="8"/>
      <color indexed="55"/>
      <name val="Arial"/>
      <family val="2"/>
    </font>
    <font>
      <b/>
      <sz val="8"/>
      <color indexed="55"/>
      <name val="Arial"/>
      <family val="2"/>
    </font>
    <font>
      <sz val="8"/>
      <color indexed="9"/>
      <name val="Arial"/>
      <family val="2"/>
    </font>
    <font>
      <sz val="9"/>
      <name val="Arial"/>
      <family val="2"/>
    </font>
    <font>
      <i/>
      <sz val="9"/>
      <name val="Symbol"/>
      <family val="1"/>
      <charset val="2"/>
    </font>
    <font>
      <sz val="10"/>
      <name val="Arial"/>
      <family val="2"/>
    </font>
    <font>
      <sz val="9"/>
      <color indexed="9"/>
      <name val="Arial"/>
      <family val="2"/>
    </font>
    <font>
      <sz val="9"/>
      <color indexed="9"/>
      <name val="Symbol"/>
      <family val="1"/>
      <charset val="2"/>
    </font>
    <font>
      <sz val="12"/>
      <color indexed="9"/>
      <name val="Arial"/>
      <family val="2"/>
    </font>
    <font>
      <sz val="12"/>
      <color indexed="9"/>
      <name val="Symbol"/>
      <family val="1"/>
      <charset val="2"/>
    </font>
    <font>
      <b/>
      <sz val="8"/>
      <color indexed="9"/>
      <name val="Arial"/>
      <family val="2"/>
    </font>
    <font>
      <sz val="8"/>
      <color indexed="12"/>
      <name val="Arial Narrow"/>
      <family val="2"/>
    </font>
    <font>
      <sz val="8"/>
      <color indexed="55"/>
      <name val="Arial Narrow"/>
      <family val="2"/>
    </font>
    <font>
      <b/>
      <u/>
      <sz val="8"/>
      <color indexed="81"/>
      <name val="Tahoma"/>
      <family val="2"/>
    </font>
    <font>
      <u/>
      <sz val="8"/>
      <color indexed="81"/>
      <name val="Tahoma"/>
      <family val="2"/>
    </font>
    <font>
      <b/>
      <u/>
      <sz val="10"/>
      <color indexed="81"/>
      <name val="Tahoma"/>
      <family val="2"/>
    </font>
    <font>
      <sz val="10"/>
      <color indexed="8"/>
      <name val="Arial"/>
      <family val="2"/>
    </font>
    <font>
      <sz val="10"/>
      <color indexed="10"/>
      <name val="Arial"/>
      <family val="2"/>
    </font>
    <font>
      <sz val="8"/>
      <color rgb="FF000000"/>
      <name val="Tahoma"/>
      <family val="2"/>
    </font>
  </fonts>
  <fills count="2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41"/>
        <bgColor indexed="64"/>
      </patternFill>
    </fill>
    <fill>
      <patternFill patternType="solid">
        <fgColor indexed="15"/>
        <bgColor indexed="64"/>
      </patternFill>
    </fill>
    <fill>
      <patternFill patternType="solid">
        <fgColor indexed="22"/>
        <bgColor indexed="64"/>
      </patternFill>
    </fill>
    <fill>
      <patternFill patternType="solid">
        <fgColor indexed="47"/>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14"/>
        <bgColor indexed="64"/>
      </patternFill>
    </fill>
    <fill>
      <patternFill patternType="solid">
        <fgColor indexed="50"/>
        <bgColor indexed="64"/>
      </patternFill>
    </fill>
    <fill>
      <patternFill patternType="solid">
        <fgColor indexed="55"/>
        <bgColor indexed="64"/>
      </patternFill>
    </fill>
    <fill>
      <patternFill patternType="solid">
        <fgColor indexed="23"/>
        <bgColor indexed="64"/>
      </patternFill>
    </fill>
    <fill>
      <patternFill patternType="solid">
        <fgColor indexed="51"/>
        <bgColor indexed="64"/>
      </patternFill>
    </fill>
    <fill>
      <patternFill patternType="solid">
        <fgColor indexed="10"/>
        <bgColor indexed="64"/>
      </patternFill>
    </fill>
    <fill>
      <patternFill patternType="solid">
        <fgColor indexed="61"/>
        <bgColor indexed="64"/>
      </patternFill>
    </fill>
    <fill>
      <patternFill patternType="solid">
        <fgColor indexed="19"/>
        <bgColor indexed="64"/>
      </patternFill>
    </fill>
    <fill>
      <patternFill patternType="solid">
        <fgColor indexed="53"/>
        <bgColor indexed="64"/>
      </patternFill>
    </fill>
    <fill>
      <patternFill patternType="solid">
        <fgColor indexed="21"/>
        <bgColor indexed="64"/>
      </patternFill>
    </fill>
    <fill>
      <patternFill patternType="solid">
        <fgColor indexed="17"/>
        <bgColor indexed="64"/>
      </patternFill>
    </fill>
    <fill>
      <patternFill patternType="solid">
        <fgColor indexed="54"/>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205">
    <xf numFmtId="0" fontId="0" fillId="0" borderId="0" xfId="0"/>
    <xf numFmtId="0" fontId="0" fillId="0" borderId="0" xfId="0" applyAlignment="1">
      <alignment horizontal="right"/>
    </xf>
    <xf numFmtId="0" fontId="0" fillId="0" borderId="0" xfId="0" applyAlignment="1">
      <alignment horizontal="left"/>
    </xf>
    <xf numFmtId="0" fontId="4" fillId="0" borderId="0" xfId="0" applyFont="1"/>
    <xf numFmtId="0" fontId="4" fillId="0" borderId="0" xfId="0" applyFont="1" applyProtection="1"/>
    <xf numFmtId="0" fontId="6" fillId="0" borderId="0" xfId="0" applyFont="1" applyProtection="1"/>
    <xf numFmtId="0" fontId="7" fillId="0" borderId="0" xfId="0" applyFont="1"/>
    <xf numFmtId="0" fontId="8" fillId="0" borderId="0" xfId="0" applyFont="1"/>
    <xf numFmtId="0" fontId="4" fillId="0" borderId="1" xfId="0" applyFont="1" applyBorder="1" applyAlignment="1" applyProtection="1">
      <alignment horizontal="left"/>
    </xf>
    <xf numFmtId="0" fontId="4" fillId="0" borderId="1" xfId="0" applyFont="1" applyBorder="1" applyAlignment="1">
      <alignment horizontal="left"/>
    </xf>
    <xf numFmtId="0" fontId="10" fillId="0" borderId="0" xfId="0" applyFont="1"/>
    <xf numFmtId="0" fontId="4" fillId="0" borderId="0" xfId="0" applyFont="1" applyFill="1"/>
    <xf numFmtId="0" fontId="8" fillId="0" borderId="0" xfId="0" applyFont="1" applyAlignment="1">
      <alignment horizontal="right"/>
    </xf>
    <xf numFmtId="0" fontId="7" fillId="0" borderId="0" xfId="0" applyFont="1" applyProtection="1">
      <protection hidden="1"/>
    </xf>
    <xf numFmtId="0" fontId="0" fillId="0" borderId="0" xfId="0" applyProtection="1">
      <protection hidden="1"/>
    </xf>
    <xf numFmtId="0" fontId="8" fillId="0" borderId="0" xfId="0" applyFont="1" applyProtection="1">
      <protection hidden="1"/>
    </xf>
    <xf numFmtId="0" fontId="4" fillId="0" borderId="0" xfId="0" applyFont="1" applyProtection="1">
      <protection hidden="1"/>
    </xf>
    <xf numFmtId="2" fontId="5" fillId="0" borderId="0" xfId="0" applyNumberFormat="1" applyFont="1" applyAlignment="1" applyProtection="1">
      <alignment horizontal="right"/>
      <protection hidden="1"/>
    </xf>
    <xf numFmtId="0" fontId="5" fillId="0" borderId="0" xfId="0" applyFont="1" applyProtection="1">
      <protection hidden="1"/>
    </xf>
    <xf numFmtId="0" fontId="5" fillId="0" borderId="0" xfId="0" applyFont="1" applyAlignment="1" applyProtection="1">
      <alignment horizontal="right"/>
      <protection hidden="1"/>
    </xf>
    <xf numFmtId="165" fontId="5" fillId="0" borderId="0" xfId="0" applyNumberFormat="1" applyFont="1" applyAlignment="1" applyProtection="1">
      <alignment horizontal="right"/>
      <protection hidden="1"/>
    </xf>
    <xf numFmtId="165" fontId="5" fillId="0" borderId="0" xfId="0" applyNumberFormat="1" applyFont="1" applyFill="1" applyAlignment="1" applyProtection="1">
      <alignment horizontal="right"/>
      <protection hidden="1"/>
    </xf>
    <xf numFmtId="2" fontId="5" fillId="0" borderId="0" xfId="0" applyNumberFormat="1" applyFont="1" applyFill="1" applyAlignment="1" applyProtection="1">
      <alignment horizontal="right"/>
      <protection hidden="1"/>
    </xf>
    <xf numFmtId="2" fontId="5" fillId="0" borderId="0" xfId="0" applyNumberFormat="1" applyFont="1" applyProtection="1">
      <protection hidden="1"/>
    </xf>
    <xf numFmtId="0" fontId="5" fillId="0" borderId="1" xfId="0" applyFont="1" applyBorder="1" applyAlignment="1" applyProtection="1">
      <alignment horizontal="center"/>
      <protection hidden="1"/>
    </xf>
    <xf numFmtId="165" fontId="5" fillId="0" borderId="1" xfId="0" applyNumberFormat="1" applyFont="1" applyBorder="1" applyProtection="1">
      <protection hidden="1"/>
    </xf>
    <xf numFmtId="0" fontId="4" fillId="0" borderId="0" xfId="0" applyFont="1" applyFill="1" applyAlignment="1" applyProtection="1">
      <alignment horizontal="left"/>
      <protection hidden="1"/>
    </xf>
    <xf numFmtId="0" fontId="4" fillId="0" borderId="0" xfId="0" applyFont="1" applyAlignment="1" applyProtection="1">
      <alignment horizontal="right"/>
      <protection hidden="1"/>
    </xf>
    <xf numFmtId="2" fontId="5" fillId="0" borderId="1" xfId="0" applyNumberFormat="1" applyFont="1" applyBorder="1" applyAlignment="1" applyProtection="1">
      <alignment horizontal="right"/>
      <protection hidden="1"/>
    </xf>
    <xf numFmtId="0" fontId="8" fillId="0" borderId="0" xfId="0" applyFont="1" applyAlignment="1" applyProtection="1">
      <alignment horizontal="right"/>
      <protection hidden="1"/>
    </xf>
    <xf numFmtId="1" fontId="8" fillId="0" borderId="0" xfId="0" applyNumberFormat="1" applyFont="1" applyAlignment="1" applyProtection="1">
      <alignment horizontal="right"/>
      <protection hidden="1"/>
    </xf>
    <xf numFmtId="0" fontId="8" fillId="0" borderId="1" xfId="0" applyFont="1" applyBorder="1" applyAlignment="1" applyProtection="1">
      <alignment horizontal="center"/>
      <protection hidden="1"/>
    </xf>
    <xf numFmtId="2" fontId="8" fillId="0" borderId="1" xfId="0" applyNumberFormat="1" applyFont="1" applyBorder="1" applyProtection="1">
      <protection hidden="1"/>
    </xf>
    <xf numFmtId="164" fontId="8" fillId="0" borderId="1" xfId="0" applyNumberFormat="1" applyFont="1" applyBorder="1" applyProtection="1">
      <protection hidden="1"/>
    </xf>
    <xf numFmtId="165" fontId="8" fillId="0" borderId="0" xfId="0" applyNumberFormat="1" applyFont="1" applyAlignment="1" applyProtection="1">
      <alignment horizontal="right"/>
      <protection hidden="1"/>
    </xf>
    <xf numFmtId="0" fontId="5" fillId="0" borderId="2" xfId="0" applyFont="1" applyBorder="1" applyAlignment="1" applyProtection="1">
      <alignment horizontal="centerContinuous"/>
      <protection hidden="1"/>
    </xf>
    <xf numFmtId="0" fontId="4" fillId="0" borderId="1" xfId="0" applyFont="1" applyBorder="1" applyAlignment="1" applyProtection="1">
      <alignment horizontal="center"/>
      <protection locked="0"/>
    </xf>
    <xf numFmtId="0" fontId="4" fillId="0" borderId="1" xfId="0" applyFont="1" applyBorder="1"/>
    <xf numFmtId="0" fontId="4" fillId="0" borderId="0" xfId="0" applyFont="1" applyAlignment="1">
      <alignment horizontal="right"/>
    </xf>
    <xf numFmtId="1" fontId="5" fillId="0" borderId="0" xfId="0" applyNumberFormat="1" applyFont="1" applyFill="1" applyAlignment="1" applyProtection="1">
      <alignment horizontal="right"/>
      <protection hidden="1"/>
    </xf>
    <xf numFmtId="0" fontId="4" fillId="2" borderId="1" xfId="0" applyFont="1" applyFill="1" applyBorder="1" applyAlignment="1" applyProtection="1">
      <alignment horizontal="left"/>
      <protection hidden="1"/>
    </xf>
    <xf numFmtId="0" fontId="4" fillId="2" borderId="1" xfId="0" applyFont="1" applyFill="1" applyBorder="1" applyAlignment="1" applyProtection="1">
      <alignment horizontal="centerContinuous"/>
      <protection hidden="1"/>
    </xf>
    <xf numFmtId="2" fontId="4" fillId="2" borderId="1" xfId="0" applyNumberFormat="1" applyFont="1" applyFill="1" applyBorder="1" applyAlignment="1" applyProtection="1">
      <alignment horizontal="left"/>
      <protection hidden="1"/>
    </xf>
    <xf numFmtId="2" fontId="4" fillId="0" borderId="0" xfId="0" applyNumberFormat="1" applyFont="1" applyProtection="1">
      <protection hidden="1"/>
    </xf>
    <xf numFmtId="0" fontId="4" fillId="0" borderId="0" xfId="0" applyFont="1" applyBorder="1" applyProtection="1">
      <protection hidden="1"/>
    </xf>
    <xf numFmtId="0" fontId="0" fillId="3" borderId="0" xfId="0" applyFill="1"/>
    <xf numFmtId="0" fontId="0" fillId="0" borderId="1" xfId="0" applyBorder="1"/>
    <xf numFmtId="2" fontId="0" fillId="0" borderId="0" xfId="0" applyNumberFormat="1"/>
    <xf numFmtId="2" fontId="5" fillId="0" borderId="0" xfId="0" applyNumberFormat="1" applyFont="1" applyBorder="1" applyAlignment="1" applyProtection="1">
      <alignment horizontal="right"/>
      <protection hidden="1"/>
    </xf>
    <xf numFmtId="0" fontId="4" fillId="0" borderId="0" xfId="0" applyFont="1" applyAlignment="1" applyProtection="1">
      <protection hidden="1"/>
    </xf>
    <xf numFmtId="2" fontId="5" fillId="0" borderId="0" xfId="0" applyNumberFormat="1" applyFont="1" applyAlignment="1" applyProtection="1">
      <protection hidden="1"/>
    </xf>
    <xf numFmtId="1" fontId="5" fillId="0" borderId="0" xfId="0" applyNumberFormat="1" applyFont="1" applyFill="1" applyAlignment="1" applyProtection="1">
      <protection hidden="1"/>
    </xf>
    <xf numFmtId="0" fontId="16" fillId="0" borderId="0" xfId="0" applyFont="1" applyProtection="1">
      <protection hidden="1"/>
    </xf>
    <xf numFmtId="0" fontId="17" fillId="0" borderId="0" xfId="0" applyFont="1"/>
    <xf numFmtId="0" fontId="11" fillId="0" borderId="0" xfId="0" applyFont="1" applyAlignment="1" applyProtection="1">
      <alignment horizontal="right"/>
      <protection hidden="1"/>
    </xf>
    <xf numFmtId="0" fontId="11" fillId="0" borderId="0" xfId="0" applyFont="1" applyProtection="1">
      <protection hidden="1"/>
    </xf>
    <xf numFmtId="0" fontId="17" fillId="0" borderId="0" xfId="0" applyFont="1" applyProtection="1">
      <protection hidden="1"/>
    </xf>
    <xf numFmtId="0" fontId="16" fillId="0" borderId="0" xfId="0" applyFont="1"/>
    <xf numFmtId="0" fontId="18" fillId="0" borderId="0" xfId="0" applyFont="1" applyAlignment="1" applyProtection="1">
      <protection hidden="1"/>
    </xf>
    <xf numFmtId="0" fontId="18" fillId="0" borderId="0" xfId="0" applyFont="1" applyAlignment="1" applyProtection="1">
      <alignment horizontal="centerContinuous"/>
      <protection hidden="1"/>
    </xf>
    <xf numFmtId="0" fontId="18" fillId="0" borderId="0" xfId="0" applyFont="1" applyAlignment="1" applyProtection="1">
      <alignment horizontal="left"/>
      <protection hidden="1"/>
    </xf>
    <xf numFmtId="0" fontId="0" fillId="0" borderId="0" xfId="0" applyBorder="1" applyProtection="1">
      <protection hidden="1"/>
    </xf>
    <xf numFmtId="0" fontId="0" fillId="0" borderId="0" xfId="0" applyAlignment="1" applyProtection="1">
      <protection hidden="1"/>
    </xf>
    <xf numFmtId="0" fontId="0" fillId="0" borderId="1" xfId="0" applyBorder="1" applyProtection="1">
      <protection hidden="1"/>
    </xf>
    <xf numFmtId="0" fontId="4" fillId="0" borderId="3" xfId="0" applyFont="1" applyBorder="1" applyProtection="1">
      <protection locked="0"/>
    </xf>
    <xf numFmtId="0" fontId="10" fillId="0" borderId="4" xfId="0" applyFont="1" applyBorder="1"/>
    <xf numFmtId="0" fontId="4" fillId="0" borderId="5" xfId="0" applyFont="1" applyBorder="1" applyProtection="1">
      <protection locked="0"/>
    </xf>
    <xf numFmtId="0" fontId="20" fillId="0" borderId="0" xfId="0" applyFont="1" applyAlignment="1" applyProtection="1">
      <alignment horizontal="right"/>
    </xf>
    <xf numFmtId="0" fontId="20" fillId="0" borderId="0" xfId="0" applyFont="1" applyProtection="1"/>
    <xf numFmtId="2" fontId="4" fillId="0" borderId="0" xfId="0" applyNumberFormat="1" applyFont="1"/>
    <xf numFmtId="2" fontId="0" fillId="0" borderId="0" xfId="0" applyNumberFormat="1" applyProtection="1">
      <protection hidden="1"/>
    </xf>
    <xf numFmtId="0" fontId="5" fillId="0" borderId="0" xfId="0" applyFont="1" applyBorder="1" applyAlignment="1" applyProtection="1">
      <alignment horizontal="right"/>
      <protection hidden="1"/>
    </xf>
    <xf numFmtId="0" fontId="5" fillId="0" borderId="0" xfId="0" applyFont="1"/>
    <xf numFmtId="0" fontId="21" fillId="0" borderId="0" xfId="0" applyFont="1"/>
    <xf numFmtId="2" fontId="21" fillId="0" borderId="0" xfId="0" applyNumberFormat="1" applyFont="1" applyProtection="1">
      <protection hidden="1"/>
    </xf>
    <xf numFmtId="2" fontId="0" fillId="0" borderId="0" xfId="0" applyNumberFormat="1" applyBorder="1" applyProtection="1">
      <protection hidden="1"/>
    </xf>
    <xf numFmtId="0" fontId="4" fillId="2" borderId="1" xfId="0" applyFont="1" applyFill="1" applyBorder="1" applyAlignment="1" applyProtection="1">
      <protection locked="0" hidden="1"/>
    </xf>
    <xf numFmtId="0" fontId="4" fillId="0" borderId="6" xfId="0" applyFont="1" applyBorder="1"/>
    <xf numFmtId="0" fontId="4" fillId="0" borderId="0" xfId="0" applyFont="1" applyBorder="1"/>
    <xf numFmtId="0" fontId="0" fillId="0" borderId="6" xfId="0" applyBorder="1"/>
    <xf numFmtId="0" fontId="5" fillId="0" borderId="0" xfId="0" applyFont="1" applyBorder="1" applyAlignment="1" applyProtection="1">
      <alignment horizontal="centerContinuous"/>
      <protection hidden="1"/>
    </xf>
    <xf numFmtId="0" fontId="5" fillId="0" borderId="1" xfId="0" applyFont="1" applyBorder="1" applyAlignment="1" applyProtection="1">
      <alignment horizontal="centerContinuous"/>
      <protection hidden="1"/>
    </xf>
    <xf numFmtId="0" fontId="4" fillId="0" borderId="7" xfId="0" applyFont="1" applyBorder="1" applyAlignment="1" applyProtection="1">
      <alignment horizontal="center"/>
      <protection hidden="1"/>
    </xf>
    <xf numFmtId="0" fontId="0" fillId="0" borderId="1" xfId="0" applyBorder="1" applyProtection="1">
      <protection locked="0"/>
    </xf>
    <xf numFmtId="2" fontId="0" fillId="0" borderId="1" xfId="0" applyNumberFormat="1" applyBorder="1"/>
    <xf numFmtId="165" fontId="0" fillId="0" borderId="1" xfId="0" applyNumberFormat="1" applyBorder="1"/>
    <xf numFmtId="0" fontId="3" fillId="0" borderId="1" xfId="0" applyFont="1" applyBorder="1" applyAlignment="1">
      <alignment horizontal="center"/>
    </xf>
    <xf numFmtId="49" fontId="4" fillId="0" borderId="1" xfId="0" applyNumberFormat="1" applyFont="1" applyBorder="1"/>
    <xf numFmtId="2" fontId="5" fillId="0" borderId="8" xfId="0" applyNumberFormat="1" applyFont="1" applyBorder="1"/>
    <xf numFmtId="165" fontId="5" fillId="0" borderId="8" xfId="0" applyNumberFormat="1" applyFont="1" applyBorder="1"/>
    <xf numFmtId="0" fontId="0" fillId="2" borderId="1" xfId="0" applyFill="1" applyBorder="1"/>
    <xf numFmtId="0" fontId="0" fillId="2" borderId="1" xfId="0" applyFill="1" applyBorder="1" applyAlignment="1">
      <alignment horizontal="right"/>
    </xf>
    <xf numFmtId="0" fontId="3" fillId="0" borderId="0" xfId="0" applyFont="1"/>
    <xf numFmtId="0" fontId="3" fillId="0" borderId="1" xfId="0" applyFont="1" applyBorder="1"/>
    <xf numFmtId="0" fontId="0" fillId="2" borderId="1" xfId="0" applyFill="1" applyBorder="1" applyProtection="1">
      <protection locked="0"/>
    </xf>
    <xf numFmtId="164" fontId="0" fillId="2" borderId="1" xfId="0" applyNumberFormat="1" applyFill="1" applyBorder="1" applyProtection="1">
      <protection locked="0"/>
    </xf>
    <xf numFmtId="0" fontId="3" fillId="0" borderId="0" xfId="0" applyFont="1" applyProtection="1">
      <protection hidden="1"/>
    </xf>
    <xf numFmtId="0" fontId="2" fillId="0" borderId="0" xfId="0" applyFont="1" applyProtection="1">
      <protection hidden="1"/>
    </xf>
    <xf numFmtId="2" fontId="5" fillId="4" borderId="1" xfId="0" applyNumberFormat="1" applyFont="1" applyFill="1" applyBorder="1" applyAlignment="1" applyProtection="1">
      <alignment horizontal="right"/>
      <protection hidden="1"/>
    </xf>
    <xf numFmtId="165" fontId="5" fillId="2" borderId="1" xfId="0" applyNumberFormat="1" applyFont="1" applyFill="1" applyBorder="1" applyProtection="1">
      <protection hidden="1"/>
    </xf>
    <xf numFmtId="2" fontId="5" fillId="5" borderId="1" xfId="0" applyNumberFormat="1" applyFont="1" applyFill="1" applyBorder="1" applyAlignment="1" applyProtection="1">
      <alignment horizontal="right"/>
      <protection hidden="1"/>
    </xf>
    <xf numFmtId="165" fontId="5" fillId="3" borderId="1" xfId="0" applyNumberFormat="1" applyFont="1" applyFill="1" applyBorder="1" applyProtection="1">
      <protection hidden="1"/>
    </xf>
    <xf numFmtId="2" fontId="5" fillId="6" borderId="1" xfId="0" applyNumberFormat="1" applyFont="1" applyFill="1" applyBorder="1"/>
    <xf numFmtId="165" fontId="5" fillId="7" borderId="1" xfId="0" applyNumberFormat="1" applyFont="1" applyFill="1" applyBorder="1"/>
    <xf numFmtId="2" fontId="5" fillId="0" borderId="0" xfId="0" applyNumberFormat="1" applyFont="1" applyBorder="1"/>
    <xf numFmtId="2" fontId="5" fillId="2" borderId="1" xfId="0" applyNumberFormat="1" applyFont="1" applyFill="1" applyBorder="1"/>
    <xf numFmtId="0" fontId="5" fillId="2" borderId="1" xfId="0" applyFont="1" applyFill="1" applyBorder="1" applyAlignment="1" applyProtection="1">
      <alignment horizontal="center"/>
      <protection hidden="1"/>
    </xf>
    <xf numFmtId="0" fontId="4" fillId="2" borderId="1" xfId="0" applyFont="1" applyFill="1" applyBorder="1"/>
    <xf numFmtId="2" fontId="4" fillId="2" borderId="1" xfId="0" applyNumberFormat="1" applyFont="1" applyFill="1" applyBorder="1" applyProtection="1">
      <protection hidden="1"/>
    </xf>
    <xf numFmtId="0" fontId="4" fillId="2" borderId="1" xfId="0" applyFont="1" applyFill="1" applyBorder="1" applyProtection="1">
      <protection hidden="1"/>
    </xf>
    <xf numFmtId="2" fontId="4" fillId="2" borderId="1" xfId="0" applyNumberFormat="1" applyFont="1" applyFill="1" applyBorder="1"/>
    <xf numFmtId="0" fontId="5" fillId="2" borderId="9" xfId="0" applyFont="1" applyFill="1" applyBorder="1"/>
    <xf numFmtId="0" fontId="4" fillId="2" borderId="3" xfId="0" applyFont="1" applyFill="1" applyBorder="1"/>
    <xf numFmtId="0" fontId="4" fillId="2" borderId="10" xfId="0" applyFont="1" applyFill="1" applyBorder="1"/>
    <xf numFmtId="0" fontId="0" fillId="2" borderId="10" xfId="0" applyFill="1" applyBorder="1"/>
    <xf numFmtId="2" fontId="4" fillId="2" borderId="5" xfId="0" applyNumberFormat="1" applyFont="1" applyFill="1" applyBorder="1" applyProtection="1">
      <protection hidden="1"/>
    </xf>
    <xf numFmtId="0" fontId="0" fillId="0" borderId="0" xfId="0" applyBorder="1"/>
    <xf numFmtId="0" fontId="5" fillId="8" borderId="0" xfId="0" applyFont="1" applyFill="1" applyBorder="1" applyAlignment="1" applyProtection="1">
      <alignment horizontal="left"/>
      <protection locked="0"/>
    </xf>
    <xf numFmtId="0" fontId="4" fillId="0" borderId="0" xfId="0" applyFont="1" applyProtection="1">
      <protection locked="0"/>
    </xf>
    <xf numFmtId="165" fontId="5" fillId="0" borderId="1" xfId="0" applyNumberFormat="1" applyFont="1" applyBorder="1" applyProtection="1">
      <protection locked="0" hidden="1"/>
    </xf>
    <xf numFmtId="2" fontId="5" fillId="0" borderId="1" xfId="0" applyNumberFormat="1" applyFont="1" applyBorder="1" applyAlignment="1" applyProtection="1">
      <alignment horizontal="right"/>
      <protection locked="0" hidden="1"/>
    </xf>
    <xf numFmtId="49" fontId="4" fillId="2" borderId="1" xfId="0" applyNumberFormat="1" applyFont="1" applyFill="1" applyBorder="1" applyAlignment="1" applyProtection="1">
      <alignment horizontal="center"/>
      <protection locked="0"/>
    </xf>
    <xf numFmtId="0" fontId="4" fillId="3" borderId="1" xfId="0" applyFont="1" applyFill="1" applyBorder="1"/>
    <xf numFmtId="0" fontId="5" fillId="0" borderId="1" xfId="0" applyFont="1" applyBorder="1" applyAlignment="1">
      <alignment horizontal="center"/>
    </xf>
    <xf numFmtId="2" fontId="4" fillId="3" borderId="1" xfId="0" applyNumberFormat="1" applyFont="1" applyFill="1" applyBorder="1"/>
    <xf numFmtId="0" fontId="4" fillId="0" borderId="1" xfId="0" applyFont="1" applyBorder="1" applyProtection="1">
      <protection hidden="1"/>
    </xf>
    <xf numFmtId="0" fontId="4" fillId="0" borderId="0" xfId="0" applyFont="1" applyFill="1" applyBorder="1"/>
    <xf numFmtId="165" fontId="4" fillId="3" borderId="1" xfId="0" applyNumberFormat="1" applyFont="1" applyFill="1" applyBorder="1"/>
    <xf numFmtId="165" fontId="4" fillId="2" borderId="1" xfId="0" applyNumberFormat="1" applyFont="1" applyFill="1" applyBorder="1"/>
    <xf numFmtId="2" fontId="4" fillId="0" borderId="1" xfId="0" applyNumberFormat="1" applyFont="1" applyBorder="1" applyProtection="1">
      <protection hidden="1"/>
    </xf>
    <xf numFmtId="165" fontId="4" fillId="0" borderId="11" xfId="0" applyNumberFormat="1" applyFont="1" applyBorder="1" applyAlignment="1" applyProtection="1">
      <alignment horizontal="right"/>
      <protection hidden="1"/>
    </xf>
    <xf numFmtId="165" fontId="4" fillId="0" borderId="3" xfId="0" applyNumberFormat="1" applyFont="1" applyBorder="1" applyAlignment="1" applyProtection="1">
      <alignment horizontal="right"/>
      <protection hidden="1"/>
    </xf>
    <xf numFmtId="165" fontId="4" fillId="0" borderId="1" xfId="0" applyNumberFormat="1" applyFont="1" applyBorder="1" applyAlignment="1" applyProtection="1">
      <alignment horizontal="right"/>
      <protection hidden="1"/>
    </xf>
    <xf numFmtId="165" fontId="11" fillId="0" borderId="0" xfId="0" applyNumberFormat="1" applyFont="1" applyAlignment="1" applyProtection="1">
      <alignment horizontal="right"/>
      <protection hidden="1"/>
    </xf>
    <xf numFmtId="165" fontId="8" fillId="0" borderId="0" xfId="0" applyNumberFormat="1" applyFont="1" applyAlignment="1">
      <alignment horizontal="right"/>
    </xf>
    <xf numFmtId="0" fontId="26" fillId="0" borderId="1" xfId="0" applyFont="1" applyBorder="1"/>
    <xf numFmtId="165" fontId="28" fillId="0" borderId="0" xfId="0" applyNumberFormat="1" applyFont="1" applyBorder="1"/>
    <xf numFmtId="0" fontId="29" fillId="0" borderId="1" xfId="0" applyFont="1" applyBorder="1"/>
    <xf numFmtId="164" fontId="0" fillId="0" borderId="0" xfId="0" applyNumberFormat="1" applyProtection="1">
      <protection hidden="1"/>
    </xf>
    <xf numFmtId="164" fontId="0" fillId="0" borderId="1" xfId="0" applyNumberFormat="1" applyBorder="1" applyProtection="1">
      <protection hidden="1"/>
    </xf>
    <xf numFmtId="2" fontId="4" fillId="2" borderId="12" xfId="0" applyNumberFormat="1" applyFont="1" applyFill="1" applyBorder="1" applyProtection="1">
      <protection hidden="1"/>
    </xf>
    <xf numFmtId="0" fontId="0" fillId="2" borderId="13" xfId="0" applyFill="1" applyBorder="1" applyProtection="1">
      <protection hidden="1"/>
    </xf>
    <xf numFmtId="0" fontId="4" fillId="2" borderId="13" xfId="0" applyFont="1" applyFill="1" applyBorder="1" applyAlignment="1" applyProtection="1">
      <alignment horizontal="right"/>
      <protection hidden="1"/>
    </xf>
    <xf numFmtId="2" fontId="4" fillId="2" borderId="13" xfId="0" applyNumberFormat="1" applyFont="1" applyFill="1" applyBorder="1" applyProtection="1">
      <protection hidden="1"/>
    </xf>
    <xf numFmtId="0" fontId="4" fillId="2" borderId="9" xfId="0" applyFont="1" applyFill="1" applyBorder="1"/>
    <xf numFmtId="0" fontId="4" fillId="2" borderId="14" xfId="0" applyFont="1" applyFill="1" applyBorder="1"/>
    <xf numFmtId="0" fontId="0" fillId="9" borderId="1" xfId="0" applyFill="1" applyBorder="1" applyProtection="1">
      <protection hidden="1"/>
    </xf>
    <xf numFmtId="0" fontId="30" fillId="3" borderId="1" xfId="0" applyFont="1" applyFill="1" applyBorder="1" applyProtection="1">
      <protection hidden="1"/>
    </xf>
    <xf numFmtId="0" fontId="30" fillId="8" borderId="1" xfId="0" applyFont="1" applyFill="1" applyBorder="1" applyProtection="1">
      <protection hidden="1"/>
    </xf>
    <xf numFmtId="0" fontId="30" fillId="9" borderId="1" xfId="0" applyFont="1" applyFill="1" applyBorder="1" applyProtection="1">
      <protection hidden="1"/>
    </xf>
    <xf numFmtId="0" fontId="30" fillId="0" borderId="1" xfId="0" applyFont="1" applyBorder="1" applyProtection="1">
      <protection hidden="1"/>
    </xf>
    <xf numFmtId="2" fontId="30" fillId="0" borderId="11" xfId="0" applyNumberFormat="1" applyFont="1" applyBorder="1" applyProtection="1">
      <protection hidden="1"/>
    </xf>
    <xf numFmtId="0" fontId="30" fillId="2" borderId="1" xfId="0" applyFont="1" applyFill="1" applyBorder="1" applyProtection="1">
      <protection hidden="1"/>
    </xf>
    <xf numFmtId="0" fontId="30" fillId="10" borderId="1" xfId="0" applyFont="1" applyFill="1" applyBorder="1" applyProtection="1">
      <protection hidden="1"/>
    </xf>
    <xf numFmtId="0" fontId="4" fillId="11" borderId="1" xfId="0" applyFont="1" applyFill="1" applyBorder="1" applyAlignment="1" applyProtection="1">
      <alignment horizontal="left"/>
      <protection hidden="1"/>
    </xf>
    <xf numFmtId="0" fontId="4" fillId="11" borderId="1" xfId="0" applyFont="1" applyFill="1" applyBorder="1" applyProtection="1">
      <protection hidden="1"/>
    </xf>
    <xf numFmtId="2" fontId="8" fillId="3" borderId="1" xfId="0" applyNumberFormat="1" applyFont="1" applyFill="1" applyBorder="1" applyAlignment="1" applyProtection="1">
      <alignment horizontal="right"/>
      <protection hidden="1"/>
    </xf>
    <xf numFmtId="165" fontId="8" fillId="3" borderId="1" xfId="0" applyNumberFormat="1" applyFont="1" applyFill="1" applyBorder="1" applyAlignment="1" applyProtection="1">
      <alignment horizontal="right"/>
      <protection hidden="1"/>
    </xf>
    <xf numFmtId="1" fontId="8" fillId="9" borderId="1" xfId="0" applyNumberFormat="1" applyFont="1" applyFill="1" applyBorder="1" applyAlignment="1" applyProtection="1">
      <alignment horizontal="right"/>
      <protection hidden="1"/>
    </xf>
    <xf numFmtId="1" fontId="8" fillId="0" borderId="1" xfId="0" applyNumberFormat="1" applyFont="1" applyBorder="1" applyAlignment="1" applyProtection="1">
      <alignment horizontal="right"/>
      <protection hidden="1"/>
    </xf>
    <xf numFmtId="2" fontId="8" fillId="0" borderId="11" xfId="0" applyNumberFormat="1" applyFont="1" applyBorder="1" applyAlignment="1" applyProtection="1">
      <alignment horizontal="right"/>
      <protection hidden="1"/>
    </xf>
    <xf numFmtId="1" fontId="8" fillId="3" borderId="1" xfId="0" applyNumberFormat="1" applyFont="1" applyFill="1" applyBorder="1" applyAlignment="1" applyProtection="1">
      <alignment horizontal="right"/>
      <protection hidden="1"/>
    </xf>
    <xf numFmtId="0" fontId="0" fillId="0" borderId="0" xfId="0" applyAlignment="1" applyProtection="1">
      <alignment horizontal="left"/>
      <protection hidden="1"/>
    </xf>
    <xf numFmtId="0" fontId="4" fillId="5" borderId="1" xfId="0" applyFont="1" applyFill="1" applyBorder="1"/>
    <xf numFmtId="0" fontId="4" fillId="5" borderId="1" xfId="0" applyFont="1" applyFill="1" applyBorder="1" applyAlignment="1">
      <alignment horizontal="left"/>
    </xf>
    <xf numFmtId="0" fontId="0" fillId="9" borderId="0" xfId="0" applyFill="1" applyBorder="1" applyProtection="1">
      <protection hidden="1"/>
    </xf>
    <xf numFmtId="0" fontId="4" fillId="9" borderId="0" xfId="0" applyFont="1" applyFill="1" applyBorder="1"/>
    <xf numFmtId="0" fontId="5" fillId="9" borderId="2" xfId="0" applyFont="1" applyFill="1" applyBorder="1" applyAlignment="1" applyProtection="1">
      <alignment horizontal="centerContinuous"/>
      <protection hidden="1"/>
    </xf>
    <xf numFmtId="0" fontId="0" fillId="9" borderId="15" xfId="0" applyFill="1" applyBorder="1" applyAlignment="1" applyProtection="1">
      <alignment horizontal="centerContinuous"/>
      <protection hidden="1"/>
    </xf>
    <xf numFmtId="0" fontId="0" fillId="9" borderId="11" xfId="0" applyFill="1" applyBorder="1" applyAlignment="1" applyProtection="1">
      <alignment horizontal="centerContinuous"/>
      <protection hidden="1"/>
    </xf>
    <xf numFmtId="0" fontId="12" fillId="9" borderId="1" xfId="0" applyFont="1" applyFill="1" applyBorder="1" applyAlignment="1" applyProtection="1">
      <alignment horizontal="center"/>
      <protection hidden="1"/>
    </xf>
    <xf numFmtId="0" fontId="12" fillId="9" borderId="0" xfId="0" quotePrefix="1" applyFont="1" applyFill="1" applyBorder="1" applyAlignment="1" applyProtection="1">
      <alignment horizontal="center"/>
      <protection hidden="1"/>
    </xf>
    <xf numFmtId="0" fontId="19" fillId="9" borderId="9" xfId="0" applyFont="1" applyFill="1" applyBorder="1" applyAlignment="1" applyProtection="1">
      <alignment horizontal="centerContinuous"/>
      <protection hidden="1"/>
    </xf>
    <xf numFmtId="0" fontId="5" fillId="9" borderId="14" xfId="0" applyFont="1" applyFill="1" applyBorder="1" applyAlignment="1" applyProtection="1">
      <alignment horizontal="centerContinuous"/>
      <protection hidden="1"/>
    </xf>
    <xf numFmtId="0" fontId="5" fillId="9" borderId="3" xfId="0" applyFont="1" applyFill="1" applyBorder="1" applyAlignment="1" applyProtection="1">
      <alignment horizontal="centerContinuous"/>
      <protection hidden="1"/>
    </xf>
    <xf numFmtId="0" fontId="5" fillId="9" borderId="2" xfId="0" applyFont="1" applyFill="1" applyBorder="1"/>
    <xf numFmtId="0" fontId="4" fillId="9" borderId="11" xfId="0" applyFont="1" applyFill="1" applyBorder="1"/>
    <xf numFmtId="0" fontId="12" fillId="9" borderId="0" xfId="0" applyFont="1" applyFill="1" applyBorder="1" applyAlignment="1" applyProtection="1">
      <alignment horizontal="center"/>
      <protection hidden="1"/>
    </xf>
    <xf numFmtId="0" fontId="5" fillId="9" borderId="9" xfId="0" applyFont="1" applyFill="1" applyBorder="1" applyAlignment="1" applyProtection="1">
      <alignment horizontal="centerContinuous"/>
      <protection hidden="1"/>
    </xf>
    <xf numFmtId="0" fontId="5" fillId="9" borderId="14" xfId="0" applyFont="1" applyFill="1" applyBorder="1" applyAlignment="1" applyProtection="1">
      <alignment horizontal="right"/>
      <protection hidden="1"/>
    </xf>
    <xf numFmtId="164" fontId="5" fillId="9" borderId="16" xfId="0" applyNumberFormat="1" applyFont="1" applyFill="1" applyBorder="1" applyAlignment="1">
      <alignment horizontal="center"/>
    </xf>
    <xf numFmtId="0" fontId="22" fillId="9" borderId="2" xfId="0" applyFont="1" applyFill="1" applyBorder="1" applyAlignment="1">
      <alignment horizontal="center"/>
    </xf>
    <xf numFmtId="0" fontId="13" fillId="9" borderId="13" xfId="0" applyFont="1" applyFill="1" applyBorder="1" applyProtection="1">
      <protection hidden="1"/>
    </xf>
    <xf numFmtId="0" fontId="12" fillId="9" borderId="1" xfId="0" applyFont="1" applyFill="1" applyBorder="1" applyAlignment="1" applyProtection="1">
      <alignment horizontal="right"/>
      <protection hidden="1"/>
    </xf>
    <xf numFmtId="0" fontId="5" fillId="9" borderId="4" xfId="0" applyFont="1" applyFill="1" applyBorder="1" applyAlignment="1" applyProtection="1">
      <alignment horizontal="centerContinuous"/>
      <protection hidden="1"/>
    </xf>
    <xf numFmtId="0" fontId="5" fillId="9" borderId="12" xfId="0" applyFont="1" applyFill="1" applyBorder="1" applyAlignment="1" applyProtection="1">
      <alignment horizontal="centerContinuous"/>
      <protection hidden="1"/>
    </xf>
    <xf numFmtId="0" fontId="5" fillId="9" borderId="12" xfId="0" applyFont="1" applyFill="1" applyBorder="1" applyAlignment="1" applyProtection="1">
      <alignment horizontal="right"/>
      <protection hidden="1"/>
    </xf>
    <xf numFmtId="164" fontId="5" fillId="9" borderId="1" xfId="0" applyNumberFormat="1" applyFont="1" applyFill="1" applyBorder="1" applyAlignment="1">
      <alignment horizontal="center"/>
    </xf>
    <xf numFmtId="0" fontId="13" fillId="9" borderId="16" xfId="0" applyFont="1" applyFill="1" applyBorder="1" applyProtection="1">
      <protection hidden="1"/>
    </xf>
    <xf numFmtId="164" fontId="5" fillId="9" borderId="1" xfId="0" applyNumberFormat="1" applyFont="1" applyFill="1" applyBorder="1"/>
    <xf numFmtId="164" fontId="5" fillId="9" borderId="2" xfId="0" applyNumberFormat="1" applyFont="1" applyFill="1" applyBorder="1"/>
    <xf numFmtId="0" fontId="4" fillId="9" borderId="0" xfId="0" applyFont="1" applyFill="1" applyBorder="1" applyProtection="1">
      <protection hidden="1"/>
    </xf>
    <xf numFmtId="0" fontId="0" fillId="9" borderId="12" xfId="0" applyFill="1" applyBorder="1" applyProtection="1">
      <protection hidden="1"/>
    </xf>
    <xf numFmtId="0" fontId="4" fillId="9" borderId="1" xfId="0" applyFont="1" applyFill="1" applyBorder="1"/>
    <xf numFmtId="0" fontId="0" fillId="9" borderId="0" xfId="0" applyFill="1" applyBorder="1"/>
    <xf numFmtId="0" fontId="2" fillId="9" borderId="9" xfId="0" applyFont="1" applyFill="1" applyBorder="1" applyProtection="1">
      <protection hidden="1"/>
    </xf>
    <xf numFmtId="0" fontId="0" fillId="9" borderId="14" xfId="0" applyFill="1" applyBorder="1" applyProtection="1">
      <protection hidden="1"/>
    </xf>
    <xf numFmtId="0" fontId="4" fillId="9" borderId="14" xfId="0" applyFont="1" applyFill="1" applyBorder="1"/>
    <xf numFmtId="0" fontId="0" fillId="9" borderId="14" xfId="0" applyFill="1" applyBorder="1"/>
    <xf numFmtId="0" fontId="0" fillId="9" borderId="3" xfId="0" applyFill="1" applyBorder="1"/>
    <xf numFmtId="165" fontId="0" fillId="9" borderId="0" xfId="0" applyNumberFormat="1" applyFill="1" applyBorder="1" applyProtection="1">
      <protection hidden="1"/>
    </xf>
    <xf numFmtId="0" fontId="4" fillId="9" borderId="7" xfId="0" applyFont="1" applyFill="1" applyBorder="1"/>
    <xf numFmtId="0" fontId="0" fillId="9" borderId="10" xfId="0" applyFill="1" applyBorder="1" applyProtection="1">
      <protection hidden="1"/>
    </xf>
    <xf numFmtId="0" fontId="24" fillId="9" borderId="0" xfId="0" applyFont="1" applyFill="1" applyBorder="1" applyProtection="1">
      <protection hidden="1"/>
    </xf>
    <xf numFmtId="0" fontId="9" fillId="9" borderId="0" xfId="0" applyFont="1" applyFill="1" applyBorder="1" applyAlignment="1" applyProtection="1">
      <alignment horizontal="centerContinuous"/>
      <protection hidden="1"/>
    </xf>
    <xf numFmtId="0" fontId="4" fillId="9" borderId="10" xfId="0" applyFont="1" applyFill="1" applyBorder="1"/>
    <xf numFmtId="0" fontId="0" fillId="9" borderId="10" xfId="0" applyFill="1" applyBorder="1"/>
    <xf numFmtId="0" fontId="0" fillId="9" borderId="7" xfId="0" applyFill="1" applyBorder="1" applyProtection="1">
      <protection hidden="1"/>
    </xf>
    <xf numFmtId="0" fontId="2" fillId="9" borderId="0" xfId="0" applyFont="1" applyFill="1" applyBorder="1" applyProtection="1">
      <protection hidden="1"/>
    </xf>
    <xf numFmtId="0" fontId="0" fillId="9" borderId="7" xfId="0" applyFill="1" applyBorder="1"/>
    <xf numFmtId="0" fontId="4" fillId="9" borderId="7" xfId="0" applyFont="1" applyFill="1" applyBorder="1" applyProtection="1">
      <protection hidden="1"/>
    </xf>
    <xf numFmtId="0" fontId="0" fillId="9" borderId="4" xfId="0" applyFill="1" applyBorder="1"/>
    <xf numFmtId="0" fontId="0" fillId="9" borderId="12" xfId="0" applyFill="1" applyBorder="1"/>
    <xf numFmtId="0" fontId="0" fillId="9" borderId="5" xfId="0" applyFill="1" applyBorder="1" applyProtection="1">
      <protection hidden="1"/>
    </xf>
    <xf numFmtId="164" fontId="8" fillId="2" borderId="1" xfId="0" applyNumberFormat="1" applyFont="1" applyFill="1" applyBorder="1" applyAlignment="1" applyProtection="1">
      <alignment horizontal="right"/>
      <protection hidden="1"/>
    </xf>
    <xf numFmtId="164" fontId="4" fillId="3" borderId="1" xfId="0" applyNumberFormat="1" applyFont="1" applyFill="1" applyBorder="1"/>
    <xf numFmtId="164" fontId="4" fillId="2" borderId="1" xfId="0" applyNumberFormat="1" applyFont="1" applyFill="1" applyBorder="1"/>
    <xf numFmtId="0" fontId="4" fillId="12" borderId="1" xfId="0" applyFont="1" applyFill="1" applyBorder="1"/>
    <xf numFmtId="165" fontId="4" fillId="12" borderId="1" xfId="0" applyNumberFormat="1" applyFont="1" applyFill="1" applyBorder="1"/>
    <xf numFmtId="0" fontId="4" fillId="11" borderId="1" xfId="0" applyFont="1" applyFill="1" applyBorder="1"/>
    <xf numFmtId="165" fontId="4" fillId="11" borderId="1" xfId="0" applyNumberFormat="1" applyFont="1" applyFill="1" applyBorder="1"/>
    <xf numFmtId="165" fontId="4" fillId="9" borderId="1" xfId="0" applyNumberFormat="1" applyFont="1" applyFill="1" applyBorder="1"/>
    <xf numFmtId="14" fontId="4" fillId="11" borderId="1" xfId="0" applyNumberFormat="1" applyFont="1" applyFill="1" applyBorder="1" applyProtection="1">
      <protection hidden="1"/>
    </xf>
    <xf numFmtId="0" fontId="5" fillId="9" borderId="3" xfId="0" applyFont="1" applyFill="1" applyBorder="1" applyAlignment="1" applyProtection="1">
      <alignment horizontal="left"/>
      <protection hidden="1"/>
    </xf>
    <xf numFmtId="0" fontId="5" fillId="9" borderId="5" xfId="0" applyFont="1" applyFill="1" applyBorder="1" applyAlignment="1" applyProtection="1">
      <alignment horizontal="left"/>
      <protection hidden="1"/>
    </xf>
    <xf numFmtId="0" fontId="4" fillId="9" borderId="0" xfId="0" applyFont="1" applyFill="1" applyBorder="1" applyProtection="1"/>
    <xf numFmtId="2" fontId="5" fillId="11" borderId="1" xfId="0" applyNumberFormat="1" applyFont="1" applyFill="1" applyBorder="1"/>
    <xf numFmtId="2" fontId="0" fillId="3" borderId="1" xfId="0" applyNumberFormat="1" applyFill="1" applyBorder="1"/>
    <xf numFmtId="2" fontId="5" fillId="2" borderId="11" xfId="0" applyNumberFormat="1" applyFont="1" applyFill="1" applyBorder="1"/>
    <xf numFmtId="0" fontId="0" fillId="2" borderId="4" xfId="0" applyFill="1" applyBorder="1"/>
    <xf numFmtId="0" fontId="0" fillId="2" borderId="5" xfId="0" applyFill="1" applyBorder="1"/>
    <xf numFmtId="0" fontId="4" fillId="2" borderId="7" xfId="0" applyFont="1" applyFill="1" applyBorder="1" applyAlignment="1">
      <alignment horizontal="right"/>
    </xf>
    <xf numFmtId="165" fontId="5" fillId="11" borderId="1" xfId="0" applyNumberFormat="1" applyFont="1" applyFill="1" applyBorder="1"/>
    <xf numFmtId="2" fontId="8" fillId="2" borderId="1" xfId="0" applyNumberFormat="1" applyFont="1" applyFill="1" applyBorder="1" applyProtection="1">
      <protection hidden="1"/>
    </xf>
    <xf numFmtId="2" fontId="5" fillId="0" borderId="1" xfId="0" applyNumberFormat="1" applyFont="1" applyFill="1" applyBorder="1" applyAlignment="1" applyProtection="1">
      <alignment horizontal="right"/>
      <protection hidden="1"/>
    </xf>
    <xf numFmtId="2" fontId="11" fillId="0" borderId="0" xfId="0" applyNumberFormat="1" applyFont="1" applyProtection="1">
      <protection hidden="1"/>
    </xf>
    <xf numFmtId="2" fontId="5" fillId="0" borderId="8" xfId="0" applyNumberFormat="1" applyFont="1" applyFill="1" applyBorder="1"/>
    <xf numFmtId="165" fontId="5" fillId="0" borderId="8" xfId="0" applyNumberFormat="1" applyFont="1" applyFill="1" applyBorder="1"/>
    <xf numFmtId="2" fontId="0" fillId="0" borderId="0" xfId="0" applyNumberFormat="1" applyFill="1" applyProtection="1">
      <protection hidden="1"/>
    </xf>
    <xf numFmtId="0" fontId="0" fillId="0" borderId="0" xfId="0" applyFill="1" applyProtection="1">
      <protection hidden="1"/>
    </xf>
    <xf numFmtId="2" fontId="5" fillId="0" borderId="0" xfId="0" applyNumberFormat="1" applyFont="1" applyFill="1" applyProtection="1">
      <protection hidden="1"/>
    </xf>
    <xf numFmtId="2" fontId="0" fillId="0" borderId="0" xfId="0" applyNumberFormat="1" applyFill="1" applyBorder="1" applyProtection="1">
      <protection hidden="1"/>
    </xf>
    <xf numFmtId="2" fontId="21" fillId="0" borderId="0" xfId="0" applyNumberFormat="1" applyFont="1" applyFill="1" applyProtection="1">
      <protection hidden="1"/>
    </xf>
    <xf numFmtId="0" fontId="5" fillId="0" borderId="1" xfId="0" applyFont="1" applyFill="1" applyBorder="1" applyAlignment="1" applyProtection="1">
      <alignment horizontal="center"/>
      <protection hidden="1"/>
    </xf>
    <xf numFmtId="165" fontId="5" fillId="0" borderId="1" xfId="0" applyNumberFormat="1" applyFont="1" applyFill="1" applyBorder="1" applyProtection="1">
      <protection hidden="1"/>
    </xf>
    <xf numFmtId="0" fontId="18" fillId="0" borderId="0" xfId="0" applyFont="1" applyFill="1" applyAlignment="1" applyProtection="1">
      <alignment horizontal="left"/>
      <protection hidden="1"/>
    </xf>
    <xf numFmtId="0" fontId="4" fillId="0" borderId="0" xfId="0" applyFont="1" applyFill="1" applyProtection="1">
      <protection hidden="1"/>
    </xf>
    <xf numFmtId="0" fontId="4" fillId="0" borderId="0" xfId="0" applyFont="1" applyFill="1" applyAlignment="1" applyProtection="1">
      <alignment horizontal="right"/>
      <protection hidden="1"/>
    </xf>
    <xf numFmtId="2" fontId="5" fillId="0" borderId="0" xfId="0" applyNumberFormat="1" applyFont="1" applyProtection="1">
      <protection locked="0" hidden="1"/>
    </xf>
    <xf numFmtId="0" fontId="4" fillId="9" borderId="6" xfId="0" applyFont="1" applyFill="1" applyBorder="1"/>
    <xf numFmtId="0" fontId="5" fillId="0" borderId="0" xfId="0" applyFont="1" applyFill="1" applyProtection="1">
      <protection hidden="1"/>
    </xf>
    <xf numFmtId="0" fontId="0" fillId="9" borderId="0" xfId="0" applyFill="1"/>
    <xf numFmtId="0" fontId="0" fillId="9" borderId="1" xfId="0" applyFill="1" applyBorder="1"/>
    <xf numFmtId="164" fontId="4" fillId="9" borderId="1" xfId="0" applyNumberFormat="1" applyFont="1" applyFill="1" applyBorder="1"/>
    <xf numFmtId="0" fontId="4" fillId="2" borderId="4" xfId="0" applyFont="1" applyFill="1" applyBorder="1" applyAlignment="1" applyProtection="1">
      <alignment horizontal="left"/>
      <protection hidden="1"/>
    </xf>
    <xf numFmtId="0" fontId="31" fillId="0" borderId="0" xfId="0" applyFont="1" applyAlignment="1" applyProtection="1">
      <alignment horizontal="right"/>
      <protection hidden="1"/>
    </xf>
    <xf numFmtId="0" fontId="31" fillId="0" borderId="0" xfId="0" applyFont="1" applyProtection="1">
      <protection hidden="1"/>
    </xf>
    <xf numFmtId="0" fontId="10" fillId="0" borderId="0" xfId="0" applyFont="1" applyProtection="1">
      <protection hidden="1"/>
    </xf>
    <xf numFmtId="164" fontId="0" fillId="0" borderId="0" xfId="0" applyNumberFormat="1"/>
    <xf numFmtId="164" fontId="4" fillId="5" borderId="1" xfId="0" applyNumberFormat="1" applyFont="1" applyFill="1" applyBorder="1"/>
    <xf numFmtId="2" fontId="4" fillId="5" borderId="1" xfId="0" applyNumberFormat="1" applyFont="1" applyFill="1" applyBorder="1"/>
    <xf numFmtId="164" fontId="8" fillId="3" borderId="1" xfId="0" applyNumberFormat="1" applyFont="1" applyFill="1" applyBorder="1" applyAlignment="1" applyProtection="1">
      <alignment horizontal="right"/>
      <protection hidden="1"/>
    </xf>
    <xf numFmtId="0" fontId="30" fillId="3" borderId="1" xfId="0" applyFont="1" applyFill="1" applyBorder="1" applyAlignment="1" applyProtection="1">
      <alignment horizontal="left"/>
      <protection hidden="1"/>
    </xf>
    <xf numFmtId="2" fontId="30" fillId="3" borderId="1" xfId="0" applyNumberFormat="1" applyFont="1" applyFill="1" applyBorder="1" applyProtection="1">
      <protection hidden="1"/>
    </xf>
    <xf numFmtId="0" fontId="7" fillId="9" borderId="1" xfId="0" applyFont="1" applyFill="1" applyBorder="1"/>
    <xf numFmtId="164" fontId="30" fillId="9" borderId="1" xfId="0" applyNumberFormat="1" applyFont="1" applyFill="1" applyBorder="1"/>
    <xf numFmtId="165" fontId="5" fillId="0" borderId="1" xfId="0" applyNumberFormat="1" applyFont="1" applyFill="1" applyBorder="1" applyAlignment="1" applyProtection="1">
      <alignment horizontal="right"/>
      <protection hidden="1"/>
    </xf>
    <xf numFmtId="0" fontId="4" fillId="0" borderId="0" xfId="0" applyFont="1" applyAlignment="1">
      <alignment horizontal="center"/>
    </xf>
    <xf numFmtId="0" fontId="32" fillId="9" borderId="1" xfId="0" applyFont="1" applyFill="1" applyBorder="1"/>
    <xf numFmtId="2" fontId="32" fillId="9" borderId="1" xfId="0" applyNumberFormat="1" applyFont="1" applyFill="1" applyBorder="1"/>
    <xf numFmtId="0" fontId="33" fillId="9" borderId="0" xfId="0" applyFont="1" applyFill="1"/>
    <xf numFmtId="2" fontId="33" fillId="9" borderId="13" xfId="0" applyNumberFormat="1" applyFont="1" applyFill="1" applyBorder="1"/>
    <xf numFmtId="0" fontId="33" fillId="9" borderId="1" xfId="0" applyFont="1" applyFill="1" applyBorder="1"/>
    <xf numFmtId="0" fontId="34" fillId="9" borderId="1" xfId="0" applyFont="1" applyFill="1" applyBorder="1"/>
    <xf numFmtId="165" fontId="35" fillId="0" borderId="1" xfId="0" applyNumberFormat="1" applyFont="1" applyBorder="1" applyProtection="1">
      <protection hidden="1"/>
    </xf>
    <xf numFmtId="2" fontId="35" fillId="0" borderId="1" xfId="0" applyNumberFormat="1" applyFont="1" applyBorder="1" applyAlignment="1" applyProtection="1">
      <alignment horizontal="right"/>
      <protection hidden="1"/>
    </xf>
    <xf numFmtId="0" fontId="26" fillId="0" borderId="0" xfId="0" applyFont="1" applyProtection="1">
      <protection hidden="1"/>
    </xf>
    <xf numFmtId="2" fontId="35" fillId="0" borderId="0" xfId="0" applyNumberFormat="1" applyFont="1" applyBorder="1" applyAlignment="1" applyProtection="1">
      <alignment horizontal="right"/>
      <protection hidden="1"/>
    </xf>
    <xf numFmtId="0" fontId="26" fillId="0" borderId="0" xfId="0" applyFont="1"/>
    <xf numFmtId="0" fontId="36" fillId="0" borderId="0" xfId="0" applyFont="1"/>
    <xf numFmtId="0" fontId="0" fillId="2" borderId="0" xfId="0" applyFill="1"/>
    <xf numFmtId="0" fontId="37" fillId="9" borderId="1" xfId="0" applyFont="1" applyFill="1" applyBorder="1"/>
    <xf numFmtId="164" fontId="37" fillId="9" borderId="1" xfId="0" applyNumberFormat="1" applyFont="1" applyFill="1" applyBorder="1"/>
    <xf numFmtId="0" fontId="37" fillId="0" borderId="0" xfId="0" applyFont="1"/>
    <xf numFmtId="0" fontId="4" fillId="0" borderId="1" xfId="0" applyFont="1" applyFill="1" applyBorder="1" applyAlignment="1" applyProtection="1">
      <alignment horizontal="centerContinuous"/>
      <protection hidden="1"/>
    </xf>
    <xf numFmtId="0" fontId="38" fillId="9" borderId="1" xfId="0" applyFont="1" applyFill="1" applyBorder="1"/>
    <xf numFmtId="165" fontId="8" fillId="3" borderId="0" xfId="0" applyNumberFormat="1" applyFont="1" applyFill="1" applyAlignment="1" applyProtection="1">
      <alignment horizontal="right"/>
      <protection hidden="1"/>
    </xf>
    <xf numFmtId="165" fontId="8" fillId="2" borderId="0" xfId="0" applyNumberFormat="1" applyFont="1" applyFill="1" applyAlignment="1" applyProtection="1">
      <alignment horizontal="right"/>
      <protection hidden="1"/>
    </xf>
    <xf numFmtId="165" fontId="8" fillId="9" borderId="0" xfId="0" applyNumberFormat="1" applyFont="1" applyFill="1" applyAlignment="1" applyProtection="1">
      <alignment horizontal="right"/>
      <protection hidden="1"/>
    </xf>
    <xf numFmtId="165" fontId="8" fillId="10" borderId="0" xfId="0" applyNumberFormat="1" applyFont="1" applyFill="1" applyAlignment="1" applyProtection="1">
      <alignment horizontal="right"/>
      <protection hidden="1"/>
    </xf>
    <xf numFmtId="165" fontId="8" fillId="11" borderId="0" xfId="0" applyNumberFormat="1" applyFont="1" applyFill="1" applyAlignment="1" applyProtection="1">
      <alignment horizontal="right"/>
      <protection hidden="1"/>
    </xf>
    <xf numFmtId="165" fontId="8" fillId="2" borderId="1" xfId="0" applyNumberFormat="1" applyFont="1" applyFill="1" applyBorder="1" applyAlignment="1">
      <alignment horizontal="right"/>
    </xf>
    <xf numFmtId="0" fontId="8" fillId="2" borderId="1" xfId="0" applyFont="1" applyFill="1" applyBorder="1"/>
    <xf numFmtId="165" fontId="8" fillId="13" borderId="1" xfId="0" applyNumberFormat="1" applyFont="1" applyFill="1" applyBorder="1" applyAlignment="1">
      <alignment horizontal="right"/>
    </xf>
    <xf numFmtId="0" fontId="8" fillId="13" borderId="1" xfId="0" applyFont="1" applyFill="1" applyBorder="1"/>
    <xf numFmtId="0" fontId="5" fillId="9" borderId="1" xfId="0" applyFont="1" applyFill="1" applyBorder="1"/>
    <xf numFmtId="164" fontId="40" fillId="9" borderId="1" xfId="0" applyNumberFormat="1" applyFont="1" applyFill="1" applyBorder="1"/>
    <xf numFmtId="164" fontId="22" fillId="9" borderId="1" xfId="0" applyNumberFormat="1" applyFont="1" applyFill="1" applyBorder="1"/>
    <xf numFmtId="164" fontId="41" fillId="9" borderId="1" xfId="0" applyNumberFormat="1" applyFont="1" applyFill="1" applyBorder="1"/>
    <xf numFmtId="164" fontId="42" fillId="9" borderId="1" xfId="0" applyNumberFormat="1" applyFont="1" applyFill="1" applyBorder="1"/>
    <xf numFmtId="164" fontId="4" fillId="4" borderId="1" xfId="0" applyNumberFormat="1" applyFont="1" applyFill="1" applyBorder="1"/>
    <xf numFmtId="164" fontId="22" fillId="4" borderId="1" xfId="0" applyNumberFormat="1" applyFont="1" applyFill="1" applyBorder="1"/>
    <xf numFmtId="165" fontId="8" fillId="11" borderId="1" xfId="0" applyNumberFormat="1" applyFont="1" applyFill="1" applyBorder="1" applyAlignment="1">
      <alignment horizontal="right"/>
    </xf>
    <xf numFmtId="2" fontId="8" fillId="11" borderId="1" xfId="0" applyNumberFormat="1" applyFont="1" applyFill="1" applyBorder="1"/>
    <xf numFmtId="0" fontId="8" fillId="11" borderId="1" xfId="0" applyFont="1" applyFill="1" applyBorder="1"/>
    <xf numFmtId="2" fontId="4" fillId="0" borderId="1" xfId="0" applyNumberFormat="1" applyFont="1" applyBorder="1"/>
    <xf numFmtId="0" fontId="5" fillId="8" borderId="6" xfId="0" applyFont="1" applyFill="1" applyBorder="1" applyAlignment="1" applyProtection="1">
      <alignment horizontal="left"/>
      <protection locked="0"/>
    </xf>
    <xf numFmtId="0" fontId="4" fillId="8" borderId="6" xfId="0" applyFont="1" applyFill="1" applyBorder="1" applyAlignment="1" applyProtection="1">
      <alignment horizontal="left"/>
    </xf>
    <xf numFmtId="49" fontId="4" fillId="2" borderId="1" xfId="0" applyNumberFormat="1" applyFont="1" applyFill="1" applyBorder="1" applyAlignment="1" applyProtection="1">
      <alignment horizontal="center"/>
    </xf>
    <xf numFmtId="0" fontId="30" fillId="11" borderId="1" xfId="0" applyFont="1" applyFill="1" applyBorder="1" applyProtection="1">
      <protection hidden="1"/>
    </xf>
    <xf numFmtId="165" fontId="8" fillId="11" borderId="1" xfId="0" applyNumberFormat="1" applyFont="1" applyFill="1" applyBorder="1" applyAlignment="1" applyProtection="1">
      <alignment horizontal="right"/>
      <protection hidden="1"/>
    </xf>
    <xf numFmtId="0" fontId="0" fillId="3" borderId="1" xfId="0" applyFill="1" applyBorder="1"/>
    <xf numFmtId="0" fontId="30" fillId="5" borderId="1" xfId="0" applyFont="1" applyFill="1" applyBorder="1" applyProtection="1">
      <protection hidden="1"/>
    </xf>
    <xf numFmtId="1" fontId="4" fillId="3" borderId="1" xfId="0" applyNumberFormat="1" applyFont="1" applyFill="1" applyBorder="1"/>
    <xf numFmtId="0" fontId="46" fillId="3" borderId="1" xfId="0" applyFont="1" applyFill="1" applyBorder="1" applyProtection="1">
      <protection hidden="1"/>
    </xf>
    <xf numFmtId="1" fontId="4" fillId="2" borderId="1" xfId="0" applyNumberFormat="1" applyFont="1" applyFill="1" applyBorder="1"/>
    <xf numFmtId="1" fontId="4" fillId="9" borderId="1" xfId="0" applyNumberFormat="1" applyFont="1" applyFill="1" applyBorder="1"/>
    <xf numFmtId="0" fontId="30" fillId="12" borderId="1" xfId="0" applyFont="1" applyFill="1" applyBorder="1" applyProtection="1">
      <protection hidden="1"/>
    </xf>
    <xf numFmtId="164" fontId="30" fillId="12" borderId="1" xfId="0" applyNumberFormat="1" applyFont="1" applyFill="1" applyBorder="1"/>
    <xf numFmtId="165" fontId="30" fillId="12" borderId="1" xfId="0" applyNumberFormat="1" applyFont="1" applyFill="1" applyBorder="1"/>
    <xf numFmtId="164" fontId="30" fillId="10" borderId="1" xfId="0" applyNumberFormat="1" applyFont="1" applyFill="1" applyBorder="1" applyProtection="1">
      <protection hidden="1"/>
    </xf>
    <xf numFmtId="165" fontId="30" fillId="10" borderId="1" xfId="0" applyNumberFormat="1" applyFont="1" applyFill="1" applyBorder="1" applyProtection="1">
      <protection hidden="1"/>
    </xf>
    <xf numFmtId="2" fontId="30" fillId="10" borderId="1" xfId="0" applyNumberFormat="1" applyFont="1" applyFill="1" applyBorder="1" applyProtection="1">
      <protection hidden="1"/>
    </xf>
    <xf numFmtId="165" fontId="30" fillId="11" borderId="1" xfId="0" applyNumberFormat="1" applyFont="1" applyFill="1" applyBorder="1" applyProtection="1">
      <protection hidden="1"/>
    </xf>
    <xf numFmtId="164" fontId="30" fillId="11" borderId="1" xfId="0" applyNumberFormat="1" applyFont="1" applyFill="1" applyBorder="1" applyProtection="1">
      <protection hidden="1"/>
    </xf>
    <xf numFmtId="0" fontId="30" fillId="2" borderId="1" xfId="0" applyFont="1" applyFill="1" applyBorder="1"/>
    <xf numFmtId="165" fontId="30" fillId="2" borderId="1" xfId="0" applyNumberFormat="1" applyFont="1" applyFill="1" applyBorder="1"/>
    <xf numFmtId="164" fontId="30" fillId="2" borderId="1" xfId="0" applyNumberFormat="1" applyFont="1" applyFill="1" applyBorder="1"/>
    <xf numFmtId="0" fontId="30" fillId="10" borderId="1" xfId="0" applyFont="1" applyFill="1" applyBorder="1"/>
    <xf numFmtId="165" fontId="30" fillId="10" borderId="1" xfId="0" applyNumberFormat="1" applyFont="1" applyFill="1" applyBorder="1"/>
    <xf numFmtId="164" fontId="30" fillId="10" borderId="1" xfId="0" applyNumberFormat="1" applyFont="1" applyFill="1" applyBorder="1"/>
    <xf numFmtId="0" fontId="30" fillId="0" borderId="1" xfId="0" applyFont="1" applyFill="1" applyBorder="1" applyProtection="1">
      <protection hidden="1"/>
    </xf>
    <xf numFmtId="0" fontId="4" fillId="8" borderId="0" xfId="0" applyFont="1" applyFill="1" applyBorder="1"/>
    <xf numFmtId="0" fontId="4" fillId="8" borderId="17" xfId="0" applyFont="1" applyFill="1" applyBorder="1"/>
    <xf numFmtId="0" fontId="4" fillId="8" borderId="6" xfId="0" applyFont="1" applyFill="1" applyBorder="1"/>
    <xf numFmtId="0" fontId="6" fillId="9" borderId="18" xfId="0" applyFont="1" applyFill="1" applyBorder="1" applyProtection="1"/>
    <xf numFmtId="0" fontId="5" fillId="9" borderId="0" xfId="0" applyFont="1" applyFill="1" applyBorder="1" applyAlignment="1" applyProtection="1">
      <alignment horizontal="left"/>
      <protection locked="0"/>
    </xf>
    <xf numFmtId="0" fontId="5" fillId="9" borderId="6" xfId="0" applyFont="1" applyFill="1" applyBorder="1" applyAlignment="1" applyProtection="1">
      <alignment horizontal="left"/>
      <protection locked="0"/>
    </xf>
    <xf numFmtId="0" fontId="5" fillId="9" borderId="19" xfId="0" applyFont="1" applyFill="1" applyBorder="1" applyAlignment="1" applyProtection="1">
      <alignment horizontal="left"/>
      <protection locked="0"/>
    </xf>
    <xf numFmtId="0" fontId="4" fillId="8" borderId="0" xfId="0" applyFont="1" applyFill="1" applyBorder="1" applyAlignment="1">
      <alignment horizontal="left"/>
    </xf>
    <xf numFmtId="0" fontId="4" fillId="8" borderId="6" xfId="0" applyFont="1" applyFill="1" applyBorder="1" applyAlignment="1">
      <alignment horizontal="left"/>
    </xf>
    <xf numFmtId="0" fontId="0" fillId="8" borderId="6" xfId="0" applyFill="1" applyBorder="1"/>
    <xf numFmtId="0" fontId="0" fillId="8" borderId="19" xfId="0" applyFill="1" applyBorder="1"/>
    <xf numFmtId="0" fontId="0" fillId="9" borderId="20" xfId="0" applyFill="1" applyBorder="1"/>
    <xf numFmtId="0" fontId="0" fillId="9" borderId="20" xfId="0" applyFill="1" applyBorder="1" applyAlignment="1">
      <alignment horizontal="left"/>
    </xf>
    <xf numFmtId="0" fontId="0" fillId="9" borderId="21" xfId="0" applyFill="1" applyBorder="1"/>
    <xf numFmtId="0" fontId="0" fillId="9" borderId="22" xfId="0" applyFill="1" applyBorder="1"/>
    <xf numFmtId="0" fontId="4" fillId="2" borderId="16" xfId="0" applyFont="1" applyFill="1" applyBorder="1" applyAlignment="1">
      <alignment horizontal="centerContinuous"/>
    </xf>
    <xf numFmtId="0" fontId="4" fillId="3" borderId="11" xfId="0" applyFont="1" applyFill="1" applyBorder="1" applyAlignment="1" applyProtection="1">
      <alignment horizontal="left"/>
      <protection locked="0"/>
    </xf>
    <xf numFmtId="0" fontId="4" fillId="3" borderId="1" xfId="0" applyFont="1" applyFill="1" applyBorder="1" applyAlignment="1">
      <alignment horizontal="right"/>
    </xf>
    <xf numFmtId="0" fontId="30" fillId="3" borderId="1" xfId="0" applyFont="1" applyFill="1" applyBorder="1"/>
    <xf numFmtId="0" fontId="5" fillId="2" borderId="1" xfId="0" applyFont="1" applyFill="1" applyBorder="1" applyAlignment="1" applyProtection="1">
      <alignment horizontal="left"/>
      <protection locked="0"/>
    </xf>
    <xf numFmtId="0" fontId="31" fillId="2" borderId="1" xfId="0" applyFont="1" applyFill="1" applyBorder="1"/>
    <xf numFmtId="1" fontId="4" fillId="0" borderId="1" xfId="0" applyNumberFormat="1" applyFont="1" applyFill="1" applyBorder="1"/>
    <xf numFmtId="164" fontId="30" fillId="3" borderId="1" xfId="0" applyNumberFormat="1" applyFont="1" applyFill="1" applyBorder="1"/>
    <xf numFmtId="165" fontId="30" fillId="3" borderId="1" xfId="0" applyNumberFormat="1" applyFont="1" applyFill="1" applyBorder="1"/>
    <xf numFmtId="0" fontId="4" fillId="9" borderId="0" xfId="0" applyFont="1" applyFill="1"/>
    <xf numFmtId="0" fontId="30" fillId="3" borderId="13" xfId="0" applyFont="1" applyFill="1" applyBorder="1" applyProtection="1">
      <protection hidden="1"/>
    </xf>
    <xf numFmtId="1" fontId="8" fillId="9" borderId="16" xfId="0" applyNumberFormat="1" applyFont="1" applyFill="1" applyBorder="1" applyAlignment="1" applyProtection="1">
      <alignment horizontal="right"/>
      <protection hidden="1"/>
    </xf>
    <xf numFmtId="2" fontId="30" fillId="8" borderId="0" xfId="0" applyNumberFormat="1" applyFont="1" applyFill="1" applyBorder="1" applyProtection="1">
      <protection hidden="1"/>
    </xf>
    <xf numFmtId="2" fontId="30" fillId="10" borderId="13" xfId="0" applyNumberFormat="1" applyFont="1" applyFill="1" applyBorder="1" applyProtection="1">
      <protection hidden="1"/>
    </xf>
    <xf numFmtId="2" fontId="30" fillId="10" borderId="16" xfId="0" applyNumberFormat="1" applyFont="1" applyFill="1" applyBorder="1" applyProtection="1">
      <protection hidden="1"/>
    </xf>
    <xf numFmtId="2" fontId="30" fillId="12" borderId="0" xfId="0" applyNumberFormat="1" applyFont="1" applyFill="1" applyBorder="1" applyProtection="1">
      <protection hidden="1"/>
    </xf>
    <xf numFmtId="0" fontId="30" fillId="9" borderId="16" xfId="0" applyFont="1" applyFill="1" applyBorder="1" applyProtection="1">
      <protection hidden="1"/>
    </xf>
    <xf numFmtId="1" fontId="8" fillId="0" borderId="13" xfId="0" applyNumberFormat="1" applyFont="1" applyBorder="1" applyAlignment="1" applyProtection="1">
      <alignment horizontal="right"/>
      <protection hidden="1"/>
    </xf>
    <xf numFmtId="0" fontId="47" fillId="0" borderId="0" xfId="0" applyFont="1"/>
    <xf numFmtId="0" fontId="48" fillId="0" borderId="0" xfId="0" applyNumberFormat="1" applyFont="1" applyProtection="1">
      <protection hidden="1"/>
    </xf>
    <xf numFmtId="0" fontId="30" fillId="0" borderId="0" xfId="0" applyFont="1" applyAlignment="1" applyProtection="1">
      <alignment horizontal="left"/>
      <protection hidden="1"/>
    </xf>
    <xf numFmtId="2" fontId="5" fillId="2" borderId="8" xfId="0" applyNumberFormat="1" applyFont="1" applyFill="1" applyBorder="1"/>
    <xf numFmtId="165" fontId="5" fillId="2" borderId="8" xfId="0" applyNumberFormat="1" applyFont="1" applyFill="1" applyBorder="1"/>
    <xf numFmtId="0" fontId="4" fillId="2" borderId="4" xfId="0" applyFont="1" applyFill="1" applyBorder="1" applyProtection="1">
      <protection hidden="1"/>
    </xf>
    <xf numFmtId="0" fontId="12" fillId="2" borderId="1" xfId="0" applyFont="1" applyFill="1" applyBorder="1" applyAlignment="1" applyProtection="1">
      <alignment horizontal="center"/>
      <protection hidden="1"/>
    </xf>
    <xf numFmtId="0" fontId="4" fillId="9" borderId="14" xfId="0" applyFont="1" applyFill="1" applyBorder="1" applyAlignment="1">
      <alignment horizontal="left"/>
    </xf>
    <xf numFmtId="0" fontId="4" fillId="5" borderId="1" xfId="0" applyFont="1" applyFill="1" applyBorder="1" applyAlignment="1" applyProtection="1">
      <alignment horizontal="left"/>
      <protection hidden="1"/>
    </xf>
    <xf numFmtId="0" fontId="4" fillId="5" borderId="1" xfId="0" applyFont="1" applyFill="1" applyBorder="1" applyAlignment="1" applyProtection="1">
      <protection locked="0" hidden="1"/>
    </xf>
    <xf numFmtId="0" fontId="4" fillId="2" borderId="23" xfId="0" applyFont="1" applyFill="1" applyBorder="1" applyAlignment="1" applyProtection="1">
      <alignment horizontal="left"/>
      <protection hidden="1"/>
    </xf>
    <xf numFmtId="0" fontId="4" fillId="5" borderId="23" xfId="0" applyFont="1" applyFill="1" applyBorder="1" applyAlignment="1" applyProtection="1">
      <alignment horizontal="left"/>
      <protection hidden="1"/>
    </xf>
    <xf numFmtId="0" fontId="4" fillId="11" borderId="23" xfId="0" applyFont="1" applyFill="1" applyBorder="1" applyAlignment="1" applyProtection="1">
      <alignment horizontal="left"/>
      <protection hidden="1"/>
    </xf>
    <xf numFmtId="0" fontId="4" fillId="9" borderId="24" xfId="0" applyFont="1" applyFill="1" applyBorder="1" applyAlignment="1" applyProtection="1">
      <alignment horizontal="left"/>
      <protection hidden="1"/>
    </xf>
    <xf numFmtId="0" fontId="4" fillId="9" borderId="25" xfId="0" applyFont="1" applyFill="1" applyBorder="1" applyAlignment="1" applyProtection="1">
      <alignment horizontal="left"/>
      <protection hidden="1"/>
    </xf>
    <xf numFmtId="0" fontId="30" fillId="13" borderId="26" xfId="0" applyFont="1" applyFill="1" applyBorder="1"/>
    <xf numFmtId="0" fontId="30" fillId="13" borderId="27" xfId="0" applyFont="1" applyFill="1" applyBorder="1"/>
    <xf numFmtId="0" fontId="30" fillId="9" borderId="28" xfId="0" applyFont="1" applyFill="1" applyBorder="1"/>
    <xf numFmtId="0" fontId="4" fillId="11" borderId="1" xfId="0" applyFont="1" applyFill="1" applyBorder="1" applyAlignment="1" applyProtection="1">
      <alignment horizontal="left"/>
      <protection locked="0" hidden="1"/>
    </xf>
    <xf numFmtId="0" fontId="30" fillId="13" borderId="26" xfId="0" applyFont="1" applyFill="1" applyBorder="1" applyProtection="1">
      <protection locked="0"/>
    </xf>
    <xf numFmtId="0" fontId="49" fillId="9" borderId="29" xfId="0" applyFont="1" applyFill="1" applyBorder="1" applyProtection="1">
      <protection hidden="1"/>
    </xf>
    <xf numFmtId="165" fontId="5" fillId="9" borderId="17" xfId="0" applyNumberFormat="1" applyFont="1" applyFill="1" applyBorder="1" applyAlignment="1" applyProtection="1">
      <alignment horizontal="right"/>
      <protection hidden="1"/>
    </xf>
    <xf numFmtId="0" fontId="49" fillId="9" borderId="22" xfId="0" applyFont="1" applyFill="1" applyBorder="1" applyProtection="1">
      <protection hidden="1"/>
    </xf>
    <xf numFmtId="2" fontId="5" fillId="2" borderId="30" xfId="0" applyNumberFormat="1" applyFont="1" applyFill="1" applyBorder="1"/>
    <xf numFmtId="165" fontId="5" fillId="2" borderId="30" xfId="0" applyNumberFormat="1" applyFont="1" applyFill="1" applyBorder="1"/>
    <xf numFmtId="0" fontId="4" fillId="9" borderId="6" xfId="0" applyFont="1" applyFill="1" applyBorder="1" applyProtection="1">
      <protection hidden="1"/>
    </xf>
    <xf numFmtId="165" fontId="5" fillId="9" borderId="19" xfId="0" applyNumberFormat="1" applyFont="1" applyFill="1" applyBorder="1" applyAlignment="1" applyProtection="1">
      <alignment horizontal="right"/>
      <protection hidden="1"/>
    </xf>
    <xf numFmtId="0" fontId="0" fillId="9" borderId="29" xfId="0" applyFill="1" applyBorder="1"/>
    <xf numFmtId="0" fontId="0" fillId="9" borderId="17" xfId="0" applyFill="1" applyBorder="1"/>
    <xf numFmtId="2" fontId="5" fillId="2" borderId="31" xfId="0" applyNumberFormat="1" applyFont="1" applyFill="1" applyBorder="1"/>
    <xf numFmtId="165" fontId="5" fillId="2" borderId="31" xfId="0" applyNumberFormat="1" applyFont="1" applyFill="1" applyBorder="1"/>
    <xf numFmtId="0" fontId="4" fillId="9" borderId="1" xfId="0" applyFont="1" applyFill="1" applyBorder="1" applyAlignment="1">
      <alignment horizontal="left"/>
    </xf>
    <xf numFmtId="0" fontId="5" fillId="9" borderId="1" xfId="0" applyFont="1" applyFill="1" applyBorder="1" applyAlignment="1" applyProtection="1">
      <alignment horizontal="left"/>
      <protection locked="0"/>
    </xf>
    <xf numFmtId="0" fontId="4" fillId="9" borderId="1" xfId="0" applyFont="1" applyFill="1" applyBorder="1" applyAlignment="1" applyProtection="1">
      <alignment horizontal="right"/>
    </xf>
    <xf numFmtId="165" fontId="4" fillId="0" borderId="0" xfId="0" applyNumberFormat="1" applyFont="1"/>
    <xf numFmtId="165" fontId="8" fillId="3" borderId="1" xfId="0" applyNumberFormat="1" applyFont="1" applyFill="1" applyBorder="1" applyAlignment="1">
      <alignment horizontal="right"/>
    </xf>
    <xf numFmtId="164" fontId="8" fillId="3" borderId="1" xfId="0" applyNumberFormat="1" applyFont="1" applyFill="1" applyBorder="1"/>
    <xf numFmtId="0" fontId="8" fillId="3" borderId="1" xfId="0" applyFont="1" applyFill="1" applyBorder="1"/>
    <xf numFmtId="0" fontId="30" fillId="0" borderId="0" xfId="0" applyFont="1"/>
    <xf numFmtId="164" fontId="5" fillId="3" borderId="1" xfId="0" applyNumberFormat="1" applyFont="1" applyFill="1" applyBorder="1"/>
    <xf numFmtId="2" fontId="30" fillId="3" borderId="1" xfId="0" applyNumberFormat="1" applyFont="1" applyFill="1" applyBorder="1"/>
    <xf numFmtId="2" fontId="30" fillId="3" borderId="13" xfId="0" applyNumberFormat="1" applyFont="1" applyFill="1" applyBorder="1"/>
    <xf numFmtId="165" fontId="3" fillId="3" borderId="1" xfId="0" applyNumberFormat="1" applyFont="1" applyFill="1" applyBorder="1"/>
    <xf numFmtId="164" fontId="3" fillId="3" borderId="1" xfId="0" applyNumberFormat="1" applyFont="1" applyFill="1" applyBorder="1"/>
    <xf numFmtId="165" fontId="50" fillId="3" borderId="1" xfId="0" applyNumberFormat="1" applyFont="1" applyFill="1" applyBorder="1"/>
    <xf numFmtId="164" fontId="50" fillId="3" borderId="1" xfId="0" applyNumberFormat="1" applyFont="1" applyFill="1" applyBorder="1"/>
    <xf numFmtId="0" fontId="0" fillId="3" borderId="0" xfId="0" applyFill="1" applyBorder="1"/>
    <xf numFmtId="0" fontId="0" fillId="8" borderId="1" xfId="0" applyFill="1" applyBorder="1"/>
    <xf numFmtId="0" fontId="47" fillId="0" borderId="0" xfId="0" applyFont="1" applyFill="1"/>
    <xf numFmtId="1" fontId="5" fillId="3" borderId="1" xfId="0" applyNumberFormat="1" applyFont="1" applyFill="1" applyBorder="1" applyAlignment="1" applyProtection="1">
      <alignment horizontal="right"/>
      <protection hidden="1"/>
    </xf>
    <xf numFmtId="0" fontId="0" fillId="0" borderId="0" xfId="0" applyFill="1"/>
    <xf numFmtId="0" fontId="4" fillId="9" borderId="1" xfId="0" applyFont="1" applyFill="1" applyBorder="1" applyAlignment="1">
      <alignment horizontal="right"/>
    </xf>
    <xf numFmtId="0" fontId="0" fillId="13" borderId="1" xfId="0" applyFill="1" applyBorder="1"/>
    <xf numFmtId="0" fontId="30" fillId="13" borderId="1" xfId="0" applyFont="1" applyFill="1" applyBorder="1"/>
    <xf numFmtId="2" fontId="30" fillId="5" borderId="1" xfId="0" applyNumberFormat="1" applyFont="1" applyFill="1" applyBorder="1"/>
    <xf numFmtId="0" fontId="30" fillId="5" borderId="1" xfId="0" applyFont="1" applyFill="1" applyBorder="1"/>
    <xf numFmtId="165" fontId="30" fillId="5" borderId="1" xfId="0" applyNumberFormat="1" applyFont="1" applyFill="1" applyBorder="1"/>
    <xf numFmtId="2" fontId="30" fillId="13" borderId="1" xfId="0" applyNumberFormat="1" applyFont="1" applyFill="1" applyBorder="1"/>
    <xf numFmtId="165" fontId="30" fillId="13" borderId="1" xfId="0" applyNumberFormat="1" applyFont="1" applyFill="1" applyBorder="1"/>
    <xf numFmtId="165" fontId="4" fillId="5" borderId="1" xfId="0" applyNumberFormat="1" applyFont="1" applyFill="1" applyBorder="1"/>
    <xf numFmtId="0" fontId="30" fillId="13" borderId="1" xfId="0" applyFont="1" applyFill="1" applyBorder="1" applyAlignment="1">
      <alignment horizontal="right"/>
    </xf>
    <xf numFmtId="2" fontId="5" fillId="11" borderId="31" xfId="0" applyNumberFormat="1" applyFont="1" applyFill="1" applyBorder="1"/>
    <xf numFmtId="165" fontId="5" fillId="11" borderId="31" xfId="0" applyNumberFormat="1" applyFont="1" applyFill="1" applyBorder="1"/>
    <xf numFmtId="2" fontId="5" fillId="11" borderId="8" xfId="0" applyNumberFormat="1" applyFont="1" applyFill="1" applyBorder="1"/>
    <xf numFmtId="165" fontId="5" fillId="11" borderId="8" xfId="0" applyNumberFormat="1" applyFont="1" applyFill="1" applyBorder="1"/>
    <xf numFmtId="2" fontId="5" fillId="11" borderId="30" xfId="0" applyNumberFormat="1" applyFont="1" applyFill="1" applyBorder="1"/>
    <xf numFmtId="165" fontId="5" fillId="11" borderId="30" xfId="0" applyNumberFormat="1" applyFont="1" applyFill="1" applyBorder="1"/>
    <xf numFmtId="1" fontId="30" fillId="3" borderId="1" xfId="0" applyNumberFormat="1" applyFont="1" applyFill="1" applyBorder="1"/>
    <xf numFmtId="164" fontId="4" fillId="0" borderId="0" xfId="0" applyNumberFormat="1" applyFont="1" applyProtection="1"/>
    <xf numFmtId="0" fontId="30" fillId="9" borderId="1" xfId="0" applyFont="1" applyFill="1" applyBorder="1"/>
    <xf numFmtId="165" fontId="30" fillId="9" borderId="1" xfId="0" applyNumberFormat="1" applyFont="1" applyFill="1" applyBorder="1"/>
    <xf numFmtId="0" fontId="4" fillId="2" borderId="1" xfId="0" applyFont="1" applyFill="1" applyBorder="1" applyProtection="1"/>
    <xf numFmtId="0" fontId="4" fillId="2" borderId="1" xfId="0" applyFont="1" applyFill="1" applyBorder="1" applyAlignment="1" applyProtection="1">
      <alignment horizontal="right"/>
    </xf>
    <xf numFmtId="22" fontId="4" fillId="11" borderId="1" xfId="0" applyNumberFormat="1" applyFont="1" applyFill="1" applyBorder="1" applyProtection="1">
      <protection hidden="1"/>
    </xf>
    <xf numFmtId="0" fontId="4" fillId="0" borderId="10" xfId="0" applyFont="1" applyBorder="1" applyAlignment="1">
      <alignment horizontal="right"/>
    </xf>
    <xf numFmtId="0" fontId="4" fillId="8" borderId="1" xfId="0" applyFont="1" applyFill="1" applyBorder="1"/>
    <xf numFmtId="1" fontId="8" fillId="8" borderId="1" xfId="0" applyNumberFormat="1" applyFont="1" applyFill="1" applyBorder="1" applyAlignment="1">
      <alignment horizontal="right"/>
    </xf>
    <xf numFmtId="0" fontId="5" fillId="8" borderId="1" xfId="0" applyFont="1" applyFill="1" applyBorder="1"/>
    <xf numFmtId="0" fontId="5" fillId="8" borderId="1" xfId="0" applyFont="1" applyFill="1" applyBorder="1" applyProtection="1">
      <protection locked="0"/>
    </xf>
    <xf numFmtId="0" fontId="30" fillId="4" borderId="1" xfId="0" applyFont="1" applyFill="1" applyBorder="1"/>
    <xf numFmtId="0" fontId="30" fillId="11" borderId="1" xfId="0" applyFont="1" applyFill="1" applyBorder="1"/>
    <xf numFmtId="2" fontId="30" fillId="11" borderId="1" xfId="0" applyNumberFormat="1" applyFont="1" applyFill="1" applyBorder="1"/>
    <xf numFmtId="0" fontId="30" fillId="11" borderId="0" xfId="0" applyFont="1" applyFill="1"/>
    <xf numFmtId="0" fontId="30" fillId="11" borderId="9" xfId="0" applyFont="1" applyFill="1" applyBorder="1" applyAlignment="1">
      <alignment horizontal="right"/>
    </xf>
    <xf numFmtId="167" fontId="30" fillId="11" borderId="4" xfId="0" applyNumberFormat="1" applyFont="1" applyFill="1" applyBorder="1"/>
    <xf numFmtId="0" fontId="5" fillId="3" borderId="1" xfId="0" applyFont="1" applyFill="1" applyBorder="1"/>
    <xf numFmtId="2" fontId="5" fillId="5" borderId="1" xfId="0" applyNumberFormat="1" applyFont="1" applyFill="1" applyBorder="1" applyProtection="1">
      <protection hidden="1"/>
    </xf>
    <xf numFmtId="2" fontId="5" fillId="2" borderId="0" xfId="0" applyNumberFormat="1" applyFont="1" applyFill="1" applyBorder="1" applyProtection="1">
      <protection hidden="1"/>
    </xf>
    <xf numFmtId="2" fontId="5" fillId="13" borderId="1" xfId="0" applyNumberFormat="1" applyFont="1" applyFill="1" applyBorder="1"/>
    <xf numFmtId="0" fontId="4" fillId="9" borderId="1" xfId="0" applyFont="1" applyFill="1" applyBorder="1" applyAlignment="1" applyProtection="1">
      <alignment horizontal="center"/>
    </xf>
    <xf numFmtId="0" fontId="5" fillId="10" borderId="1" xfId="0" applyFont="1" applyFill="1" applyBorder="1" applyAlignment="1" applyProtection="1">
      <alignment horizontal="left"/>
      <protection locked="0"/>
    </xf>
    <xf numFmtId="0" fontId="5" fillId="14" borderId="1" xfId="0" applyFont="1" applyFill="1" applyBorder="1" applyAlignment="1" applyProtection="1">
      <alignment horizontal="left"/>
      <protection locked="0"/>
    </xf>
    <xf numFmtId="0" fontId="49" fillId="3" borderId="1" xfId="0" applyFont="1" applyFill="1" applyBorder="1"/>
    <xf numFmtId="0" fontId="0" fillId="3" borderId="11" xfId="0" applyFill="1" applyBorder="1"/>
    <xf numFmtId="0" fontId="0" fillId="0" borderId="1" xfId="0" applyFill="1" applyBorder="1"/>
    <xf numFmtId="0" fontId="24" fillId="9" borderId="14" xfId="0" applyFont="1" applyFill="1" applyBorder="1" applyProtection="1">
      <protection hidden="1"/>
    </xf>
    <xf numFmtId="0" fontId="30" fillId="4" borderId="13" xfId="0" applyFont="1" applyFill="1" applyBorder="1" applyProtection="1">
      <protection hidden="1"/>
    </xf>
    <xf numFmtId="0" fontId="4" fillId="13" borderId="1" xfId="0" applyFont="1" applyFill="1" applyBorder="1"/>
    <xf numFmtId="0" fontId="4" fillId="13" borderId="1" xfId="0" applyFont="1" applyFill="1" applyBorder="1" applyProtection="1">
      <protection locked="0"/>
    </xf>
    <xf numFmtId="0" fontId="30" fillId="11" borderId="1" xfId="0" applyNumberFormat="1" applyFont="1" applyFill="1" applyBorder="1"/>
    <xf numFmtId="0" fontId="5" fillId="2" borderId="4" xfId="0" applyFont="1" applyFill="1" applyBorder="1" applyAlignment="1">
      <alignment horizontal="center"/>
    </xf>
    <xf numFmtId="0" fontId="5" fillId="9" borderId="4" xfId="0" applyFont="1" applyFill="1" applyBorder="1" applyAlignment="1">
      <alignment horizontal="center"/>
    </xf>
    <xf numFmtId="0" fontId="5" fillId="10" borderId="4" xfId="0" applyFont="1" applyFill="1" applyBorder="1" applyAlignment="1">
      <alignment horizontal="center"/>
    </xf>
    <xf numFmtId="0" fontId="5" fillId="11" borderId="4" xfId="0" applyFont="1" applyFill="1" applyBorder="1" applyAlignment="1">
      <alignment horizontal="center"/>
    </xf>
    <xf numFmtId="0" fontId="4" fillId="15" borderId="1" xfId="0" applyFont="1" applyFill="1" applyBorder="1"/>
    <xf numFmtId="0" fontId="18" fillId="2" borderId="0" xfId="0" applyFont="1" applyFill="1" applyAlignment="1" applyProtection="1">
      <alignment horizontal="left"/>
      <protection hidden="1"/>
    </xf>
    <xf numFmtId="0" fontId="18" fillId="2" borderId="0" xfId="0" applyFont="1" applyFill="1" applyAlignment="1" applyProtection="1">
      <protection hidden="1"/>
    </xf>
    <xf numFmtId="0" fontId="0" fillId="2" borderId="0" xfId="0" applyFill="1" applyProtection="1">
      <protection hidden="1"/>
    </xf>
    <xf numFmtId="0" fontId="18" fillId="2" borderId="0" xfId="0" applyFont="1" applyFill="1" applyAlignment="1" applyProtection="1">
      <alignment horizontal="centerContinuous"/>
      <protection hidden="1"/>
    </xf>
    <xf numFmtId="0" fontId="18" fillId="11" borderId="0" xfId="0" applyFont="1" applyFill="1" applyAlignment="1" applyProtection="1">
      <alignment horizontal="left"/>
      <protection hidden="1"/>
    </xf>
    <xf numFmtId="0" fontId="0" fillId="11" borderId="0" xfId="0" applyFill="1"/>
    <xf numFmtId="0" fontId="30" fillId="13" borderId="1" xfId="0" applyFont="1" applyFill="1" applyBorder="1" applyProtection="1">
      <protection hidden="1"/>
    </xf>
    <xf numFmtId="166" fontId="8" fillId="3" borderId="1" xfId="0" applyNumberFormat="1" applyFont="1" applyFill="1" applyBorder="1" applyAlignment="1" applyProtection="1">
      <alignment horizontal="left"/>
      <protection hidden="1"/>
    </xf>
    <xf numFmtId="0" fontId="30" fillId="2" borderId="13" xfId="0" applyFont="1" applyFill="1" applyBorder="1" applyProtection="1">
      <protection hidden="1"/>
    </xf>
    <xf numFmtId="0" fontId="30" fillId="2" borderId="16" xfId="0" applyFont="1" applyFill="1" applyBorder="1" applyProtection="1">
      <protection hidden="1"/>
    </xf>
    <xf numFmtId="0" fontId="30" fillId="3" borderId="16" xfId="0" applyFont="1" applyFill="1" applyBorder="1" applyProtection="1">
      <protection hidden="1"/>
    </xf>
    <xf numFmtId="0" fontId="30" fillId="9" borderId="13" xfId="0" applyFont="1" applyFill="1" applyBorder="1" applyProtection="1">
      <protection hidden="1"/>
    </xf>
    <xf numFmtId="2" fontId="4" fillId="12" borderId="1" xfId="0" applyNumberFormat="1" applyFont="1" applyFill="1" applyBorder="1"/>
    <xf numFmtId="0" fontId="30" fillId="0" borderId="1" xfId="0" applyFont="1" applyBorder="1"/>
    <xf numFmtId="0" fontId="30" fillId="4" borderId="1" xfId="0" applyFont="1" applyFill="1" applyBorder="1" applyProtection="1">
      <protection hidden="1"/>
    </xf>
    <xf numFmtId="164" fontId="4" fillId="11" borderId="1" xfId="0" applyNumberFormat="1" applyFont="1" applyFill="1" applyBorder="1"/>
    <xf numFmtId="0" fontId="4" fillId="15" borderId="1" xfId="0" applyFont="1" applyFill="1" applyBorder="1" applyProtection="1"/>
    <xf numFmtId="0" fontId="4" fillId="8" borderId="15" xfId="0" applyFont="1" applyFill="1" applyBorder="1" applyAlignment="1" applyProtection="1"/>
    <xf numFmtId="0" fontId="4" fillId="8" borderId="2" xfId="0" applyFont="1" applyFill="1" applyBorder="1" applyAlignment="1" applyProtection="1">
      <alignment horizontal="left"/>
    </xf>
    <xf numFmtId="0" fontId="4" fillId="2" borderId="1" xfId="0" applyFont="1" applyFill="1" applyBorder="1" applyAlignment="1" applyProtection="1">
      <alignment horizontal="center"/>
    </xf>
    <xf numFmtId="0" fontId="4" fillId="3" borderId="1"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12" borderId="1" xfId="0" applyFont="1" applyFill="1" applyBorder="1" applyAlignment="1">
      <alignment horizontal="center"/>
    </xf>
    <xf numFmtId="0" fontId="4" fillId="16" borderId="1" xfId="0" applyFont="1" applyFill="1" applyBorder="1" applyAlignment="1" applyProtection="1">
      <alignment horizontal="center"/>
    </xf>
    <xf numFmtId="0" fontId="5" fillId="16" borderId="1" xfId="0" applyFont="1" applyFill="1" applyBorder="1" applyAlignment="1" applyProtection="1">
      <alignment horizontal="center"/>
    </xf>
    <xf numFmtId="0" fontId="18" fillId="8" borderId="0" xfId="0" applyFont="1" applyFill="1" applyAlignment="1" applyProtection="1">
      <alignment horizontal="left"/>
      <protection hidden="1"/>
    </xf>
    <xf numFmtId="0" fontId="0" fillId="8" borderId="0" xfId="0" applyFill="1"/>
    <xf numFmtId="0" fontId="4" fillId="15" borderId="1" xfId="0" applyFont="1" applyFill="1" applyBorder="1" applyAlignment="1" applyProtection="1">
      <alignment horizontal="left"/>
    </xf>
    <xf numFmtId="0" fontId="4" fillId="15" borderId="1" xfId="0" applyFont="1" applyFill="1" applyBorder="1" applyAlignment="1" applyProtection="1"/>
    <xf numFmtId="0" fontId="4" fillId="15" borderId="13" xfId="0" applyFont="1" applyFill="1" applyBorder="1" applyAlignment="1" applyProtection="1">
      <alignment horizontal="left"/>
    </xf>
    <xf numFmtId="0" fontId="4" fillId="15" borderId="13" xfId="0" applyFont="1" applyFill="1" applyBorder="1" applyAlignment="1" applyProtection="1"/>
    <xf numFmtId="0" fontId="5" fillId="14" borderId="4" xfId="0" applyFont="1" applyFill="1" applyBorder="1" applyAlignment="1">
      <alignment horizontal="center"/>
    </xf>
    <xf numFmtId="0" fontId="4" fillId="12" borderId="0" xfId="0" applyFont="1" applyFill="1"/>
    <xf numFmtId="0" fontId="5" fillId="12" borderId="1" xfId="0" applyFont="1" applyFill="1" applyBorder="1" applyAlignment="1" applyProtection="1">
      <alignment horizontal="left"/>
      <protection locked="0"/>
    </xf>
    <xf numFmtId="2" fontId="5" fillId="5" borderId="8" xfId="0" applyNumberFormat="1" applyFont="1" applyFill="1" applyBorder="1"/>
    <xf numFmtId="165" fontId="5" fillId="5" borderId="8" xfId="0" applyNumberFormat="1" applyFont="1" applyFill="1" applyBorder="1"/>
    <xf numFmtId="2" fontId="5" fillId="13" borderId="8" xfId="0" applyNumberFormat="1" applyFont="1" applyFill="1" applyBorder="1"/>
    <xf numFmtId="165" fontId="5" fillId="13" borderId="8" xfId="0" applyNumberFormat="1" applyFont="1" applyFill="1" applyBorder="1"/>
    <xf numFmtId="165" fontId="5" fillId="5" borderId="31" xfId="0" applyNumberFormat="1" applyFont="1" applyFill="1" applyBorder="1"/>
    <xf numFmtId="165" fontId="5" fillId="13" borderId="31" xfId="0" applyNumberFormat="1" applyFont="1" applyFill="1" applyBorder="1"/>
    <xf numFmtId="2" fontId="5" fillId="5" borderId="30" xfId="0" applyNumberFormat="1" applyFont="1" applyFill="1" applyBorder="1"/>
    <xf numFmtId="165" fontId="5" fillId="5" borderId="30" xfId="0" applyNumberFormat="1" applyFont="1" applyFill="1" applyBorder="1"/>
    <xf numFmtId="2" fontId="5" fillId="13" borderId="30" xfId="0" applyNumberFormat="1" applyFont="1" applyFill="1" applyBorder="1"/>
    <xf numFmtId="165" fontId="5" fillId="13" borderId="30" xfId="0" applyNumberFormat="1" applyFont="1" applyFill="1" applyBorder="1"/>
    <xf numFmtId="2" fontId="5" fillId="9" borderId="19" xfId="0" applyNumberFormat="1" applyFont="1" applyFill="1" applyBorder="1" applyAlignment="1" applyProtection="1">
      <alignment horizontal="right"/>
      <protection hidden="1"/>
    </xf>
    <xf numFmtId="2" fontId="0" fillId="5" borderId="1" xfId="0" applyNumberFormat="1" applyFill="1" applyBorder="1"/>
    <xf numFmtId="2" fontId="0" fillId="13" borderId="1" xfId="0" applyNumberFormat="1" applyFill="1" applyBorder="1"/>
    <xf numFmtId="0" fontId="0" fillId="2" borderId="1" xfId="0" applyFill="1" applyBorder="1" applyAlignment="1">
      <alignment horizontal="center"/>
    </xf>
    <xf numFmtId="0" fontId="7" fillId="15" borderId="32" xfId="0" applyFont="1" applyFill="1" applyBorder="1"/>
    <xf numFmtId="2" fontId="32" fillId="15" borderId="1" xfId="0" applyNumberFormat="1" applyFont="1" applyFill="1" applyBorder="1"/>
    <xf numFmtId="164" fontId="40" fillId="15" borderId="1" xfId="0" applyNumberFormat="1" applyFont="1" applyFill="1" applyBorder="1"/>
    <xf numFmtId="164" fontId="4" fillId="15" borderId="1" xfId="0" applyNumberFormat="1" applyFont="1" applyFill="1" applyBorder="1"/>
    <xf numFmtId="164" fontId="30" fillId="15" borderId="1" xfId="0" applyNumberFormat="1" applyFont="1" applyFill="1" applyBorder="1"/>
    <xf numFmtId="164" fontId="5" fillId="15" borderId="1" xfId="0" applyNumberFormat="1" applyFont="1" applyFill="1" applyBorder="1"/>
    <xf numFmtId="2" fontId="33" fillId="15" borderId="13" xfId="0" applyNumberFormat="1" applyFont="1" applyFill="1" applyBorder="1"/>
    <xf numFmtId="164" fontId="42" fillId="15" borderId="1" xfId="0" applyNumberFormat="1" applyFont="1" applyFill="1" applyBorder="1"/>
    <xf numFmtId="164" fontId="22" fillId="15" borderId="1" xfId="0" applyNumberFormat="1" applyFont="1" applyFill="1" applyBorder="1"/>
    <xf numFmtId="164" fontId="37" fillId="15" borderId="1" xfId="0" applyNumberFormat="1" applyFont="1" applyFill="1" applyBorder="1"/>
    <xf numFmtId="164" fontId="41" fillId="15" borderId="1" xfId="0" applyNumberFormat="1" applyFont="1" applyFill="1" applyBorder="1"/>
    <xf numFmtId="0" fontId="7" fillId="9" borderId="0" xfId="0" applyFont="1" applyFill="1" applyBorder="1"/>
    <xf numFmtId="2" fontId="32" fillId="9" borderId="0" xfId="0" applyNumberFormat="1" applyFont="1" applyFill="1" applyBorder="1"/>
    <xf numFmtId="164" fontId="40" fillId="9" borderId="0" xfId="0" applyNumberFormat="1" applyFont="1" applyFill="1" applyBorder="1"/>
    <xf numFmtId="164" fontId="4" fillId="9" borderId="0" xfId="0" applyNumberFormat="1" applyFont="1" applyFill="1" applyBorder="1"/>
    <xf numFmtId="164" fontId="30" fillId="9" borderId="0" xfId="0" applyNumberFormat="1" applyFont="1" applyFill="1" applyBorder="1"/>
    <xf numFmtId="164" fontId="5" fillId="9" borderId="0" xfId="0" applyNumberFormat="1" applyFont="1" applyFill="1" applyBorder="1"/>
    <xf numFmtId="2" fontId="33" fillId="9" borderId="0" xfId="0" applyNumberFormat="1" applyFont="1" applyFill="1" applyBorder="1"/>
    <xf numFmtId="164" fontId="42" fillId="9" borderId="0" xfId="0" applyNumberFormat="1" applyFont="1" applyFill="1" applyBorder="1"/>
    <xf numFmtId="164" fontId="22" fillId="9" borderId="0" xfId="0" applyNumberFormat="1" applyFont="1" applyFill="1" applyBorder="1"/>
    <xf numFmtId="164" fontId="37" fillId="9" borderId="0" xfId="0" applyNumberFormat="1" applyFont="1" applyFill="1" applyBorder="1"/>
    <xf numFmtId="164" fontId="41" fillId="9" borderId="0" xfId="0" applyNumberFormat="1" applyFont="1" applyFill="1" applyBorder="1"/>
    <xf numFmtId="165" fontId="8" fillId="15" borderId="1" xfId="0" applyNumberFormat="1" applyFont="1" applyFill="1" applyBorder="1" applyAlignment="1">
      <alignment horizontal="right"/>
    </xf>
    <xf numFmtId="0" fontId="0" fillId="15" borderId="1" xfId="0" applyFill="1" applyBorder="1"/>
    <xf numFmtId="2" fontId="8" fillId="15" borderId="1" xfId="0" applyNumberFormat="1" applyFont="1" applyFill="1" applyBorder="1"/>
    <xf numFmtId="0" fontId="4" fillId="17" borderId="1" xfId="0" applyFont="1" applyFill="1" applyBorder="1"/>
    <xf numFmtId="0" fontId="5" fillId="17" borderId="1" xfId="0" applyFont="1" applyFill="1" applyBorder="1" applyAlignment="1" applyProtection="1">
      <alignment horizontal="left"/>
      <protection locked="0"/>
    </xf>
    <xf numFmtId="0" fontId="4" fillId="17" borderId="1" xfId="0" applyFont="1" applyFill="1" applyBorder="1" applyProtection="1"/>
    <xf numFmtId="0" fontId="0" fillId="0" borderId="32" xfId="0" applyFill="1" applyBorder="1"/>
    <xf numFmtId="0" fontId="30" fillId="12" borderId="1" xfId="0" applyFont="1" applyFill="1" applyBorder="1"/>
    <xf numFmtId="165" fontId="30" fillId="11" borderId="1" xfId="0" applyNumberFormat="1" applyFont="1" applyFill="1" applyBorder="1"/>
    <xf numFmtId="164" fontId="30" fillId="11" borderId="1" xfId="0" applyNumberFormat="1" applyFont="1" applyFill="1" applyBorder="1"/>
    <xf numFmtId="164" fontId="5" fillId="2" borderId="1" xfId="0" applyNumberFormat="1" applyFont="1" applyFill="1" applyBorder="1" applyProtection="1">
      <protection hidden="1"/>
    </xf>
    <xf numFmtId="164" fontId="5" fillId="5" borderId="1" xfId="0" applyNumberFormat="1" applyFont="1" applyFill="1" applyBorder="1" applyProtection="1">
      <protection hidden="1"/>
    </xf>
    <xf numFmtId="164" fontId="5" fillId="11" borderId="1" xfId="0" applyNumberFormat="1" applyFont="1" applyFill="1" applyBorder="1" applyProtection="1">
      <protection hidden="1"/>
    </xf>
    <xf numFmtId="164" fontId="5" fillId="13" borderId="1" xfId="0" applyNumberFormat="1" applyFont="1" applyFill="1" applyBorder="1" applyProtection="1">
      <protection hidden="1"/>
    </xf>
    <xf numFmtId="164" fontId="30" fillId="8" borderId="15" xfId="0" applyNumberFormat="1" applyFont="1" applyFill="1" applyBorder="1" applyProtection="1">
      <protection hidden="1"/>
    </xf>
    <xf numFmtId="164" fontId="30" fillId="0" borderId="11" xfId="0" applyNumberFormat="1" applyFont="1" applyBorder="1" applyProtection="1">
      <protection hidden="1"/>
    </xf>
    <xf numFmtId="164" fontId="8" fillId="8" borderId="15" xfId="0" applyNumberFormat="1" applyFont="1" applyFill="1" applyBorder="1" applyAlignment="1" applyProtection="1">
      <alignment horizontal="right"/>
      <protection hidden="1"/>
    </xf>
    <xf numFmtId="164" fontId="8" fillId="0" borderId="11" xfId="0" applyNumberFormat="1" applyFont="1" applyBorder="1" applyAlignment="1" applyProtection="1">
      <alignment horizontal="right"/>
      <protection hidden="1"/>
    </xf>
    <xf numFmtId="0" fontId="4" fillId="2" borderId="1" xfId="0" applyFont="1" applyFill="1" applyBorder="1" applyAlignment="1">
      <alignment horizontal="right"/>
    </xf>
    <xf numFmtId="0" fontId="4" fillId="0" borderId="0" xfId="0" applyFont="1" applyFill="1" applyBorder="1" applyProtection="1">
      <protection hidden="1"/>
    </xf>
    <xf numFmtId="0" fontId="4" fillId="11" borderId="1" xfId="0" applyFont="1" applyFill="1" applyBorder="1" applyAlignment="1">
      <alignment horizontal="right"/>
    </xf>
    <xf numFmtId="2" fontId="4" fillId="11" borderId="1" xfId="0" applyNumberFormat="1" applyFont="1" applyFill="1" applyBorder="1" applyProtection="1">
      <protection hidden="1"/>
    </xf>
    <xf numFmtId="0" fontId="4" fillId="13" borderId="1" xfId="0" applyFont="1" applyFill="1" applyBorder="1" applyProtection="1">
      <protection hidden="1"/>
    </xf>
    <xf numFmtId="2" fontId="4" fillId="13" borderId="1" xfId="0" applyNumberFormat="1" applyFont="1" applyFill="1" applyBorder="1" applyProtection="1">
      <protection hidden="1"/>
    </xf>
    <xf numFmtId="0" fontId="4" fillId="5" borderId="1" xfId="0" applyFont="1" applyFill="1" applyBorder="1" applyProtection="1">
      <protection hidden="1"/>
    </xf>
    <xf numFmtId="2" fontId="4" fillId="5" borderId="1" xfId="0" applyNumberFormat="1" applyFont="1" applyFill="1" applyBorder="1" applyProtection="1">
      <protection hidden="1"/>
    </xf>
    <xf numFmtId="2" fontId="30" fillId="12" borderId="1" xfId="0" applyNumberFormat="1" applyFont="1" applyFill="1" applyBorder="1" applyProtection="1">
      <protection hidden="1"/>
    </xf>
    <xf numFmtId="164" fontId="30" fillId="8" borderId="1" xfId="0" applyNumberFormat="1" applyFont="1" applyFill="1" applyBorder="1" applyProtection="1">
      <protection hidden="1"/>
    </xf>
    <xf numFmtId="2" fontId="30" fillId="8" borderId="1" xfId="0" applyNumberFormat="1" applyFont="1" applyFill="1" applyBorder="1" applyProtection="1">
      <protection hidden="1"/>
    </xf>
    <xf numFmtId="0" fontId="4" fillId="18" borderId="0" xfId="0" applyFont="1" applyFill="1" applyProtection="1">
      <protection hidden="1"/>
    </xf>
    <xf numFmtId="0" fontId="5" fillId="2" borderId="1" xfId="0" applyFont="1" applyFill="1" applyBorder="1" applyAlignment="1" applyProtection="1">
      <protection locked="0" hidden="1"/>
    </xf>
    <xf numFmtId="0" fontId="4" fillId="12" borderId="0" xfId="0" applyFont="1" applyFill="1" applyProtection="1"/>
    <xf numFmtId="0" fontId="5" fillId="12" borderId="1" xfId="0" applyFont="1" applyFill="1" applyBorder="1" applyProtection="1">
      <protection locked="0"/>
    </xf>
    <xf numFmtId="0" fontId="4" fillId="11" borderId="1" xfId="0" applyFont="1" applyFill="1" applyBorder="1" applyProtection="1"/>
    <xf numFmtId="0" fontId="4" fillId="3" borderId="13" xfId="0" applyFont="1" applyFill="1" applyBorder="1" applyAlignment="1" applyProtection="1">
      <alignment horizontal="right"/>
    </xf>
    <xf numFmtId="0" fontId="5" fillId="2" borderId="13" xfId="0" applyFont="1" applyFill="1" applyBorder="1" applyAlignment="1" applyProtection="1">
      <alignment horizontal="left"/>
      <protection locked="0"/>
    </xf>
    <xf numFmtId="0" fontId="4" fillId="3" borderId="16" xfId="0" applyFont="1" applyFill="1" applyBorder="1" applyAlignment="1">
      <alignment horizontal="right"/>
    </xf>
    <xf numFmtId="0" fontId="5" fillId="2" borderId="16" xfId="0" applyFont="1" applyFill="1" applyBorder="1" applyAlignment="1" applyProtection="1">
      <alignment horizontal="left"/>
      <protection locked="0"/>
    </xf>
    <xf numFmtId="0" fontId="4" fillId="3" borderId="33" xfId="0" applyFont="1" applyFill="1" applyBorder="1" applyAlignment="1">
      <alignment horizontal="right"/>
    </xf>
    <xf numFmtId="0" fontId="5" fillId="3" borderId="34" xfId="0" applyFont="1" applyFill="1" applyBorder="1" applyAlignment="1" applyProtection="1">
      <alignment horizontal="left"/>
      <protection locked="0"/>
    </xf>
    <xf numFmtId="0" fontId="5" fillId="3" borderId="35" xfId="0" applyFont="1" applyFill="1" applyBorder="1" applyAlignment="1" applyProtection="1">
      <alignment horizontal="left"/>
    </xf>
    <xf numFmtId="165" fontId="5" fillId="12" borderId="1" xfId="0" applyNumberFormat="1" applyFont="1" applyFill="1" applyBorder="1" applyAlignment="1">
      <alignment horizontal="center"/>
    </xf>
    <xf numFmtId="0" fontId="4" fillId="9" borderId="0" xfId="0" applyFont="1" applyFill="1" applyAlignment="1">
      <alignment horizontal="left"/>
    </xf>
    <xf numFmtId="0" fontId="4" fillId="9" borderId="0" xfId="0" applyFont="1" applyFill="1" applyProtection="1"/>
    <xf numFmtId="0" fontId="3" fillId="9" borderId="0" xfId="0" applyFont="1" applyFill="1" applyBorder="1"/>
    <xf numFmtId="0" fontId="10" fillId="9" borderId="0" xfId="0" applyFont="1" applyFill="1"/>
    <xf numFmtId="0" fontId="4" fillId="9" borderId="28" xfId="0" applyFont="1" applyFill="1" applyBorder="1" applyProtection="1"/>
    <xf numFmtId="0" fontId="4" fillId="9" borderId="36" xfId="0" applyFont="1" applyFill="1" applyBorder="1" applyProtection="1">
      <protection locked="0"/>
    </xf>
    <xf numFmtId="0" fontId="4" fillId="9" borderId="24" xfId="0" applyFont="1" applyFill="1" applyBorder="1" applyProtection="1"/>
    <xf numFmtId="0" fontId="4" fillId="9" borderId="26" xfId="0" applyFont="1" applyFill="1" applyBorder="1" applyProtection="1">
      <protection locked="0"/>
    </xf>
    <xf numFmtId="0" fontId="54" fillId="9" borderId="27" xfId="0" applyFont="1" applyFill="1" applyBorder="1" applyAlignment="1">
      <alignment horizontal="left"/>
    </xf>
    <xf numFmtId="0" fontId="4" fillId="9" borderId="25" xfId="0" applyFont="1" applyFill="1" applyBorder="1" applyProtection="1"/>
    <xf numFmtId="0" fontId="4" fillId="9" borderId="27" xfId="0" applyFont="1" applyFill="1" applyBorder="1" applyProtection="1">
      <protection locked="0"/>
    </xf>
    <xf numFmtId="0" fontId="4" fillId="9" borderId="0" xfId="0" applyFont="1" applyFill="1" applyAlignment="1">
      <alignment horizontal="right"/>
    </xf>
    <xf numFmtId="0" fontId="0" fillId="9" borderId="0" xfId="0" applyFill="1" applyAlignment="1">
      <alignment horizontal="left"/>
    </xf>
    <xf numFmtId="14" fontId="4" fillId="9" borderId="0" xfId="0" applyNumberFormat="1" applyFont="1" applyFill="1" applyAlignment="1"/>
    <xf numFmtId="0" fontId="51" fillId="9" borderId="0" xfId="0" applyFont="1" applyFill="1" applyAlignment="1">
      <alignment horizontal="right"/>
    </xf>
    <xf numFmtId="0" fontId="51" fillId="9" borderId="0" xfId="0" applyFont="1" applyFill="1" applyAlignment="1" applyProtection="1">
      <alignment horizontal="left"/>
    </xf>
    <xf numFmtId="9" fontId="5" fillId="9" borderId="0" xfId="0" applyNumberFormat="1" applyFont="1" applyFill="1" applyBorder="1" applyAlignment="1" applyProtection="1">
      <alignment horizontal="left"/>
      <protection locked="0"/>
    </xf>
    <xf numFmtId="0" fontId="4" fillId="9" borderId="1" xfId="0" applyFont="1" applyFill="1" applyBorder="1" applyAlignment="1" applyProtection="1">
      <alignment horizontal="left"/>
    </xf>
    <xf numFmtId="0" fontId="5" fillId="2" borderId="1" xfId="0" applyFont="1" applyFill="1" applyBorder="1" applyAlignment="1">
      <alignment horizontal="left"/>
    </xf>
    <xf numFmtId="0" fontId="4" fillId="2" borderId="1" xfId="0" applyFont="1" applyFill="1" applyBorder="1" applyAlignment="1">
      <alignment horizontal="left"/>
    </xf>
    <xf numFmtId="0" fontId="4" fillId="10" borderId="1" xfId="0" applyFont="1" applyFill="1" applyBorder="1" applyAlignment="1">
      <alignment horizontal="left"/>
    </xf>
    <xf numFmtId="0" fontId="4" fillId="14" borderId="1" xfId="0" applyFont="1" applyFill="1" applyBorder="1" applyAlignment="1">
      <alignment horizontal="left"/>
    </xf>
    <xf numFmtId="0" fontId="4" fillId="11" borderId="1" xfId="0" applyFont="1" applyFill="1" applyBorder="1" applyAlignment="1">
      <alignment horizontal="left"/>
    </xf>
    <xf numFmtId="0" fontId="4" fillId="12" borderId="1" xfId="0" applyFont="1" applyFill="1" applyBorder="1" applyAlignment="1">
      <alignment horizontal="left"/>
    </xf>
    <xf numFmtId="0" fontId="5" fillId="14" borderId="5" xfId="0" applyFont="1" applyFill="1" applyBorder="1" applyAlignment="1" applyProtection="1">
      <alignment horizontal="center"/>
    </xf>
    <xf numFmtId="0" fontId="5" fillId="9" borderId="5" xfId="0" applyFont="1" applyFill="1" applyBorder="1" applyAlignment="1" applyProtection="1">
      <alignment horizontal="center"/>
    </xf>
    <xf numFmtId="0" fontId="5" fillId="10" borderId="5" xfId="0" applyFont="1" applyFill="1" applyBorder="1" applyAlignment="1" applyProtection="1">
      <alignment horizontal="center"/>
    </xf>
    <xf numFmtId="0" fontId="5" fillId="11" borderId="5" xfId="0" applyFont="1" applyFill="1" applyBorder="1" applyAlignment="1" applyProtection="1">
      <alignment horizontal="center"/>
    </xf>
    <xf numFmtId="0" fontId="5" fillId="2" borderId="1" xfId="0" applyFont="1" applyFill="1" applyBorder="1" applyAlignment="1" applyProtection="1">
      <alignment horizontal="center"/>
    </xf>
    <xf numFmtId="0" fontId="5" fillId="11" borderId="7" xfId="0"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0" fontId="5" fillId="14" borderId="11" xfId="0" applyFont="1" applyFill="1" applyBorder="1" applyAlignment="1" applyProtection="1">
      <alignment horizontal="center"/>
      <protection locked="0"/>
    </xf>
    <xf numFmtId="0" fontId="5" fillId="9" borderId="1" xfId="0" applyFont="1" applyFill="1" applyBorder="1" applyAlignment="1" applyProtection="1">
      <alignment horizontal="center"/>
      <protection locked="0"/>
    </xf>
    <xf numFmtId="0" fontId="5" fillId="10" borderId="1" xfId="0" applyFont="1" applyFill="1" applyBorder="1" applyAlignment="1" applyProtection="1">
      <alignment horizontal="center"/>
      <protection locked="0"/>
    </xf>
    <xf numFmtId="0" fontId="5" fillId="11" borderId="1" xfId="0" applyFont="1" applyFill="1" applyBorder="1" applyAlignment="1" applyProtection="1">
      <alignment horizontal="center"/>
      <protection locked="0"/>
    </xf>
    <xf numFmtId="0" fontId="5" fillId="14" borderId="13" xfId="0" applyFont="1" applyFill="1" applyBorder="1" applyAlignment="1" applyProtection="1">
      <alignment horizontal="left"/>
      <protection locked="0"/>
    </xf>
    <xf numFmtId="0" fontId="4" fillId="15" borderId="1" xfId="0" applyFont="1" applyFill="1" applyBorder="1" applyAlignment="1">
      <alignment horizontal="left"/>
    </xf>
    <xf numFmtId="0" fontId="4" fillId="14" borderId="3" xfId="0" applyFont="1" applyFill="1" applyBorder="1" applyAlignment="1">
      <alignment horizontal="left"/>
    </xf>
    <xf numFmtId="0" fontId="4" fillId="8" borderId="1" xfId="0" applyFont="1" applyFill="1" applyBorder="1" applyProtection="1"/>
    <xf numFmtId="0" fontId="0" fillId="15" borderId="0" xfId="0" applyFill="1"/>
    <xf numFmtId="0" fontId="5" fillId="9" borderId="0" xfId="0" applyFont="1" applyFill="1" applyBorder="1" applyAlignment="1" applyProtection="1">
      <alignment horizontal="left"/>
    </xf>
    <xf numFmtId="1" fontId="5" fillId="9" borderId="0" xfId="0" applyNumberFormat="1" applyFont="1" applyFill="1" applyBorder="1" applyAlignment="1" applyProtection="1">
      <alignment horizontal="left"/>
      <protection locked="0"/>
    </xf>
    <xf numFmtId="0" fontId="55" fillId="9" borderId="0" xfId="0" applyFont="1" applyFill="1" applyBorder="1"/>
    <xf numFmtId="0" fontId="5" fillId="12" borderId="1" xfId="0" applyFont="1" applyFill="1" applyBorder="1" applyAlignment="1">
      <alignment horizontal="left"/>
    </xf>
    <xf numFmtId="0" fontId="5" fillId="15" borderId="1" xfId="0" applyFont="1" applyFill="1" applyBorder="1" applyAlignment="1" applyProtection="1">
      <alignment horizontal="left"/>
    </xf>
    <xf numFmtId="0" fontId="5" fillId="14" borderId="1" xfId="0" applyFont="1" applyFill="1" applyBorder="1" applyAlignment="1" applyProtection="1">
      <alignment horizontal="center"/>
    </xf>
    <xf numFmtId="0" fontId="5" fillId="9" borderId="1" xfId="0" applyFont="1" applyFill="1" applyBorder="1" applyAlignment="1" applyProtection="1">
      <alignment horizontal="center"/>
    </xf>
    <xf numFmtId="0" fontId="3" fillId="9" borderId="6" xfId="0" applyFont="1" applyFill="1" applyBorder="1"/>
    <xf numFmtId="0" fontId="3" fillId="9" borderId="37" xfId="0" applyFont="1" applyFill="1" applyBorder="1"/>
    <xf numFmtId="0" fontId="5" fillId="9" borderId="37" xfId="0" applyFont="1" applyFill="1" applyBorder="1" applyAlignment="1" applyProtection="1">
      <alignment horizontal="left"/>
      <protection locked="0"/>
    </xf>
    <xf numFmtId="0" fontId="5" fillId="15" borderId="12" xfId="0" applyFont="1" applyFill="1" applyBorder="1" applyAlignment="1" applyProtection="1">
      <alignment horizontal="center"/>
    </xf>
    <xf numFmtId="0" fontId="5" fillId="15" borderId="0" xfId="0" applyFont="1" applyFill="1" applyBorder="1" applyAlignment="1" applyProtection="1">
      <alignment horizontal="center"/>
      <protection locked="0"/>
    </xf>
    <xf numFmtId="0" fontId="5" fillId="15" borderId="15" xfId="0" applyFont="1" applyFill="1" applyBorder="1" applyAlignment="1" applyProtection="1">
      <alignment horizontal="center"/>
      <protection locked="0"/>
    </xf>
    <xf numFmtId="0" fontId="5" fillId="13" borderId="38" xfId="0" applyFont="1" applyFill="1" applyBorder="1" applyAlignment="1"/>
    <xf numFmtId="0" fontId="5" fillId="13" borderId="39" xfId="0" applyFont="1" applyFill="1" applyBorder="1" applyAlignment="1"/>
    <xf numFmtId="0" fontId="5" fillId="13" borderId="2" xfId="0" applyFont="1" applyFill="1" applyBorder="1" applyAlignment="1"/>
    <xf numFmtId="0" fontId="54" fillId="9" borderId="40" xfId="0" applyFont="1" applyFill="1" applyBorder="1" applyAlignment="1">
      <alignment horizontal="left"/>
    </xf>
    <xf numFmtId="0" fontId="30" fillId="9" borderId="0" xfId="0" applyFont="1" applyFill="1"/>
    <xf numFmtId="0" fontId="10" fillId="9" borderId="22" xfId="0" applyFont="1" applyFill="1" applyBorder="1"/>
    <xf numFmtId="0" fontId="10" fillId="9" borderId="6" xfId="0" applyFont="1" applyFill="1" applyBorder="1"/>
    <xf numFmtId="0" fontId="10" fillId="9" borderId="19" xfId="0" applyFont="1" applyFill="1" applyBorder="1"/>
    <xf numFmtId="0" fontId="4" fillId="9" borderId="1" xfId="0" applyFont="1" applyFill="1" applyBorder="1" applyProtection="1"/>
    <xf numFmtId="0" fontId="5" fillId="15" borderId="41" xfId="0" applyFont="1" applyFill="1" applyBorder="1" applyAlignment="1"/>
    <xf numFmtId="0" fontId="4" fillId="10" borderId="1" xfId="0" applyFont="1" applyFill="1" applyBorder="1"/>
    <xf numFmtId="0" fontId="55" fillId="19" borderId="1" xfId="0" applyFont="1" applyFill="1" applyBorder="1"/>
    <xf numFmtId="2" fontId="5" fillId="2" borderId="1" xfId="0" applyNumberFormat="1" applyFont="1" applyFill="1" applyBorder="1" applyAlignment="1" applyProtection="1">
      <alignment horizontal="right"/>
      <protection locked="0"/>
    </xf>
    <xf numFmtId="2" fontId="5" fillId="14" borderId="1" xfId="0" applyNumberFormat="1" applyFont="1" applyFill="1" applyBorder="1" applyAlignment="1" applyProtection="1">
      <alignment horizontal="right"/>
      <protection locked="0"/>
    </xf>
    <xf numFmtId="2" fontId="5" fillId="14" borderId="1" xfId="0" applyNumberFormat="1" applyFont="1" applyFill="1" applyBorder="1" applyAlignment="1">
      <alignment horizontal="right"/>
    </xf>
    <xf numFmtId="2" fontId="5" fillId="9" borderId="1" xfId="0" applyNumberFormat="1" applyFont="1" applyFill="1" applyBorder="1" applyAlignment="1" applyProtection="1">
      <alignment horizontal="right"/>
      <protection locked="0"/>
    </xf>
    <xf numFmtId="2" fontId="5" fillId="10" borderId="1" xfId="0" applyNumberFormat="1" applyFont="1" applyFill="1" applyBorder="1" applyAlignment="1" applyProtection="1">
      <alignment horizontal="right"/>
      <protection locked="0"/>
    </xf>
    <xf numFmtId="2" fontId="5" fillId="11" borderId="1" xfId="0" applyNumberFormat="1" applyFont="1" applyFill="1" applyBorder="1" applyAlignment="1" applyProtection="1">
      <alignment horizontal="right"/>
      <protection locked="0"/>
    </xf>
    <xf numFmtId="2" fontId="5" fillId="12" borderId="1" xfId="0" applyNumberFormat="1" applyFont="1" applyFill="1" applyBorder="1" applyAlignment="1" applyProtection="1">
      <alignment horizontal="right"/>
      <protection locked="0"/>
    </xf>
    <xf numFmtId="2" fontId="5" fillId="15" borderId="1" xfId="0" applyNumberFormat="1" applyFont="1" applyFill="1" applyBorder="1" applyAlignment="1" applyProtection="1">
      <alignment horizontal="right"/>
      <protection locked="0"/>
    </xf>
    <xf numFmtId="2" fontId="55" fillId="16" borderId="1" xfId="0" applyNumberFormat="1" applyFont="1" applyFill="1" applyBorder="1" applyAlignment="1" applyProtection="1">
      <alignment horizontal="right"/>
    </xf>
    <xf numFmtId="0" fontId="5" fillId="2" borderId="1" xfId="0" applyFont="1" applyFill="1" applyBorder="1" applyAlignment="1" applyProtection="1">
      <alignment horizontal="right"/>
      <protection locked="0"/>
    </xf>
    <xf numFmtId="9" fontId="5" fillId="9" borderId="1" xfId="0" applyNumberFormat="1" applyFont="1" applyFill="1" applyBorder="1" applyAlignment="1" applyProtection="1">
      <alignment horizontal="right"/>
      <protection locked="0"/>
    </xf>
    <xf numFmtId="0" fontId="4" fillId="2" borderId="18" xfId="0" applyFont="1" applyFill="1" applyBorder="1"/>
    <xf numFmtId="0" fontId="4" fillId="2" borderId="21" xfId="0" applyFont="1" applyFill="1" applyBorder="1"/>
    <xf numFmtId="0" fontId="30" fillId="2" borderId="26" xfId="0" applyFont="1" applyFill="1" applyBorder="1"/>
    <xf numFmtId="0" fontId="30" fillId="2" borderId="27" xfId="0" applyFont="1" applyFill="1" applyBorder="1"/>
    <xf numFmtId="0" fontId="30" fillId="2" borderId="24" xfId="0" applyFont="1" applyFill="1" applyBorder="1" applyAlignment="1">
      <alignment horizontal="center"/>
    </xf>
    <xf numFmtId="0" fontId="30" fillId="2" borderId="26" xfId="0" applyFont="1" applyFill="1" applyBorder="1" applyAlignment="1">
      <alignment horizontal="center"/>
    </xf>
    <xf numFmtId="0" fontId="18" fillId="19" borderId="0" xfId="0" applyFont="1" applyFill="1" applyAlignment="1" applyProtection="1">
      <alignment horizontal="left"/>
      <protection hidden="1"/>
    </xf>
    <xf numFmtId="0" fontId="0" fillId="19" borderId="0" xfId="0" applyFill="1"/>
    <xf numFmtId="0" fontId="7" fillId="19" borderId="32" xfId="0" applyFont="1" applyFill="1" applyBorder="1"/>
    <xf numFmtId="2" fontId="32" fillId="19" borderId="1" xfId="0" applyNumberFormat="1" applyFont="1" applyFill="1" applyBorder="1"/>
    <xf numFmtId="164" fontId="40" fillId="19" borderId="1" xfId="0" applyNumberFormat="1" applyFont="1" applyFill="1" applyBorder="1"/>
    <xf numFmtId="164" fontId="4" fillId="19" borderId="1" xfId="0" applyNumberFormat="1" applyFont="1" applyFill="1" applyBorder="1"/>
    <xf numFmtId="164" fontId="30" fillId="19" borderId="1" xfId="0" applyNumberFormat="1" applyFont="1" applyFill="1" applyBorder="1"/>
    <xf numFmtId="164" fontId="5" fillId="19" borderId="1" xfId="0" applyNumberFormat="1" applyFont="1" applyFill="1" applyBorder="1"/>
    <xf numFmtId="2" fontId="33" fillId="19" borderId="13" xfId="0" applyNumberFormat="1" applyFont="1" applyFill="1" applyBorder="1"/>
    <xf numFmtId="164" fontId="42" fillId="19" borderId="1" xfId="0" applyNumberFormat="1" applyFont="1" applyFill="1" applyBorder="1"/>
    <xf numFmtId="164" fontId="22" fillId="19" borderId="1" xfId="0" applyNumberFormat="1" applyFont="1" applyFill="1" applyBorder="1"/>
    <xf numFmtId="164" fontId="37" fillId="19" borderId="1" xfId="0" applyNumberFormat="1" applyFont="1" applyFill="1" applyBorder="1"/>
    <xf numFmtId="164" fontId="41" fillId="19" borderId="1" xfId="0" applyNumberFormat="1" applyFont="1" applyFill="1" applyBorder="1"/>
    <xf numFmtId="0" fontId="5" fillId="19" borderId="1" xfId="0" applyFont="1" applyFill="1" applyBorder="1"/>
    <xf numFmtId="0" fontId="0" fillId="12" borderId="1" xfId="0" applyFill="1" applyBorder="1"/>
    <xf numFmtId="0" fontId="0" fillId="12" borderId="0" xfId="0" applyFill="1"/>
    <xf numFmtId="0" fontId="30" fillId="15" borderId="0" xfId="0" applyFont="1" applyFill="1"/>
    <xf numFmtId="0" fontId="30" fillId="15" borderId="1" xfId="0" applyFont="1" applyFill="1" applyBorder="1"/>
    <xf numFmtId="0" fontId="5" fillId="12" borderId="1" xfId="0" applyFont="1" applyFill="1" applyBorder="1"/>
    <xf numFmtId="165" fontId="5" fillId="10" borderId="1" xfId="0" applyNumberFormat="1" applyFont="1" applyFill="1" applyBorder="1" applyAlignment="1" applyProtection="1">
      <alignment horizontal="right"/>
      <protection locked="0"/>
    </xf>
    <xf numFmtId="0" fontId="18" fillId="12" borderId="0" xfId="0" applyFont="1" applyFill="1" applyAlignment="1" applyProtection="1">
      <alignment horizontal="left"/>
      <protection hidden="1"/>
    </xf>
    <xf numFmtId="0" fontId="0" fillId="11" borderId="1" xfId="0" applyFill="1" applyBorder="1"/>
    <xf numFmtId="0" fontId="0" fillId="9" borderId="25" xfId="0" applyFill="1" applyBorder="1"/>
    <xf numFmtId="0" fontId="0" fillId="9" borderId="23" xfId="0" applyFill="1" applyBorder="1"/>
    <xf numFmtId="0" fontId="0" fillId="9" borderId="27" xfId="0" applyFill="1" applyBorder="1"/>
    <xf numFmtId="164" fontId="0" fillId="11" borderId="1" xfId="0" applyNumberFormat="1" applyFill="1" applyBorder="1"/>
    <xf numFmtId="164" fontId="0" fillId="12" borderId="1" xfId="0" applyNumberFormat="1" applyFill="1" applyBorder="1"/>
    <xf numFmtId="0" fontId="30" fillId="2" borderId="11" xfId="0" applyFont="1" applyFill="1" applyBorder="1"/>
    <xf numFmtId="0" fontId="30" fillId="2" borderId="42" xfId="0" applyFont="1" applyFill="1" applyBorder="1"/>
    <xf numFmtId="0" fontId="30" fillId="2" borderId="1" xfId="0" applyFont="1" applyFill="1" applyBorder="1" applyAlignment="1">
      <alignment horizontal="center"/>
    </xf>
    <xf numFmtId="0" fontId="4" fillId="2" borderId="4" xfId="0" applyFont="1" applyFill="1" applyBorder="1" applyAlignment="1">
      <alignment horizontal="left"/>
    </xf>
    <xf numFmtId="1" fontId="5" fillId="2" borderId="1" xfId="0" applyNumberFormat="1" applyFont="1" applyFill="1" applyBorder="1" applyAlignment="1" applyProtection="1">
      <alignment horizontal="right"/>
    </xf>
    <xf numFmtId="0" fontId="0" fillId="0" borderId="0" xfId="0" applyAlignment="1">
      <alignment horizontal="center"/>
    </xf>
    <xf numFmtId="165" fontId="35" fillId="2" borderId="1" xfId="0" applyNumberFormat="1" applyFont="1" applyFill="1" applyBorder="1"/>
    <xf numFmtId="164" fontId="35" fillId="2" borderId="1" xfId="0" applyNumberFormat="1" applyFont="1" applyFill="1" applyBorder="1"/>
    <xf numFmtId="164" fontId="5" fillId="3" borderId="1" xfId="0" applyNumberFormat="1" applyFont="1" applyFill="1" applyBorder="1" applyAlignment="1">
      <alignment horizontal="center"/>
    </xf>
    <xf numFmtId="164" fontId="30" fillId="0" borderId="0" xfId="0" applyNumberFormat="1" applyFont="1"/>
    <xf numFmtId="0" fontId="0" fillId="8" borderId="16" xfId="0" applyFill="1" applyBorder="1"/>
    <xf numFmtId="0" fontId="4" fillId="8" borderId="16" xfId="0" applyFont="1" applyFill="1" applyBorder="1"/>
    <xf numFmtId="0" fontId="30" fillId="3" borderId="25" xfId="0" applyFont="1" applyFill="1" applyBorder="1"/>
    <xf numFmtId="164" fontId="35" fillId="3" borderId="27" xfId="0" applyNumberFormat="1" applyFont="1" applyFill="1" applyBorder="1"/>
    <xf numFmtId="165" fontId="35" fillId="3" borderId="42" xfId="0" applyNumberFormat="1" applyFont="1" applyFill="1" applyBorder="1"/>
    <xf numFmtId="165" fontId="8" fillId="4" borderId="28" xfId="0" applyNumberFormat="1" applyFont="1" applyFill="1" applyBorder="1" applyAlignment="1">
      <alignment horizontal="right"/>
    </xf>
    <xf numFmtId="0" fontId="30" fillId="4" borderId="25" xfId="0" applyFont="1" applyFill="1" applyBorder="1"/>
    <xf numFmtId="165" fontId="8" fillId="3" borderId="43" xfId="0" applyNumberFormat="1" applyFont="1" applyFill="1" applyBorder="1" applyAlignment="1">
      <alignment horizontal="right"/>
    </xf>
    <xf numFmtId="164" fontId="30" fillId="3" borderId="13" xfId="0" applyNumberFormat="1" applyFont="1" applyFill="1" applyBorder="1"/>
    <xf numFmtId="164" fontId="30" fillId="3" borderId="44" xfId="0" applyNumberFormat="1" applyFont="1" applyFill="1" applyBorder="1"/>
    <xf numFmtId="165" fontId="8" fillId="3" borderId="45" xfId="0" applyNumberFormat="1" applyFont="1" applyFill="1" applyBorder="1" applyAlignment="1">
      <alignment horizontal="right"/>
    </xf>
    <xf numFmtId="0" fontId="30" fillId="3" borderId="7" xfId="0" applyFont="1" applyFill="1" applyBorder="1"/>
    <xf numFmtId="0" fontId="30" fillId="3" borderId="46" xfId="0" applyFont="1" applyFill="1" applyBorder="1" applyProtection="1">
      <protection hidden="1"/>
    </xf>
    <xf numFmtId="164" fontId="0" fillId="4" borderId="47" xfId="0" applyNumberFormat="1" applyFill="1" applyBorder="1"/>
    <xf numFmtId="165" fontId="35" fillId="4" borderId="42" xfId="0" applyNumberFormat="1" applyFont="1" applyFill="1" applyBorder="1"/>
    <xf numFmtId="164" fontId="35" fillId="4" borderId="27" xfId="0" applyNumberFormat="1" applyFont="1" applyFill="1" applyBorder="1"/>
    <xf numFmtId="164" fontId="0" fillId="18" borderId="36" xfId="0" applyNumberFormat="1" applyFill="1" applyBorder="1"/>
    <xf numFmtId="0" fontId="30" fillId="3" borderId="32" xfId="0" applyFont="1" applyFill="1" applyBorder="1"/>
    <xf numFmtId="0" fontId="30" fillId="3" borderId="45" xfId="0" applyFont="1" applyFill="1" applyBorder="1"/>
    <xf numFmtId="0" fontId="35" fillId="3" borderId="16" xfId="0" applyFont="1" applyFill="1" applyBorder="1"/>
    <xf numFmtId="164" fontId="35" fillId="3" borderId="40" xfId="0" applyNumberFormat="1" applyFont="1" applyFill="1" applyBorder="1"/>
    <xf numFmtId="165" fontId="8" fillId="3" borderId="28" xfId="0" applyNumberFormat="1" applyFont="1" applyFill="1" applyBorder="1" applyAlignment="1">
      <alignment horizontal="right"/>
    </xf>
    <xf numFmtId="164" fontId="30" fillId="3" borderId="47" xfId="0" applyNumberFormat="1" applyFont="1" applyFill="1" applyBorder="1"/>
    <xf numFmtId="164" fontId="30" fillId="3" borderId="36" xfId="0" applyNumberFormat="1" applyFont="1" applyFill="1" applyBorder="1"/>
    <xf numFmtId="0" fontId="0" fillId="3" borderId="25" xfId="0" applyFill="1" applyBorder="1"/>
    <xf numFmtId="165" fontId="35" fillId="3" borderId="23" xfId="0" applyNumberFormat="1" applyFont="1" applyFill="1" applyBorder="1"/>
    <xf numFmtId="0" fontId="0" fillId="11" borderId="24" xfId="0" applyFill="1" applyBorder="1"/>
    <xf numFmtId="0" fontId="0" fillId="11" borderId="25" xfId="0" applyFill="1" applyBorder="1"/>
    <xf numFmtId="164" fontId="0" fillId="11" borderId="26" xfId="0" applyNumberFormat="1" applyFill="1" applyBorder="1"/>
    <xf numFmtId="165" fontId="3" fillId="11" borderId="1" xfId="0" applyNumberFormat="1" applyFont="1" applyFill="1" applyBorder="1"/>
    <xf numFmtId="164" fontId="4" fillId="11" borderId="26" xfId="0" applyNumberFormat="1" applyFont="1" applyFill="1" applyBorder="1"/>
    <xf numFmtId="165" fontId="0" fillId="11" borderId="26" xfId="0" applyNumberFormat="1" applyFill="1" applyBorder="1"/>
    <xf numFmtId="0" fontId="3" fillId="11" borderId="23" xfId="0" applyFont="1" applyFill="1" applyBorder="1"/>
    <xf numFmtId="0" fontId="3" fillId="11" borderId="27" xfId="0" applyFont="1" applyFill="1" applyBorder="1"/>
    <xf numFmtId="0" fontId="0" fillId="12" borderId="24" xfId="0" applyFill="1" applyBorder="1"/>
    <xf numFmtId="164" fontId="0" fillId="12" borderId="26" xfId="0" applyNumberFormat="1" applyFill="1" applyBorder="1"/>
    <xf numFmtId="165" fontId="0" fillId="12" borderId="26" xfId="0" applyNumberFormat="1" applyFill="1" applyBorder="1"/>
    <xf numFmtId="0" fontId="0" fillId="12" borderId="25" xfId="0" applyFill="1" applyBorder="1"/>
    <xf numFmtId="0" fontId="3" fillId="12" borderId="27" xfId="0" applyFont="1" applyFill="1" applyBorder="1"/>
    <xf numFmtId="165" fontId="3" fillId="12" borderId="1" xfId="0" applyNumberFormat="1" applyFont="1" applyFill="1" applyBorder="1"/>
    <xf numFmtId="165" fontId="3" fillId="12" borderId="23" xfId="0" applyNumberFormat="1" applyFont="1" applyFill="1" applyBorder="1"/>
    <xf numFmtId="2" fontId="5" fillId="17" borderId="1" xfId="0" applyNumberFormat="1" applyFont="1" applyFill="1" applyBorder="1" applyAlignment="1" applyProtection="1">
      <alignment horizontal="left"/>
      <protection locked="0"/>
    </xf>
    <xf numFmtId="0" fontId="5" fillId="19" borderId="11" xfId="0" applyFont="1" applyFill="1" applyBorder="1"/>
    <xf numFmtId="2" fontId="35" fillId="11" borderId="1" xfId="0" applyNumberFormat="1" applyFont="1" applyFill="1" applyBorder="1" applyAlignment="1" applyProtection="1">
      <alignment horizontal="left"/>
      <protection locked="0"/>
    </xf>
    <xf numFmtId="0" fontId="5" fillId="11" borderId="1" xfId="0" applyFont="1" applyFill="1" applyBorder="1" applyAlignment="1" applyProtection="1">
      <alignment horizontal="left"/>
      <protection locked="0"/>
    </xf>
    <xf numFmtId="165" fontId="30" fillId="0" borderId="1" xfId="0" applyNumberFormat="1" applyFont="1" applyBorder="1"/>
    <xf numFmtId="2" fontId="30" fillId="0" borderId="1" xfId="0" applyNumberFormat="1" applyFont="1" applyBorder="1"/>
    <xf numFmtId="2" fontId="30" fillId="10" borderId="1" xfId="0" applyNumberFormat="1" applyFont="1" applyFill="1" applyBorder="1"/>
    <xf numFmtId="2" fontId="30" fillId="9" borderId="1" xfId="0" applyNumberFormat="1" applyFont="1" applyFill="1" applyBorder="1"/>
    <xf numFmtId="0" fontId="0" fillId="10" borderId="1" xfId="0" applyFill="1" applyBorder="1"/>
    <xf numFmtId="2" fontId="30" fillId="2" borderId="1" xfId="0" applyNumberFormat="1" applyFont="1" applyFill="1" applyBorder="1"/>
    <xf numFmtId="0" fontId="46" fillId="2" borderId="1" xfId="0" applyFont="1" applyFill="1" applyBorder="1" applyProtection="1">
      <protection hidden="1"/>
    </xf>
    <xf numFmtId="1" fontId="4" fillId="11" borderId="1" xfId="0" applyNumberFormat="1" applyFont="1" applyFill="1" applyBorder="1"/>
    <xf numFmtId="0" fontId="46" fillId="11" borderId="1" xfId="0" applyFont="1" applyFill="1" applyBorder="1" applyProtection="1">
      <protection hidden="1"/>
    </xf>
    <xf numFmtId="1" fontId="4" fillId="10" borderId="1" xfId="0" applyNumberFormat="1" applyFont="1" applyFill="1" applyBorder="1"/>
    <xf numFmtId="164" fontId="4" fillId="10" borderId="1" xfId="0" applyNumberFormat="1" applyFont="1" applyFill="1" applyBorder="1"/>
    <xf numFmtId="165" fontId="4" fillId="10" borderId="1" xfId="0" applyNumberFormat="1" applyFont="1" applyFill="1" applyBorder="1"/>
    <xf numFmtId="0" fontId="1" fillId="0" borderId="0" xfId="0" applyFont="1"/>
    <xf numFmtId="0" fontId="30" fillId="0" borderId="0" xfId="0" applyFont="1" applyFill="1"/>
    <xf numFmtId="165" fontId="12" fillId="0" borderId="1" xfId="0" applyNumberFormat="1" applyFont="1" applyBorder="1" applyProtection="1">
      <protection hidden="1"/>
    </xf>
    <xf numFmtId="2" fontId="12" fillId="0" borderId="1" xfId="0" applyNumberFormat="1" applyFont="1" applyBorder="1" applyAlignment="1" applyProtection="1">
      <alignment horizontal="right"/>
      <protection hidden="1"/>
    </xf>
    <xf numFmtId="0" fontId="58" fillId="0" borderId="0" xfId="0" applyFont="1" applyProtection="1">
      <protection hidden="1"/>
    </xf>
    <xf numFmtId="2" fontId="12" fillId="0" borderId="0" xfId="0" applyNumberFormat="1" applyFont="1" applyBorder="1" applyAlignment="1" applyProtection="1">
      <alignment horizontal="right"/>
      <protection hidden="1"/>
    </xf>
    <xf numFmtId="0" fontId="58" fillId="0" borderId="0" xfId="0" applyFont="1"/>
    <xf numFmtId="165" fontId="12" fillId="0" borderId="1" xfId="0" applyNumberFormat="1" applyFont="1" applyFill="1" applyBorder="1" applyProtection="1">
      <protection hidden="1"/>
    </xf>
    <xf numFmtId="0" fontId="30" fillId="0" borderId="0" xfId="0" applyFont="1" applyBorder="1" applyProtection="1">
      <protection hidden="1"/>
    </xf>
    <xf numFmtId="0" fontId="30" fillId="0" borderId="6" xfId="0" applyFont="1" applyBorder="1"/>
    <xf numFmtId="0" fontId="58" fillId="0" borderId="6" xfId="0" applyFont="1" applyBorder="1"/>
    <xf numFmtId="165" fontId="12" fillId="0" borderId="23" xfId="0" applyNumberFormat="1" applyFont="1" applyFill="1" applyBorder="1" applyProtection="1">
      <protection hidden="1"/>
    </xf>
    <xf numFmtId="2" fontId="12" fillId="0" borderId="23" xfId="0" applyNumberFormat="1" applyFont="1" applyFill="1" applyBorder="1" applyAlignment="1" applyProtection="1">
      <alignment horizontal="right"/>
      <protection hidden="1"/>
    </xf>
    <xf numFmtId="0" fontId="7" fillId="0" borderId="0" xfId="0" applyFont="1" applyFill="1" applyProtection="1">
      <protection hidden="1"/>
    </xf>
    <xf numFmtId="0" fontId="7" fillId="0" borderId="0" xfId="0" applyFont="1" applyFill="1"/>
    <xf numFmtId="0" fontId="55" fillId="18" borderId="1" xfId="0" applyFont="1" applyFill="1" applyBorder="1" applyProtection="1"/>
    <xf numFmtId="0" fontId="55" fillId="18" borderId="1" xfId="0" applyFont="1" applyFill="1" applyBorder="1"/>
    <xf numFmtId="1" fontId="4" fillId="13" borderId="1" xfId="0" applyNumberFormat="1" applyFont="1" applyFill="1" applyBorder="1"/>
    <xf numFmtId="164" fontId="30" fillId="13" borderId="1" xfId="0" applyNumberFormat="1" applyFont="1" applyFill="1" applyBorder="1"/>
    <xf numFmtId="0" fontId="0" fillId="13" borderId="0" xfId="0" applyFill="1"/>
    <xf numFmtId="0" fontId="3" fillId="11" borderId="1" xfId="0" applyFont="1" applyFill="1" applyBorder="1"/>
    <xf numFmtId="0" fontId="3" fillId="11" borderId="26" xfId="0" applyFont="1" applyFill="1" applyBorder="1"/>
    <xf numFmtId="0" fontId="0" fillId="11" borderId="22" xfId="0" applyFill="1" applyBorder="1"/>
    <xf numFmtId="0" fontId="3" fillId="12" borderId="26" xfId="0" applyFont="1" applyFill="1" applyBorder="1"/>
    <xf numFmtId="0" fontId="0" fillId="11" borderId="6" xfId="0" applyFill="1" applyBorder="1"/>
    <xf numFmtId="0" fontId="0" fillId="11" borderId="19" xfId="0" applyFill="1" applyBorder="1"/>
    <xf numFmtId="0" fontId="0" fillId="12" borderId="23" xfId="0" applyFill="1" applyBorder="1"/>
    <xf numFmtId="0" fontId="0" fillId="12" borderId="27" xfId="0" applyFill="1" applyBorder="1"/>
    <xf numFmtId="14" fontId="8" fillId="9" borderId="1" xfId="0" applyNumberFormat="1" applyFont="1" applyFill="1" applyBorder="1" applyAlignment="1" applyProtection="1">
      <alignment horizontal="left"/>
      <protection hidden="1"/>
    </xf>
    <xf numFmtId="0" fontId="55" fillId="18" borderId="4" xfId="0" applyFont="1" applyFill="1" applyBorder="1" applyAlignment="1">
      <alignment horizontal="left"/>
    </xf>
    <xf numFmtId="165" fontId="55" fillId="18" borderId="1" xfId="0" applyNumberFormat="1" applyFont="1" applyFill="1" applyBorder="1"/>
    <xf numFmtId="0" fontId="4" fillId="15" borderId="4" xfId="0" applyFont="1" applyFill="1" applyBorder="1" applyAlignment="1">
      <alignment horizontal="left"/>
    </xf>
    <xf numFmtId="0" fontId="55" fillId="16" borderId="4" xfId="0" applyFont="1" applyFill="1" applyBorder="1" applyAlignment="1">
      <alignment horizontal="left"/>
    </xf>
    <xf numFmtId="0" fontId="55" fillId="18" borderId="1" xfId="0" applyFont="1" applyFill="1" applyBorder="1" applyAlignment="1" applyProtection="1">
      <alignment horizontal="left"/>
    </xf>
    <xf numFmtId="9" fontId="63" fillId="18" borderId="1" xfId="0" applyNumberFormat="1" applyFont="1" applyFill="1" applyBorder="1" applyAlignment="1" applyProtection="1">
      <alignment horizontal="right"/>
      <protection locked="0"/>
    </xf>
    <xf numFmtId="0" fontId="0" fillId="5" borderId="1" xfId="0" applyFill="1" applyBorder="1"/>
    <xf numFmtId="2" fontId="4" fillId="9" borderId="1" xfId="0" applyNumberFormat="1" applyFont="1" applyFill="1" applyBorder="1"/>
    <xf numFmtId="165" fontId="35" fillId="0" borderId="1" xfId="0" applyNumberFormat="1" applyFont="1" applyFill="1" applyBorder="1" applyProtection="1">
      <protection hidden="1"/>
    </xf>
    <xf numFmtId="2" fontId="35" fillId="0" borderId="1" xfId="0" applyNumberFormat="1" applyFont="1" applyFill="1" applyBorder="1" applyAlignment="1" applyProtection="1">
      <alignment horizontal="right"/>
      <protection hidden="1"/>
    </xf>
    <xf numFmtId="0" fontId="0" fillId="18" borderId="0" xfId="0" applyFill="1"/>
    <xf numFmtId="0" fontId="4" fillId="18" borderId="0" xfId="0" applyFont="1" applyFill="1" applyProtection="1"/>
    <xf numFmtId="0" fontId="3" fillId="9" borderId="6" xfId="0" applyFont="1" applyFill="1" applyBorder="1" applyAlignment="1" applyProtection="1">
      <alignment horizontal="left"/>
      <protection locked="0"/>
    </xf>
    <xf numFmtId="0" fontId="3" fillId="9" borderId="37" xfId="0" applyFont="1" applyFill="1" applyBorder="1" applyAlignment="1" applyProtection="1">
      <alignment horizontal="left"/>
      <protection locked="0"/>
    </xf>
    <xf numFmtId="0" fontId="30" fillId="12" borderId="16" xfId="0" applyFont="1" applyFill="1" applyBorder="1"/>
    <xf numFmtId="2" fontId="0" fillId="15" borderId="1" xfId="0" applyNumberFormat="1" applyFill="1" applyBorder="1"/>
    <xf numFmtId="164" fontId="4" fillId="3" borderId="1" xfId="0" applyNumberFormat="1" applyFont="1" applyFill="1" applyBorder="1" applyProtection="1"/>
    <xf numFmtId="0" fontId="0" fillId="18" borderId="1" xfId="0" applyFill="1" applyBorder="1"/>
    <xf numFmtId="164" fontId="8" fillId="2" borderId="1" xfId="0" applyNumberFormat="1" applyFont="1" applyFill="1" applyBorder="1" applyProtection="1">
      <protection hidden="1"/>
    </xf>
    <xf numFmtId="164" fontId="8" fillId="3" borderId="1" xfId="0" applyNumberFormat="1" applyFont="1" applyFill="1" applyBorder="1" applyProtection="1">
      <protection hidden="1"/>
    </xf>
    <xf numFmtId="164" fontId="8" fillId="9" borderId="1" xfId="0" applyNumberFormat="1" applyFont="1" applyFill="1" applyBorder="1" applyProtection="1">
      <protection hidden="1"/>
    </xf>
    <xf numFmtId="164" fontId="8" fillId="10" borderId="1" xfId="0" applyNumberFormat="1" applyFont="1" applyFill="1" applyBorder="1" applyProtection="1">
      <protection hidden="1"/>
    </xf>
    <xf numFmtId="164" fontId="8" fillId="11" borderId="1" xfId="0" applyNumberFormat="1" applyFont="1" applyFill="1" applyBorder="1" applyProtection="1">
      <protection hidden="1"/>
    </xf>
    <xf numFmtId="165" fontId="64" fillId="2" borderId="0" xfId="0" applyNumberFormat="1" applyFont="1" applyFill="1" applyAlignment="1" applyProtection="1">
      <alignment horizontal="right"/>
      <protection hidden="1"/>
    </xf>
    <xf numFmtId="164" fontId="64" fillId="2" borderId="1" xfId="0" applyNumberFormat="1" applyFont="1" applyFill="1" applyBorder="1" applyProtection="1">
      <protection hidden="1"/>
    </xf>
    <xf numFmtId="165" fontId="64" fillId="3" borderId="0" xfId="0" applyNumberFormat="1" applyFont="1" applyFill="1" applyAlignment="1" applyProtection="1">
      <alignment horizontal="right"/>
      <protection hidden="1"/>
    </xf>
    <xf numFmtId="164" fontId="64" fillId="3" borderId="1" xfId="0" applyNumberFormat="1" applyFont="1" applyFill="1" applyBorder="1" applyProtection="1">
      <protection hidden="1"/>
    </xf>
    <xf numFmtId="165" fontId="64" fillId="9" borderId="0" xfId="0" applyNumberFormat="1" applyFont="1" applyFill="1" applyAlignment="1" applyProtection="1">
      <alignment horizontal="right"/>
      <protection hidden="1"/>
    </xf>
    <xf numFmtId="164" fontId="64" fillId="9" borderId="1" xfId="0" applyNumberFormat="1" applyFont="1" applyFill="1" applyBorder="1" applyProtection="1">
      <protection hidden="1"/>
    </xf>
    <xf numFmtId="0" fontId="30" fillId="0" borderId="0" xfId="0" applyFont="1" applyProtection="1">
      <protection hidden="1"/>
    </xf>
    <xf numFmtId="165" fontId="0" fillId="0" borderId="0" xfId="0" applyNumberFormat="1"/>
    <xf numFmtId="164" fontId="8" fillId="0" borderId="0" xfId="0" applyNumberFormat="1" applyFont="1"/>
    <xf numFmtId="0" fontId="4" fillId="20" borderId="1" xfId="0" applyFont="1" applyFill="1" applyBorder="1"/>
    <xf numFmtId="165" fontId="5" fillId="0" borderId="0" xfId="0" applyNumberFormat="1" applyFont="1" applyFill="1" applyBorder="1" applyAlignment="1">
      <alignment horizontal="right"/>
    </xf>
    <xf numFmtId="1" fontId="5" fillId="0" borderId="0" xfId="0" applyNumberFormat="1" applyFont="1" applyFill="1" applyBorder="1" applyAlignment="1" applyProtection="1">
      <alignment horizontal="right"/>
      <protection hidden="1"/>
    </xf>
    <xf numFmtId="2" fontId="5" fillId="0" borderId="0" xfId="0" applyNumberFormat="1" applyFont="1" applyFill="1" applyBorder="1" applyAlignment="1">
      <alignment horizontal="right"/>
    </xf>
    <xf numFmtId="165" fontId="0" fillId="0" borderId="0" xfId="0" applyNumberFormat="1" applyProtection="1">
      <protection hidden="1"/>
    </xf>
    <xf numFmtId="165" fontId="0" fillId="0" borderId="0" xfId="0" applyNumberFormat="1" applyFill="1" applyProtection="1">
      <protection hidden="1"/>
    </xf>
    <xf numFmtId="165" fontId="5" fillId="0" borderId="0" xfId="0" applyNumberFormat="1" applyFont="1" applyFill="1" applyAlignment="1" applyProtection="1">
      <alignment horizontal="right" indent="1"/>
      <protection hidden="1"/>
    </xf>
    <xf numFmtId="165" fontId="4" fillId="11" borderId="24" xfId="0" applyNumberFormat="1" applyFont="1" applyFill="1" applyBorder="1"/>
    <xf numFmtId="0" fontId="4" fillId="11" borderId="28" xfId="0" applyFont="1" applyFill="1" applyBorder="1"/>
    <xf numFmtId="0" fontId="4" fillId="11" borderId="25" xfId="0" applyFont="1" applyFill="1" applyBorder="1"/>
    <xf numFmtId="0" fontId="4" fillId="11" borderId="24" xfId="0" applyFont="1" applyFill="1" applyBorder="1"/>
    <xf numFmtId="164" fontId="4" fillId="11" borderId="47" xfId="0" applyNumberFormat="1" applyFont="1" applyFill="1" applyBorder="1"/>
    <xf numFmtId="164" fontId="4" fillId="11" borderId="36" xfId="0" applyNumberFormat="1" applyFont="1" applyFill="1" applyBorder="1"/>
    <xf numFmtId="164" fontId="4" fillId="11" borderId="23" xfId="0" applyNumberFormat="1" applyFont="1" applyFill="1" applyBorder="1"/>
    <xf numFmtId="164" fontId="4" fillId="11" borderId="27" xfId="0" applyNumberFormat="1" applyFont="1" applyFill="1" applyBorder="1"/>
    <xf numFmtId="164" fontId="65" fillId="10" borderId="1" xfId="0" applyNumberFormat="1" applyFont="1" applyFill="1" applyBorder="1" applyProtection="1">
      <protection hidden="1"/>
    </xf>
    <xf numFmtId="164" fontId="65" fillId="2" borderId="1" xfId="0" applyNumberFormat="1" applyFont="1" applyFill="1" applyBorder="1" applyProtection="1">
      <protection hidden="1"/>
    </xf>
    <xf numFmtId="165" fontId="4" fillId="11" borderId="43" xfId="0" applyNumberFormat="1" applyFont="1" applyFill="1" applyBorder="1"/>
    <xf numFmtId="165" fontId="4" fillId="11" borderId="13" xfId="0" applyNumberFormat="1" applyFont="1" applyFill="1" applyBorder="1"/>
    <xf numFmtId="165" fontId="4" fillId="11" borderId="23" xfId="0" applyNumberFormat="1" applyFont="1" applyFill="1" applyBorder="1"/>
    <xf numFmtId="0" fontId="5" fillId="11" borderId="43" xfId="0" applyFont="1" applyFill="1" applyBorder="1"/>
    <xf numFmtId="165" fontId="5" fillId="11" borderId="13" xfId="0" applyNumberFormat="1" applyFont="1" applyFill="1" applyBorder="1"/>
    <xf numFmtId="164" fontId="5" fillId="11" borderId="44" xfId="0" applyNumberFormat="1" applyFont="1" applyFill="1" applyBorder="1"/>
    <xf numFmtId="165" fontId="4" fillId="11" borderId="45" xfId="0" applyNumberFormat="1" applyFont="1" applyFill="1" applyBorder="1"/>
    <xf numFmtId="165" fontId="4" fillId="11" borderId="16" xfId="0" applyNumberFormat="1" applyFont="1" applyFill="1" applyBorder="1"/>
    <xf numFmtId="165" fontId="4" fillId="11" borderId="28" xfId="0" applyNumberFormat="1" applyFont="1" applyFill="1" applyBorder="1"/>
    <xf numFmtId="165" fontId="4" fillId="11" borderId="25" xfId="0" applyNumberFormat="1" applyFont="1" applyFill="1" applyBorder="1"/>
    <xf numFmtId="165" fontId="4" fillId="11" borderId="48" xfId="0" applyNumberFormat="1" applyFont="1" applyFill="1" applyBorder="1"/>
    <xf numFmtId="165" fontId="4" fillId="11" borderId="49" xfId="0" applyNumberFormat="1" applyFont="1" applyFill="1" applyBorder="1"/>
    <xf numFmtId="165" fontId="5" fillId="11" borderId="48" xfId="0" applyNumberFormat="1" applyFont="1" applyFill="1" applyBorder="1"/>
    <xf numFmtId="164" fontId="4" fillId="11" borderId="50" xfId="0" applyNumberFormat="1" applyFont="1" applyFill="1" applyBorder="1"/>
    <xf numFmtId="164" fontId="4" fillId="11" borderId="40" xfId="0" applyNumberFormat="1" applyFont="1" applyFill="1" applyBorder="1"/>
    <xf numFmtId="164" fontId="4" fillId="11" borderId="44" xfId="0" applyNumberFormat="1" applyFont="1" applyFill="1" applyBorder="1"/>
    <xf numFmtId="164" fontId="4" fillId="0" borderId="0" xfId="0" applyNumberFormat="1" applyFont="1"/>
    <xf numFmtId="164" fontId="5" fillId="11" borderId="27" xfId="0" applyNumberFormat="1" applyFont="1" applyFill="1" applyBorder="1"/>
    <xf numFmtId="165" fontId="5" fillId="18" borderId="23" xfId="0" applyNumberFormat="1" applyFont="1" applyFill="1" applyBorder="1"/>
    <xf numFmtId="165" fontId="5" fillId="11" borderId="24" xfId="0" applyNumberFormat="1" applyFont="1" applyFill="1" applyBorder="1"/>
    <xf numFmtId="164" fontId="5" fillId="11" borderId="26" xfId="0" applyNumberFormat="1" applyFont="1" applyFill="1" applyBorder="1"/>
    <xf numFmtId="165" fontId="8" fillId="8" borderId="0" xfId="0" applyNumberFormat="1" applyFont="1" applyFill="1" applyAlignment="1" applyProtection="1">
      <alignment horizontal="right"/>
      <protection hidden="1"/>
    </xf>
    <xf numFmtId="164" fontId="8" fillId="8" borderId="1" xfId="0" applyNumberFormat="1" applyFont="1" applyFill="1" applyBorder="1" applyProtection="1">
      <protection hidden="1"/>
    </xf>
    <xf numFmtId="2" fontId="43" fillId="0" borderId="8" xfId="0" applyNumberFormat="1" applyFont="1" applyFill="1" applyBorder="1"/>
    <xf numFmtId="165" fontId="43" fillId="0" borderId="8" xfId="0" applyNumberFormat="1" applyFont="1" applyFill="1" applyBorder="1"/>
    <xf numFmtId="165" fontId="43" fillId="0" borderId="0" xfId="0" applyNumberFormat="1" applyFont="1" applyFill="1" applyAlignment="1" applyProtection="1">
      <alignment horizontal="right"/>
      <protection hidden="1"/>
    </xf>
    <xf numFmtId="1" fontId="43" fillId="0" borderId="0" xfId="0" applyNumberFormat="1" applyFont="1" applyFill="1" applyAlignment="1" applyProtection="1">
      <alignment horizontal="right"/>
      <protection hidden="1"/>
    </xf>
    <xf numFmtId="0" fontId="28" fillId="0" borderId="0" xfId="0" applyFont="1" applyFill="1" applyProtection="1">
      <protection hidden="1"/>
    </xf>
    <xf numFmtId="2" fontId="43" fillId="0" borderId="0" xfId="0" applyNumberFormat="1" applyFont="1" applyFill="1" applyProtection="1">
      <protection hidden="1"/>
    </xf>
    <xf numFmtId="2" fontId="28" fillId="0" borderId="0" xfId="0" applyNumberFormat="1" applyFont="1" applyFill="1"/>
    <xf numFmtId="2" fontId="44" fillId="0" borderId="0" xfId="0" applyNumberFormat="1" applyFont="1" applyFill="1" applyProtection="1">
      <protection hidden="1"/>
    </xf>
    <xf numFmtId="0" fontId="4" fillId="19" borderId="1" xfId="0" applyFont="1" applyFill="1" applyBorder="1" applyAlignment="1" applyProtection="1">
      <alignment horizontal="left"/>
      <protection hidden="1"/>
    </xf>
    <xf numFmtId="2" fontId="0" fillId="19" borderId="1" xfId="0" applyNumberFormat="1" applyFill="1" applyBorder="1" applyAlignment="1">
      <alignment horizontal="left"/>
    </xf>
    <xf numFmtId="165" fontId="4" fillId="0" borderId="0" xfId="0" applyNumberFormat="1" applyFont="1" applyProtection="1">
      <protection hidden="1"/>
    </xf>
    <xf numFmtId="164" fontId="55" fillId="18" borderId="1" xfId="0" applyNumberFormat="1" applyFont="1" applyFill="1" applyBorder="1" applyProtection="1"/>
    <xf numFmtId="2" fontId="5" fillId="19" borderId="11" xfId="0" applyNumberFormat="1" applyFont="1" applyFill="1" applyBorder="1"/>
    <xf numFmtId="0" fontId="30" fillId="10" borderId="13" xfId="0" applyFont="1" applyFill="1" applyBorder="1" applyProtection="1">
      <protection hidden="1"/>
    </xf>
    <xf numFmtId="0" fontId="4" fillId="9" borderId="16" xfId="0" applyFont="1" applyFill="1" applyBorder="1"/>
    <xf numFmtId="164" fontId="4" fillId="9" borderId="16" xfId="0" applyNumberFormat="1" applyFont="1" applyFill="1" applyBorder="1"/>
    <xf numFmtId="0" fontId="4" fillId="4" borderId="1" xfId="0" applyFont="1" applyFill="1" applyBorder="1"/>
    <xf numFmtId="165" fontId="5" fillId="4" borderId="1" xfId="0" applyNumberFormat="1" applyFont="1" applyFill="1" applyBorder="1" applyProtection="1">
      <protection locked="0"/>
    </xf>
    <xf numFmtId="0" fontId="30" fillId="4" borderId="24" xfId="0" applyFont="1" applyFill="1" applyBorder="1"/>
    <xf numFmtId="165" fontId="5" fillId="4" borderId="26" xfId="0" applyNumberFormat="1" applyFont="1" applyFill="1" applyBorder="1" applyAlignment="1" applyProtection="1">
      <alignment horizontal="center"/>
      <protection locked="0"/>
    </xf>
    <xf numFmtId="165" fontId="5" fillId="0" borderId="8" xfId="0" applyNumberFormat="1" applyFont="1" applyFill="1" applyBorder="1" applyAlignment="1" applyProtection="1">
      <alignment horizontal="right"/>
      <protection hidden="1"/>
    </xf>
    <xf numFmtId="164" fontId="5" fillId="3" borderId="1" xfId="0" applyNumberFormat="1" applyFont="1" applyFill="1" applyBorder="1" applyAlignment="1" applyProtection="1">
      <alignment horizontal="right"/>
      <protection hidden="1"/>
    </xf>
    <xf numFmtId="2" fontId="5" fillId="0" borderId="1" xfId="0" applyNumberFormat="1" applyFont="1" applyBorder="1"/>
    <xf numFmtId="0" fontId="5" fillId="3" borderId="1" xfId="0" applyFont="1" applyFill="1" applyBorder="1" applyAlignment="1" applyProtection="1">
      <alignment horizontal="center"/>
      <protection hidden="1"/>
    </xf>
    <xf numFmtId="164" fontId="0" fillId="4" borderId="1" xfId="0" applyNumberFormat="1" applyFill="1" applyBorder="1"/>
    <xf numFmtId="0" fontId="4" fillId="4" borderId="33" xfId="0" applyFont="1" applyFill="1" applyBorder="1"/>
    <xf numFmtId="0" fontId="4" fillId="4" borderId="35" xfId="0" applyFont="1" applyFill="1" applyBorder="1"/>
    <xf numFmtId="0" fontId="5" fillId="0" borderId="0" xfId="0" applyFont="1" applyFill="1" applyBorder="1" applyAlignment="1" applyProtection="1">
      <protection hidden="1"/>
    </xf>
    <xf numFmtId="165" fontId="5" fillId="3" borderId="1" xfId="0" applyNumberFormat="1" applyFont="1" applyFill="1" applyBorder="1" applyAlignment="1" applyProtection="1">
      <alignment horizontal="right"/>
      <protection hidden="1"/>
    </xf>
    <xf numFmtId="164" fontId="5" fillId="0" borderId="1" xfId="0" applyNumberFormat="1" applyFont="1" applyFill="1" applyBorder="1" applyAlignment="1" applyProtection="1">
      <alignment horizontal="right"/>
      <protection hidden="1"/>
    </xf>
    <xf numFmtId="0" fontId="0" fillId="4" borderId="1" xfId="0" applyFill="1" applyBorder="1"/>
    <xf numFmtId="2" fontId="5" fillId="0" borderId="8" xfId="0" applyNumberFormat="1" applyFont="1" applyFill="1" applyBorder="1" applyAlignment="1" applyProtection="1">
      <alignment horizontal="right"/>
      <protection hidden="1"/>
    </xf>
    <xf numFmtId="0" fontId="4" fillId="19" borderId="0" xfId="0" applyFont="1" applyFill="1" applyAlignment="1">
      <alignment horizontal="center"/>
    </xf>
    <xf numFmtId="0" fontId="4" fillId="15" borderId="1" xfId="0" applyFont="1" applyFill="1" applyBorder="1" applyAlignment="1">
      <alignment horizontal="center"/>
    </xf>
    <xf numFmtId="165" fontId="35" fillId="0" borderId="1" xfId="0" applyNumberFormat="1" applyFont="1" applyFill="1" applyBorder="1" applyAlignment="1" applyProtection="1">
      <alignment horizontal="right"/>
      <protection hidden="1"/>
    </xf>
    <xf numFmtId="2" fontId="35" fillId="0" borderId="1" xfId="0" applyNumberFormat="1" applyFont="1" applyBorder="1"/>
    <xf numFmtId="0" fontId="5" fillId="0" borderId="0" xfId="0" applyNumberFormat="1" applyFont="1" applyFill="1" applyAlignment="1" applyProtection="1">
      <alignment horizontal="right"/>
      <protection hidden="1"/>
    </xf>
    <xf numFmtId="1" fontId="30" fillId="8" borderId="1" xfId="0" applyNumberFormat="1" applyFont="1" applyFill="1" applyBorder="1"/>
    <xf numFmtId="2" fontId="30" fillId="8" borderId="1" xfId="0" applyNumberFormat="1" applyFont="1" applyFill="1" applyBorder="1"/>
    <xf numFmtId="164" fontId="30" fillId="2" borderId="1" xfId="0" applyNumberFormat="1" applyFont="1" applyFill="1" applyBorder="1" applyProtection="1">
      <protection hidden="1"/>
    </xf>
    <xf numFmtId="0" fontId="5" fillId="2" borderId="1" xfId="0" applyFont="1" applyFill="1" applyBorder="1" applyProtection="1">
      <protection hidden="1"/>
    </xf>
    <xf numFmtId="164" fontId="5" fillId="2" borderId="1" xfId="0" applyNumberFormat="1" applyFont="1" applyFill="1" applyBorder="1"/>
    <xf numFmtId="0" fontId="5" fillId="9" borderId="37" xfId="0" applyFont="1" applyFill="1" applyBorder="1" applyAlignment="1">
      <alignment horizontal="right"/>
    </xf>
    <xf numFmtId="0" fontId="30" fillId="8" borderId="28" xfId="0" applyFont="1" applyFill="1" applyBorder="1"/>
    <xf numFmtId="2" fontId="30" fillId="8" borderId="47" xfId="0" applyNumberFormat="1" applyFont="1" applyFill="1" applyBorder="1"/>
    <xf numFmtId="2" fontId="30" fillId="8" borderId="36" xfId="0" applyNumberFormat="1" applyFont="1" applyFill="1" applyBorder="1"/>
    <xf numFmtId="0" fontId="30" fillId="8" borderId="24" xfId="0" applyFont="1" applyFill="1" applyBorder="1"/>
    <xf numFmtId="165" fontId="30" fillId="8" borderId="1" xfId="0" applyNumberFormat="1" applyFont="1" applyFill="1" applyBorder="1"/>
    <xf numFmtId="2" fontId="30" fillId="8" borderId="26" xfId="0" applyNumberFormat="1" applyFont="1" applyFill="1" applyBorder="1"/>
    <xf numFmtId="165" fontId="30" fillId="8" borderId="26" xfId="0" applyNumberFormat="1" applyFont="1" applyFill="1" applyBorder="1"/>
    <xf numFmtId="0" fontId="30" fillId="8" borderId="26" xfId="0" applyFont="1" applyFill="1" applyBorder="1"/>
    <xf numFmtId="164" fontId="30" fillId="8" borderId="1" xfId="0" applyNumberFormat="1" applyFont="1" applyFill="1" applyBorder="1"/>
    <xf numFmtId="0" fontId="30" fillId="8" borderId="43" xfId="0" applyFont="1" applyFill="1" applyBorder="1"/>
    <xf numFmtId="164" fontId="30" fillId="8" borderId="13" xfId="0" applyNumberFormat="1" applyFont="1" applyFill="1" applyBorder="1"/>
    <xf numFmtId="0" fontId="30" fillId="8" borderId="44" xfId="0" applyFont="1" applyFill="1" applyBorder="1"/>
    <xf numFmtId="0" fontId="30" fillId="8" borderId="36" xfId="0" applyFont="1" applyFill="1" applyBorder="1"/>
    <xf numFmtId="0" fontId="30" fillId="8" borderId="25" xfId="0" applyFont="1" applyFill="1" applyBorder="1"/>
    <xf numFmtId="164" fontId="30" fillId="8" borderId="23" xfId="0" applyNumberFormat="1" applyFont="1" applyFill="1" applyBorder="1"/>
    <xf numFmtId="0" fontId="30" fillId="8" borderId="27" xfId="0" applyFont="1" applyFill="1" applyBorder="1"/>
    <xf numFmtId="0" fontId="30" fillId="15" borderId="24" xfId="0" applyFont="1" applyFill="1" applyBorder="1"/>
    <xf numFmtId="0" fontId="30" fillId="15" borderId="26" xfId="0" applyFont="1" applyFill="1" applyBorder="1"/>
    <xf numFmtId="0" fontId="28" fillId="17" borderId="1" xfId="0" applyFont="1" applyFill="1" applyBorder="1"/>
    <xf numFmtId="0" fontId="0" fillId="4" borderId="0" xfId="0" applyFill="1"/>
    <xf numFmtId="164" fontId="30" fillId="9" borderId="25" xfId="0" applyNumberFormat="1" applyFont="1" applyFill="1" applyBorder="1" applyAlignment="1">
      <alignment horizontal="center"/>
    </xf>
    <xf numFmtId="164" fontId="30" fillId="9" borderId="27" xfId="0" applyNumberFormat="1" applyFont="1" applyFill="1" applyBorder="1" applyAlignment="1">
      <alignment horizontal="center"/>
    </xf>
    <xf numFmtId="0" fontId="30" fillId="0" borderId="0" xfId="0" applyFont="1" applyAlignment="1">
      <alignment horizontal="left"/>
    </xf>
    <xf numFmtId="164" fontId="30" fillId="9" borderId="43" xfId="0" applyNumberFormat="1" applyFont="1" applyFill="1" applyBorder="1" applyAlignment="1">
      <alignment horizontal="center"/>
    </xf>
    <xf numFmtId="164" fontId="30" fillId="9" borderId="44" xfId="0" applyNumberFormat="1" applyFont="1" applyFill="1" applyBorder="1" applyAlignment="1">
      <alignment horizontal="center"/>
    </xf>
    <xf numFmtId="164" fontId="30" fillId="15" borderId="43" xfId="0" applyNumberFormat="1" applyFont="1" applyFill="1" applyBorder="1" applyAlignment="1">
      <alignment horizontal="center"/>
    </xf>
    <xf numFmtId="0" fontId="30" fillId="0" borderId="33" xfId="0" applyFont="1" applyBorder="1"/>
    <xf numFmtId="0" fontId="10" fillId="9" borderId="0" xfId="0" applyFont="1" applyFill="1" applyBorder="1"/>
    <xf numFmtId="0" fontId="43" fillId="15" borderId="51" xfId="0" applyFont="1" applyFill="1" applyBorder="1" applyProtection="1">
      <protection hidden="1"/>
    </xf>
    <xf numFmtId="0" fontId="5" fillId="15" borderId="51" xfId="0" applyFont="1" applyFill="1" applyBorder="1" applyProtection="1">
      <protection hidden="1"/>
    </xf>
    <xf numFmtId="0" fontId="28" fillId="15" borderId="52" xfId="0" applyFont="1" applyFill="1" applyBorder="1" applyAlignment="1" applyProtection="1">
      <alignment horizontal="left"/>
    </xf>
    <xf numFmtId="0" fontId="30" fillId="15" borderId="53" xfId="0" applyFont="1" applyFill="1" applyBorder="1" applyProtection="1">
      <protection hidden="1"/>
    </xf>
    <xf numFmtId="0" fontId="28" fillId="15" borderId="53" xfId="0" applyFont="1" applyFill="1" applyBorder="1" applyAlignment="1" applyProtection="1">
      <alignment horizontal="left"/>
      <protection hidden="1"/>
    </xf>
    <xf numFmtId="0" fontId="30" fillId="15" borderId="54" xfId="0" applyFont="1" applyFill="1" applyBorder="1" applyProtection="1">
      <protection hidden="1"/>
    </xf>
    <xf numFmtId="0" fontId="5" fillId="8" borderId="51" xfId="0" applyFont="1" applyFill="1" applyBorder="1" applyAlignment="1">
      <alignment horizontal="center"/>
    </xf>
    <xf numFmtId="0" fontId="4" fillId="3" borderId="32" xfId="0" applyFont="1" applyFill="1" applyBorder="1"/>
    <xf numFmtId="164" fontId="30" fillId="15" borderId="44" xfId="0" applyNumberFormat="1" applyFont="1" applyFill="1" applyBorder="1" applyAlignment="1">
      <alignment horizontal="center"/>
    </xf>
    <xf numFmtId="0" fontId="4" fillId="6" borderId="1" xfId="0" applyFont="1" applyFill="1" applyBorder="1"/>
    <xf numFmtId="2" fontId="4" fillId="6" borderId="1" xfId="0" applyNumberFormat="1" applyFont="1" applyFill="1" applyBorder="1" applyProtection="1"/>
    <xf numFmtId="164" fontId="30" fillId="3" borderId="24" xfId="0" applyNumberFormat="1" applyFont="1" applyFill="1" applyBorder="1"/>
    <xf numFmtId="164" fontId="30" fillId="2" borderId="24" xfId="0" applyNumberFormat="1" applyFont="1" applyFill="1" applyBorder="1"/>
    <xf numFmtId="0" fontId="30" fillId="9" borderId="24" xfId="0" applyFont="1" applyFill="1" applyBorder="1" applyAlignment="1">
      <alignment horizontal="left"/>
    </xf>
    <xf numFmtId="0" fontId="30" fillId="8" borderId="24" xfId="0" applyFont="1" applyFill="1" applyBorder="1" applyAlignment="1">
      <alignment horizontal="left"/>
    </xf>
    <xf numFmtId="0" fontId="30" fillId="8" borderId="25" xfId="0" applyFont="1" applyFill="1" applyBorder="1" applyAlignment="1">
      <alignment horizontal="left"/>
    </xf>
    <xf numFmtId="164" fontId="30" fillId="8" borderId="27" xfId="0" applyNumberFormat="1" applyFont="1" applyFill="1" applyBorder="1"/>
    <xf numFmtId="164" fontId="30" fillId="9" borderId="43" xfId="0" applyNumberFormat="1" applyFont="1" applyFill="1" applyBorder="1"/>
    <xf numFmtId="164" fontId="30" fillId="9" borderId="44" xfId="0" applyNumberFormat="1" applyFont="1" applyFill="1" applyBorder="1"/>
    <xf numFmtId="164" fontId="30" fillId="15" borderId="43" xfId="0" applyNumberFormat="1" applyFont="1" applyFill="1" applyBorder="1"/>
    <xf numFmtId="164" fontId="30" fillId="15" borderId="44" xfId="0" applyNumberFormat="1" applyFont="1" applyFill="1" applyBorder="1"/>
    <xf numFmtId="164" fontId="30" fillId="9" borderId="25" xfId="0" applyNumberFormat="1" applyFont="1" applyFill="1" applyBorder="1"/>
    <xf numFmtId="164" fontId="30" fillId="9" borderId="27" xfId="0" applyNumberFormat="1" applyFont="1" applyFill="1" applyBorder="1"/>
    <xf numFmtId="165" fontId="12" fillId="17" borderId="35" xfId="0" applyNumberFormat="1" applyFont="1" applyFill="1" applyBorder="1"/>
    <xf numFmtId="2" fontId="30" fillId="9" borderId="24" xfId="0" applyNumberFormat="1" applyFont="1" applyFill="1" applyBorder="1"/>
    <xf numFmtId="165" fontId="30" fillId="9" borderId="26" xfId="0" applyNumberFormat="1" applyFont="1" applyFill="1" applyBorder="1"/>
    <xf numFmtId="164" fontId="30" fillId="9" borderId="24" xfId="0" applyNumberFormat="1" applyFont="1" applyFill="1" applyBorder="1"/>
    <xf numFmtId="165" fontId="30" fillId="9" borderId="23" xfId="0" applyNumberFormat="1" applyFont="1" applyFill="1" applyBorder="1"/>
    <xf numFmtId="165" fontId="30" fillId="9" borderId="27" xfId="0" applyNumberFormat="1" applyFont="1" applyFill="1" applyBorder="1"/>
    <xf numFmtId="164" fontId="30" fillId="9" borderId="23" xfId="0" applyNumberFormat="1" applyFont="1" applyFill="1" applyBorder="1"/>
    <xf numFmtId="0" fontId="30" fillId="9" borderId="35" xfId="0" applyFont="1" applyFill="1" applyBorder="1" applyAlignment="1">
      <alignment horizontal="center"/>
    </xf>
    <xf numFmtId="164" fontId="30" fillId="9" borderId="36" xfId="0" applyNumberFormat="1" applyFont="1" applyFill="1" applyBorder="1" applyAlignment="1">
      <alignment horizontal="center"/>
    </xf>
    <xf numFmtId="0" fontId="30" fillId="9" borderId="27" xfId="0" applyFont="1" applyFill="1" applyBorder="1" applyAlignment="1">
      <alignment horizontal="center"/>
    </xf>
    <xf numFmtId="165" fontId="30" fillId="9" borderId="13" xfId="0" applyNumberFormat="1" applyFont="1" applyFill="1" applyBorder="1"/>
    <xf numFmtId="164" fontId="30" fillId="9" borderId="11" xfId="0" applyNumberFormat="1" applyFont="1" applyFill="1" applyBorder="1"/>
    <xf numFmtId="164" fontId="30" fillId="9" borderId="3" xfId="0" applyNumberFormat="1" applyFont="1" applyFill="1" applyBorder="1"/>
    <xf numFmtId="0" fontId="30" fillId="9" borderId="55" xfId="0" applyFont="1" applyFill="1" applyBorder="1" applyAlignment="1">
      <alignment horizontal="center"/>
    </xf>
    <xf numFmtId="0" fontId="30" fillId="9" borderId="33" xfId="0" applyFont="1" applyFill="1" applyBorder="1" applyAlignment="1">
      <alignment horizontal="center"/>
    </xf>
    <xf numFmtId="0" fontId="30" fillId="15" borderId="33" xfId="0" applyFont="1" applyFill="1" applyBorder="1" applyAlignment="1" applyProtection="1">
      <alignment horizontal="center"/>
      <protection locked="0"/>
    </xf>
    <xf numFmtId="164" fontId="30" fillId="9" borderId="56" xfId="0" applyNumberFormat="1" applyFont="1" applyFill="1" applyBorder="1" applyAlignment="1">
      <alignment horizontal="center"/>
    </xf>
    <xf numFmtId="0" fontId="30" fillId="9" borderId="3" xfId="0" applyFont="1" applyFill="1" applyBorder="1" applyAlignment="1" applyProtection="1">
      <alignment horizontal="center"/>
      <protection locked="0"/>
    </xf>
    <xf numFmtId="0" fontId="30" fillId="9" borderId="42" xfId="0" applyFont="1" applyFill="1" applyBorder="1" applyAlignment="1">
      <alignment horizontal="center"/>
    </xf>
    <xf numFmtId="2" fontId="30" fillId="9" borderId="28" xfId="0" applyNumberFormat="1" applyFont="1" applyFill="1" applyBorder="1"/>
    <xf numFmtId="165" fontId="30" fillId="9" borderId="47" xfId="0" applyNumberFormat="1" applyFont="1" applyFill="1" applyBorder="1"/>
    <xf numFmtId="2" fontId="30" fillId="9" borderId="47" xfId="0" applyNumberFormat="1" applyFont="1" applyFill="1" applyBorder="1"/>
    <xf numFmtId="165" fontId="30" fillId="9" borderId="36" xfId="0" applyNumberFormat="1" applyFont="1" applyFill="1" applyBorder="1"/>
    <xf numFmtId="164" fontId="30" fillId="8" borderId="27" xfId="0" applyNumberFormat="1" applyFont="1" applyFill="1" applyBorder="1" applyAlignment="1">
      <alignment horizontal="center"/>
    </xf>
    <xf numFmtId="0" fontId="30" fillId="2" borderId="57" xfId="0" applyFont="1" applyFill="1" applyBorder="1" applyAlignment="1">
      <alignment horizontal="right"/>
    </xf>
    <xf numFmtId="0" fontId="30" fillId="2" borderId="58" xfId="0" applyFont="1" applyFill="1" applyBorder="1" applyAlignment="1"/>
    <xf numFmtId="164" fontId="30" fillId="3" borderId="26" xfId="0" applyNumberFormat="1" applyFont="1" applyFill="1" applyBorder="1"/>
    <xf numFmtId="164" fontId="30" fillId="2" borderId="26" xfId="0" applyNumberFormat="1" applyFont="1" applyFill="1" applyBorder="1"/>
    <xf numFmtId="165" fontId="30" fillId="17" borderId="44" xfId="0" applyNumberFormat="1" applyFont="1" applyFill="1" applyBorder="1"/>
    <xf numFmtId="2" fontId="30" fillId="9" borderId="11" xfId="0" applyNumberFormat="1" applyFont="1" applyFill="1" applyBorder="1"/>
    <xf numFmtId="0" fontId="10" fillId="0" borderId="0" xfId="0" applyFont="1" applyBorder="1"/>
    <xf numFmtId="0" fontId="30" fillId="15" borderId="1" xfId="0" applyFont="1" applyFill="1" applyBorder="1" applyAlignment="1">
      <alignment horizontal="center"/>
    </xf>
    <xf numFmtId="165" fontId="0" fillId="2" borderId="1" xfId="0" applyNumberFormat="1" applyFill="1" applyBorder="1"/>
    <xf numFmtId="165" fontId="0" fillId="11" borderId="1" xfId="0" applyNumberFormat="1" applyFill="1" applyBorder="1"/>
    <xf numFmtId="2" fontId="39" fillId="9" borderId="0" xfId="0" applyNumberFormat="1" applyFont="1" applyFill="1" applyBorder="1"/>
    <xf numFmtId="2" fontId="0" fillId="2" borderId="1" xfId="0" applyNumberFormat="1" applyFill="1" applyBorder="1"/>
    <xf numFmtId="2" fontId="0" fillId="11" borderId="1" xfId="0" applyNumberFormat="1" applyFill="1" applyBorder="1"/>
    <xf numFmtId="165" fontId="25" fillId="11" borderId="1" xfId="0" applyNumberFormat="1" applyFont="1" applyFill="1" applyBorder="1"/>
    <xf numFmtId="2" fontId="25" fillId="11" borderId="1" xfId="0" applyNumberFormat="1" applyFont="1" applyFill="1" applyBorder="1"/>
    <xf numFmtId="165" fontId="25" fillId="2" borderId="1" xfId="0" applyNumberFormat="1" applyFont="1" applyFill="1" applyBorder="1"/>
    <xf numFmtId="2" fontId="25" fillId="2" borderId="1" xfId="0" applyNumberFormat="1" applyFont="1" applyFill="1" applyBorder="1"/>
    <xf numFmtId="2" fontId="4" fillId="6" borderId="1" xfId="0" applyNumberFormat="1" applyFont="1" applyFill="1" applyBorder="1"/>
    <xf numFmtId="0" fontId="5" fillId="7" borderId="1" xfId="0" applyFont="1" applyFill="1" applyBorder="1" applyAlignment="1">
      <alignment horizontal="center"/>
    </xf>
    <xf numFmtId="0" fontId="5" fillId="14" borderId="1" xfId="0" applyFont="1" applyFill="1" applyBorder="1" applyAlignment="1" applyProtection="1">
      <alignment horizontal="right"/>
      <protection locked="0"/>
    </xf>
    <xf numFmtId="0" fontId="5" fillId="15" borderId="1" xfId="0" applyFont="1" applyFill="1" applyBorder="1" applyAlignment="1" applyProtection="1">
      <alignment horizontal="right"/>
      <protection locked="0"/>
    </xf>
    <xf numFmtId="0" fontId="30" fillId="9" borderId="26" xfId="0" applyFont="1" applyFill="1" applyBorder="1" applyAlignment="1" applyProtection="1">
      <alignment horizontal="center"/>
      <protection locked="0"/>
    </xf>
    <xf numFmtId="2" fontId="30" fillId="8" borderId="26" xfId="0" applyNumberFormat="1" applyFont="1" applyFill="1" applyBorder="1" applyAlignment="1" applyProtection="1">
      <alignment horizontal="center"/>
    </xf>
    <xf numFmtId="0" fontId="30" fillId="9" borderId="28" xfId="0" applyFont="1" applyFill="1" applyBorder="1" applyAlignment="1" applyProtection="1">
      <alignment horizontal="center"/>
      <protection locked="0"/>
    </xf>
    <xf numFmtId="0" fontId="12" fillId="9" borderId="36" xfId="0" applyFont="1" applyFill="1" applyBorder="1" applyAlignment="1" applyProtection="1">
      <alignment horizontal="center"/>
      <protection locked="0"/>
    </xf>
    <xf numFmtId="0" fontId="30" fillId="15" borderId="28" xfId="0" applyFont="1" applyFill="1" applyBorder="1" applyAlignment="1" applyProtection="1">
      <alignment horizontal="center"/>
      <protection locked="0"/>
    </xf>
    <xf numFmtId="0" fontId="12" fillId="15" borderId="36" xfId="0" applyFont="1" applyFill="1" applyBorder="1" applyAlignment="1" applyProtection="1">
      <alignment horizontal="center"/>
      <protection locked="0"/>
    </xf>
    <xf numFmtId="0" fontId="12" fillId="9" borderId="36" xfId="0" applyFont="1" applyFill="1" applyBorder="1" applyAlignment="1" applyProtection="1">
      <protection locked="0"/>
    </xf>
    <xf numFmtId="0" fontId="12" fillId="15" borderId="36" xfId="0" applyFont="1" applyFill="1" applyBorder="1" applyAlignment="1" applyProtection="1">
      <protection locked="0"/>
    </xf>
    <xf numFmtId="0" fontId="30" fillId="15" borderId="35" xfId="0" applyFont="1" applyFill="1" applyBorder="1" applyAlignment="1" applyProtection="1">
      <alignment horizontal="center"/>
      <protection locked="0"/>
    </xf>
    <xf numFmtId="0" fontId="5" fillId="8" borderId="1" xfId="0" applyFont="1" applyFill="1" applyBorder="1" applyAlignment="1" applyProtection="1">
      <alignment horizontal="center"/>
      <protection locked="0"/>
    </xf>
    <xf numFmtId="2" fontId="4" fillId="2" borderId="1" xfId="0" applyNumberFormat="1" applyFont="1" applyFill="1" applyBorder="1" applyAlignment="1" applyProtection="1">
      <alignment horizontal="right"/>
      <protection locked="0"/>
    </xf>
    <xf numFmtId="0" fontId="4" fillId="0" borderId="11" xfId="0" applyFont="1" applyFill="1" applyBorder="1"/>
    <xf numFmtId="164" fontId="0" fillId="2" borderId="1" xfId="0" applyNumberFormat="1" applyFill="1" applyBorder="1"/>
    <xf numFmtId="2" fontId="5" fillId="8" borderId="1" xfId="0" applyNumberFormat="1" applyFont="1" applyFill="1" applyBorder="1" applyAlignment="1" applyProtection="1">
      <alignment horizontal="center"/>
      <protection locked="0"/>
    </xf>
    <xf numFmtId="0" fontId="43" fillId="8" borderId="1" xfId="0" applyFont="1" applyFill="1" applyBorder="1" applyAlignment="1" applyProtection="1">
      <alignment horizontal="center"/>
      <protection locked="0" hidden="1"/>
    </xf>
    <xf numFmtId="0" fontId="0" fillId="21" borderId="0" xfId="0" applyFill="1"/>
    <xf numFmtId="164" fontId="0" fillId="21" borderId="1" xfId="0" applyNumberFormat="1" applyFill="1" applyBorder="1"/>
    <xf numFmtId="2" fontId="30" fillId="17" borderId="3" xfId="0" applyNumberFormat="1" applyFont="1" applyFill="1" applyBorder="1"/>
    <xf numFmtId="2" fontId="12" fillId="17" borderId="55" xfId="0" applyNumberFormat="1" applyFont="1" applyFill="1" applyBorder="1"/>
    <xf numFmtId="164" fontId="30" fillId="3" borderId="11" xfId="0" applyNumberFormat="1" applyFont="1" applyFill="1" applyBorder="1"/>
    <xf numFmtId="164" fontId="30" fillId="2" borderId="11" xfId="0" applyNumberFormat="1" applyFont="1" applyFill="1" applyBorder="1"/>
    <xf numFmtId="0" fontId="30" fillId="3" borderId="1" xfId="0" applyFont="1" applyFill="1" applyBorder="1" applyAlignment="1">
      <alignment horizontal="left"/>
    </xf>
    <xf numFmtId="0" fontId="25" fillId="10" borderId="24" xfId="0" applyFont="1" applyFill="1" applyBorder="1" applyAlignment="1" applyProtection="1">
      <alignment horizontal="left"/>
      <protection locked="0"/>
    </xf>
    <xf numFmtId="0" fontId="25" fillId="10" borderId="26" xfId="0" applyFont="1" applyFill="1" applyBorder="1" applyAlignment="1" applyProtection="1">
      <alignment horizontal="left"/>
      <protection locked="0"/>
    </xf>
    <xf numFmtId="0" fontId="25" fillId="10" borderId="25" xfId="0" applyFont="1" applyFill="1" applyBorder="1" applyAlignment="1" applyProtection="1">
      <alignment horizontal="left"/>
      <protection locked="0"/>
    </xf>
    <xf numFmtId="0" fontId="25" fillId="10" borderId="27" xfId="0" applyFont="1" applyFill="1" applyBorder="1" applyAlignment="1" applyProtection="1">
      <alignment horizontal="left"/>
      <protection locked="0"/>
    </xf>
    <xf numFmtId="0" fontId="7" fillId="10" borderId="1" xfId="0" applyFont="1" applyFill="1" applyBorder="1"/>
    <xf numFmtId="2" fontId="7" fillId="10" borderId="1" xfId="0" applyNumberFormat="1" applyFont="1" applyFill="1" applyBorder="1"/>
    <xf numFmtId="0" fontId="0" fillId="10" borderId="0" xfId="0" applyFill="1"/>
    <xf numFmtId="0" fontId="30" fillId="17" borderId="1" xfId="0" applyFont="1" applyFill="1" applyBorder="1"/>
    <xf numFmtId="164" fontId="30" fillId="17" borderId="1" xfId="0" applyNumberFormat="1" applyFont="1" applyFill="1" applyBorder="1"/>
    <xf numFmtId="164" fontId="0" fillId="17" borderId="1" xfId="0" applyNumberFormat="1" applyFill="1" applyBorder="1"/>
    <xf numFmtId="165" fontId="0" fillId="17" borderId="1" xfId="0" applyNumberFormat="1" applyFill="1" applyBorder="1" applyAlignment="1">
      <alignment horizontal="left"/>
    </xf>
    <xf numFmtId="0" fontId="30" fillId="17" borderId="59" xfId="0" applyFont="1" applyFill="1" applyBorder="1"/>
    <xf numFmtId="2" fontId="30" fillId="17" borderId="43" xfId="0" applyNumberFormat="1" applyFont="1" applyFill="1" applyBorder="1"/>
    <xf numFmtId="2" fontId="12" fillId="17" borderId="33" xfId="0" applyNumberFormat="1" applyFont="1" applyFill="1" applyBorder="1"/>
    <xf numFmtId="0" fontId="4" fillId="5" borderId="1" xfId="0" applyFont="1" applyFill="1" applyBorder="1" applyProtection="1"/>
    <xf numFmtId="0" fontId="5" fillId="2" borderId="13" xfId="0" applyFont="1" applyFill="1" applyBorder="1"/>
    <xf numFmtId="0" fontId="5" fillId="11" borderId="16" xfId="0" applyFont="1" applyFill="1" applyBorder="1" applyAlignment="1">
      <alignment horizontal="left"/>
    </xf>
    <xf numFmtId="165" fontId="4" fillId="15" borderId="1" xfId="0" applyNumberFormat="1" applyFont="1" applyFill="1" applyBorder="1"/>
    <xf numFmtId="0" fontId="5" fillId="15" borderId="1" xfId="0" applyFont="1" applyFill="1" applyBorder="1"/>
    <xf numFmtId="9" fontId="5" fillId="15" borderId="1" xfId="0" applyNumberFormat="1" applyFont="1" applyFill="1" applyBorder="1" applyProtection="1"/>
    <xf numFmtId="0" fontId="28" fillId="22" borderId="1" xfId="0" applyFont="1" applyFill="1" applyBorder="1"/>
    <xf numFmtId="0" fontId="69" fillId="9" borderId="0" xfId="0" applyFont="1" applyFill="1"/>
    <xf numFmtId="0" fontId="28" fillId="8" borderId="1" xfId="0" applyFont="1" applyFill="1" applyBorder="1" applyAlignment="1" applyProtection="1">
      <alignment horizontal="left"/>
      <protection hidden="1"/>
    </xf>
    <xf numFmtId="0" fontId="28" fillId="8" borderId="1" xfId="0" applyFont="1" applyFill="1" applyBorder="1" applyAlignment="1" applyProtection="1">
      <alignment horizontal="left"/>
    </xf>
    <xf numFmtId="0" fontId="30" fillId="9" borderId="44" xfId="0" applyFont="1" applyFill="1" applyBorder="1" applyAlignment="1" applyProtection="1">
      <alignment horizontal="center"/>
      <protection locked="0"/>
    </xf>
    <xf numFmtId="0" fontId="30" fillId="3" borderId="24" xfId="0" applyFont="1" applyFill="1" applyBorder="1" applyProtection="1">
      <protection locked="0"/>
    </xf>
    <xf numFmtId="0" fontId="30" fillId="3" borderId="36" xfId="0" applyFont="1" applyFill="1" applyBorder="1" applyProtection="1">
      <protection locked="0"/>
    </xf>
    <xf numFmtId="0" fontId="30" fillId="3" borderId="26" xfId="0" applyFont="1" applyFill="1" applyBorder="1" applyProtection="1">
      <protection locked="0"/>
    </xf>
    <xf numFmtId="0" fontId="30" fillId="2" borderId="24" xfId="0" applyFont="1" applyFill="1" applyBorder="1" applyProtection="1">
      <protection locked="0"/>
    </xf>
    <xf numFmtId="0" fontId="30" fillId="2" borderId="26" xfId="0" applyFont="1" applyFill="1" applyBorder="1" applyProtection="1">
      <protection locked="0"/>
    </xf>
    <xf numFmtId="0" fontId="30" fillId="2" borderId="25" xfId="0" applyFont="1" applyFill="1" applyBorder="1" applyProtection="1">
      <protection locked="0"/>
    </xf>
    <xf numFmtId="0" fontId="30" fillId="2" borderId="27" xfId="0" applyFont="1" applyFill="1" applyBorder="1" applyProtection="1">
      <protection locked="0"/>
    </xf>
    <xf numFmtId="164" fontId="30" fillId="3" borderId="28" xfId="0" applyNumberFormat="1" applyFont="1" applyFill="1" applyBorder="1"/>
    <xf numFmtId="165" fontId="30" fillId="3" borderId="36" xfId="0" applyNumberFormat="1" applyFont="1" applyFill="1" applyBorder="1"/>
    <xf numFmtId="164" fontId="30" fillId="2" borderId="25" xfId="0" applyNumberFormat="1" applyFont="1" applyFill="1" applyBorder="1"/>
    <xf numFmtId="165" fontId="30" fillId="2" borderId="27" xfId="0" applyNumberFormat="1" applyFont="1" applyFill="1" applyBorder="1"/>
    <xf numFmtId="164" fontId="0" fillId="17" borderId="13" xfId="0" applyNumberFormat="1" applyFill="1" applyBorder="1"/>
    <xf numFmtId="165" fontId="0" fillId="17" borderId="13" xfId="0" applyNumberFormat="1" applyFill="1" applyBorder="1"/>
    <xf numFmtId="2" fontId="0" fillId="4" borderId="1" xfId="0" applyNumberFormat="1" applyFill="1" applyBorder="1"/>
    <xf numFmtId="0" fontId="4" fillId="0" borderId="1" xfId="0" applyFont="1" applyBorder="1" applyProtection="1">
      <protection locked="0"/>
    </xf>
    <xf numFmtId="0" fontId="4" fillId="0" borderId="1" xfId="0" applyFont="1" applyFill="1" applyBorder="1" applyProtection="1">
      <protection locked="0"/>
    </xf>
    <xf numFmtId="2" fontId="30" fillId="0" borderId="0" xfId="0" applyNumberFormat="1" applyFont="1"/>
    <xf numFmtId="0" fontId="4" fillId="23" borderId="1" xfId="0" applyFont="1" applyFill="1" applyBorder="1"/>
    <xf numFmtId="0" fontId="0" fillId="23" borderId="1" xfId="0" applyFill="1" applyBorder="1"/>
    <xf numFmtId="0" fontId="0" fillId="23" borderId="1" xfId="0" applyFill="1" applyBorder="1" applyProtection="1">
      <protection hidden="1"/>
    </xf>
    <xf numFmtId="0" fontId="5" fillId="17" borderId="1" xfId="0" applyFont="1" applyFill="1" applyBorder="1"/>
    <xf numFmtId="0" fontId="5" fillId="17" borderId="1" xfId="0" applyFont="1" applyFill="1" applyBorder="1" applyProtection="1">
      <protection locked="0"/>
    </xf>
    <xf numFmtId="0" fontId="5" fillId="12" borderId="1" xfId="0" applyFont="1" applyFill="1" applyBorder="1" applyProtection="1"/>
    <xf numFmtId="0" fontId="5" fillId="0" borderId="0" xfId="0" applyFont="1" applyProtection="1">
      <protection locked="0"/>
    </xf>
    <xf numFmtId="0" fontId="5" fillId="8" borderId="13" xfId="0" applyFont="1" applyFill="1" applyBorder="1" applyProtection="1">
      <protection locked="0"/>
    </xf>
    <xf numFmtId="0" fontId="5" fillId="15" borderId="1" xfId="0" applyFont="1" applyFill="1" applyBorder="1" applyProtection="1">
      <protection locked="0"/>
    </xf>
    <xf numFmtId="0" fontId="5" fillId="5" borderId="1" xfId="0" applyFont="1" applyFill="1" applyBorder="1" applyProtection="1">
      <protection locked="0"/>
    </xf>
    <xf numFmtId="0" fontId="5" fillId="23" borderId="1" xfId="0" applyFont="1" applyFill="1" applyBorder="1" applyProtection="1">
      <protection locked="0"/>
    </xf>
    <xf numFmtId="0" fontId="5" fillId="3" borderId="1" xfId="0" applyFont="1" applyFill="1" applyBorder="1" applyProtection="1">
      <protection locked="0"/>
    </xf>
    <xf numFmtId="0" fontId="63" fillId="18" borderId="1" xfId="0" applyFont="1" applyFill="1" applyBorder="1" applyProtection="1">
      <protection locked="0"/>
    </xf>
    <xf numFmtId="0" fontId="5" fillId="2" borderId="1" xfId="0" applyFont="1" applyFill="1" applyBorder="1" applyProtection="1">
      <protection locked="0"/>
    </xf>
    <xf numFmtId="0" fontId="5" fillId="9" borderId="1" xfId="0" applyFont="1" applyFill="1" applyBorder="1" applyProtection="1">
      <protection locked="0"/>
    </xf>
    <xf numFmtId="0" fontId="5" fillId="4" borderId="0" xfId="0" applyFont="1" applyFill="1" applyBorder="1" applyProtection="1">
      <protection locked="0"/>
    </xf>
    <xf numFmtId="0" fontId="5" fillId="4" borderId="1" xfId="0" applyFont="1" applyFill="1" applyBorder="1" applyProtection="1">
      <protection locked="0"/>
    </xf>
    <xf numFmtId="0" fontId="5" fillId="4" borderId="13" xfId="0" applyFont="1" applyFill="1" applyBorder="1" applyProtection="1">
      <protection locked="0"/>
    </xf>
    <xf numFmtId="0" fontId="5" fillId="0" borderId="1" xfId="0" applyFont="1" applyBorder="1" applyProtection="1">
      <protection locked="0"/>
    </xf>
    <xf numFmtId="0" fontId="5" fillId="0" borderId="35" xfId="0" applyFont="1" applyBorder="1" applyAlignment="1" applyProtection="1">
      <alignment horizontal="center"/>
      <protection locked="0"/>
    </xf>
    <xf numFmtId="164" fontId="30" fillId="9" borderId="34" xfId="0" applyNumberFormat="1" applyFont="1" applyFill="1" applyBorder="1"/>
    <xf numFmtId="0" fontId="27" fillId="9" borderId="0" xfId="0" applyFont="1" applyFill="1" applyAlignment="1">
      <alignment horizontal="right"/>
    </xf>
    <xf numFmtId="0" fontId="25" fillId="9" borderId="0" xfId="0" applyFont="1" applyFill="1" applyAlignment="1">
      <alignment horizontal="left"/>
    </xf>
    <xf numFmtId="164" fontId="30" fillId="9" borderId="33" xfId="0" applyNumberFormat="1" applyFont="1" applyFill="1" applyBorder="1" applyAlignment="1">
      <alignment horizontal="center"/>
    </xf>
    <xf numFmtId="164" fontId="30" fillId="9" borderId="35" xfId="0" applyNumberFormat="1" applyFont="1" applyFill="1" applyBorder="1" applyAlignment="1">
      <alignment horizontal="center"/>
    </xf>
    <xf numFmtId="15" fontId="0" fillId="9" borderId="0" xfId="0" applyNumberFormat="1" applyFill="1" applyAlignment="1">
      <alignment horizontal="left"/>
    </xf>
    <xf numFmtId="0" fontId="5" fillId="9" borderId="0" xfId="0" applyFont="1" applyFill="1" applyBorder="1" applyAlignment="1">
      <alignment horizontal="right"/>
    </xf>
    <xf numFmtId="165" fontId="0" fillId="9" borderId="0" xfId="0" applyNumberFormat="1" applyFill="1"/>
    <xf numFmtId="0" fontId="70" fillId="9" borderId="10" xfId="0" applyFont="1" applyFill="1" applyBorder="1"/>
    <xf numFmtId="0" fontId="70" fillId="9" borderId="0" xfId="0" applyFont="1" applyFill="1" applyBorder="1"/>
    <xf numFmtId="0" fontId="70" fillId="9" borderId="4" xfId="0" applyFont="1" applyFill="1" applyBorder="1"/>
    <xf numFmtId="0" fontId="70" fillId="9" borderId="12" xfId="0" applyFont="1" applyFill="1" applyBorder="1"/>
    <xf numFmtId="0" fontId="0" fillId="9" borderId="5" xfId="0" applyFill="1" applyBorder="1"/>
    <xf numFmtId="2" fontId="30" fillId="9" borderId="26" xfId="0" applyNumberFormat="1" applyFont="1" applyFill="1" applyBorder="1" applyAlignment="1" applyProtection="1">
      <alignment horizontal="center"/>
    </xf>
    <xf numFmtId="0" fontId="0" fillId="15" borderId="1" xfId="0" applyFill="1" applyBorder="1" applyProtection="1">
      <protection locked="0"/>
    </xf>
    <xf numFmtId="0" fontId="4" fillId="15" borderId="1" xfId="0" applyFont="1" applyFill="1" applyBorder="1" applyProtection="1">
      <protection locked="0"/>
    </xf>
    <xf numFmtId="2" fontId="0" fillId="9" borderId="1" xfId="0" applyNumberFormat="1" applyFill="1" applyBorder="1" applyAlignment="1">
      <alignment horizontal="left"/>
    </xf>
    <xf numFmtId="2" fontId="0" fillId="9" borderId="1" xfId="0" applyNumberFormat="1" applyFill="1" applyBorder="1"/>
    <xf numFmtId="165" fontId="30" fillId="0" borderId="0" xfId="0" applyNumberFormat="1" applyFont="1"/>
    <xf numFmtId="165" fontId="0" fillId="9" borderId="1" xfId="0" applyNumberFormat="1" applyFill="1" applyBorder="1" applyAlignment="1">
      <alignment horizontal="left"/>
    </xf>
    <xf numFmtId="165" fontId="0" fillId="9" borderId="1" xfId="0" applyNumberFormat="1" applyFill="1" applyBorder="1"/>
    <xf numFmtId="0" fontId="0" fillId="15" borderId="33" xfId="0" applyFill="1" applyBorder="1"/>
    <xf numFmtId="0" fontId="0" fillId="15" borderId="35" xfId="0" applyFill="1" applyBorder="1"/>
    <xf numFmtId="2" fontId="4" fillId="15" borderId="1" xfId="0" applyNumberFormat="1" applyFont="1" applyFill="1" applyBorder="1"/>
    <xf numFmtId="2" fontId="0" fillId="9" borderId="0" xfId="0" applyNumberFormat="1" applyFill="1"/>
    <xf numFmtId="2" fontId="55" fillId="19" borderId="1" xfId="0" applyNumberFormat="1" applyFont="1" applyFill="1" applyBorder="1" applyAlignment="1" applyProtection="1">
      <alignment horizontal="right"/>
      <protection locked="0"/>
    </xf>
    <xf numFmtId="165" fontId="63" fillId="19" borderId="1" xfId="0" applyNumberFormat="1" applyFont="1" applyFill="1" applyBorder="1" applyAlignment="1" applyProtection="1">
      <alignment horizontal="right"/>
      <protection locked="0"/>
    </xf>
    <xf numFmtId="0" fontId="43" fillId="17" borderId="1" xfId="0" applyFont="1" applyFill="1" applyBorder="1"/>
    <xf numFmtId="0" fontId="5" fillId="5" borderId="1" xfId="0" applyFont="1" applyFill="1" applyBorder="1" applyAlignment="1" applyProtection="1">
      <alignment horizontal="right"/>
      <protection locked="0"/>
    </xf>
    <xf numFmtId="165" fontId="5" fillId="3" borderId="1" xfId="0" applyNumberFormat="1" applyFont="1" applyFill="1" applyBorder="1" applyAlignment="1" applyProtection="1">
      <alignment horizontal="right"/>
      <protection locked="0"/>
    </xf>
    <xf numFmtId="2" fontId="5" fillId="3" borderId="1" xfId="0" applyNumberFormat="1" applyFont="1" applyFill="1" applyBorder="1" applyAlignment="1" applyProtection="1">
      <alignment horizontal="right"/>
      <protection locked="0"/>
    </xf>
    <xf numFmtId="2" fontId="5" fillId="5" borderId="1" xfId="0" applyNumberFormat="1" applyFont="1" applyFill="1" applyBorder="1" applyAlignment="1" applyProtection="1">
      <alignment horizontal="center"/>
      <protection locked="0"/>
    </xf>
    <xf numFmtId="2" fontId="5" fillId="15" borderId="1" xfId="0" applyNumberFormat="1" applyFont="1" applyFill="1" applyBorder="1" applyAlignment="1" applyProtection="1">
      <alignment horizontal="center"/>
      <protection locked="0"/>
    </xf>
    <xf numFmtId="0" fontId="5" fillId="4" borderId="1" xfId="0" applyFont="1" applyFill="1" applyBorder="1"/>
    <xf numFmtId="0" fontId="43" fillId="4" borderId="1" xfId="0" applyFont="1" applyFill="1" applyBorder="1"/>
    <xf numFmtId="0" fontId="0" fillId="9" borderId="2" xfId="0" applyFill="1" applyBorder="1" applyAlignment="1">
      <alignment horizontal="center"/>
    </xf>
    <xf numFmtId="0" fontId="0" fillId="9" borderId="15" xfId="0" applyFill="1" applyBorder="1" applyAlignment="1">
      <alignment horizontal="center"/>
    </xf>
    <xf numFmtId="0" fontId="0" fillId="9" borderId="11" xfId="0" applyFill="1" applyBorder="1" applyAlignment="1">
      <alignment horizontal="center"/>
    </xf>
    <xf numFmtId="0" fontId="9" fillId="15" borderId="38" xfId="0" applyFont="1" applyFill="1" applyBorder="1" applyAlignment="1" applyProtection="1">
      <alignment horizontal="center"/>
      <protection hidden="1"/>
    </xf>
    <xf numFmtId="0" fontId="9" fillId="15" borderId="37" xfId="0" applyFont="1" applyFill="1" applyBorder="1" applyAlignment="1" applyProtection="1">
      <alignment horizontal="center"/>
      <protection hidden="1"/>
    </xf>
    <xf numFmtId="0" fontId="9" fillId="15" borderId="60" xfId="0" applyFont="1" applyFill="1" applyBorder="1" applyAlignment="1" applyProtection="1">
      <alignment horizontal="center"/>
      <protection hidden="1"/>
    </xf>
    <xf numFmtId="0" fontId="5" fillId="4" borderId="1" xfId="0" applyFont="1" applyFill="1" applyBorder="1" applyAlignment="1">
      <alignment horizontal="center"/>
    </xf>
    <xf numFmtId="0" fontId="5" fillId="12" borderId="1" xfId="0" applyFont="1" applyFill="1" applyBorder="1" applyAlignment="1" applyProtection="1">
      <alignment horizontal="center"/>
      <protection locked="0"/>
    </xf>
    <xf numFmtId="0" fontId="5" fillId="2" borderId="38" xfId="0" applyFont="1" applyFill="1" applyBorder="1" applyAlignment="1">
      <alignment horizontal="center"/>
    </xf>
    <xf numFmtId="0" fontId="5" fillId="2" borderId="37" xfId="0" applyFont="1" applyFill="1" applyBorder="1" applyAlignment="1">
      <alignment horizontal="center"/>
    </xf>
    <xf numFmtId="0" fontId="53" fillId="9" borderId="25" xfId="0" applyFont="1" applyFill="1" applyBorder="1" applyAlignment="1">
      <alignment horizontal="center"/>
    </xf>
    <xf numFmtId="0" fontId="53" fillId="9" borderId="23" xfId="0" applyFont="1" applyFill="1" applyBorder="1" applyAlignment="1">
      <alignment horizontal="center"/>
    </xf>
    <xf numFmtId="0" fontId="5" fillId="4" borderId="16" xfId="0" applyFont="1" applyFill="1" applyBorder="1" applyAlignment="1">
      <alignment horizontal="center"/>
    </xf>
    <xf numFmtId="0" fontId="3" fillId="9" borderId="61" xfId="0" applyFont="1" applyFill="1" applyBorder="1" applyAlignment="1">
      <alignment horizontal="center"/>
    </xf>
    <xf numFmtId="0" fontId="3" fillId="9" borderId="62" xfId="0" applyFont="1" applyFill="1" applyBorder="1" applyAlignment="1">
      <alignment horizontal="center"/>
    </xf>
    <xf numFmtId="0" fontId="5" fillId="9" borderId="15" xfId="0" applyFont="1" applyFill="1" applyBorder="1" applyAlignment="1">
      <alignment horizontal="center"/>
    </xf>
    <xf numFmtId="0" fontId="5" fillId="9" borderId="11" xfId="0" applyFont="1" applyFill="1" applyBorder="1" applyAlignment="1">
      <alignment horizontal="center"/>
    </xf>
    <xf numFmtId="0" fontId="5" fillId="12" borderId="1" xfId="0" applyFont="1" applyFill="1" applyBorder="1" applyAlignment="1" applyProtection="1">
      <alignment horizontal="center"/>
    </xf>
    <xf numFmtId="0" fontId="5" fillId="4" borderId="63" xfId="0" applyFont="1" applyFill="1" applyBorder="1" applyAlignment="1">
      <alignment horizontal="center"/>
    </xf>
    <xf numFmtId="0" fontId="5" fillId="4" borderId="62" xfId="0" applyFont="1" applyFill="1" applyBorder="1" applyAlignment="1">
      <alignment horizontal="center"/>
    </xf>
    <xf numFmtId="0" fontId="5" fillId="4" borderId="26" xfId="0" applyFont="1" applyFill="1" applyBorder="1" applyAlignment="1" applyProtection="1">
      <alignment horizontal="center"/>
      <protection locked="0"/>
    </xf>
    <xf numFmtId="0" fontId="5" fillId="4" borderId="44" xfId="0" applyFont="1" applyFill="1" applyBorder="1" applyAlignment="1" applyProtection="1">
      <alignment horizontal="center"/>
      <protection locked="0"/>
    </xf>
    <xf numFmtId="0" fontId="5" fillId="4" borderId="44" xfId="0" applyFont="1" applyFill="1" applyBorder="1" applyAlignment="1">
      <alignment horizontal="center"/>
    </xf>
    <xf numFmtId="0" fontId="5" fillId="4" borderId="40" xfId="0" applyFont="1" applyFill="1" applyBorder="1" applyAlignment="1">
      <alignment horizontal="center"/>
    </xf>
    <xf numFmtId="0" fontId="5" fillId="12" borderId="16" xfId="0" applyFont="1" applyFill="1" applyBorder="1" applyAlignment="1">
      <alignment horizontal="center"/>
    </xf>
    <xf numFmtId="0" fontId="5" fillId="9" borderId="18"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3" fillId="9" borderId="28" xfId="0" applyFont="1" applyFill="1" applyBorder="1" applyAlignment="1">
      <alignment horizontal="center"/>
    </xf>
    <xf numFmtId="0" fontId="3" fillId="9" borderId="47" xfId="0" applyFont="1" applyFill="1" applyBorder="1" applyAlignment="1">
      <alignment horizontal="center"/>
    </xf>
    <xf numFmtId="0" fontId="3" fillId="9" borderId="39" xfId="0" applyFont="1" applyFill="1" applyBorder="1" applyAlignment="1">
      <alignment horizontal="center"/>
    </xf>
    <xf numFmtId="0" fontId="4" fillId="2" borderId="4" xfId="0" applyFont="1" applyFill="1" applyBorder="1" applyAlignment="1">
      <alignment horizontal="center"/>
    </xf>
    <xf numFmtId="0" fontId="4" fillId="2" borderId="12" xfId="0" applyFont="1" applyFill="1" applyBorder="1" applyAlignment="1">
      <alignment horizontal="center"/>
    </xf>
    <xf numFmtId="0" fontId="4" fillId="2" borderId="11" xfId="0" applyFont="1" applyFill="1" applyBorder="1" applyAlignment="1">
      <alignment horizontal="center"/>
    </xf>
    <xf numFmtId="0" fontId="53" fillId="9" borderId="45" xfId="0" applyFont="1" applyFill="1" applyBorder="1" applyAlignment="1">
      <alignment horizontal="center"/>
    </xf>
    <xf numFmtId="0" fontId="53" fillId="9" borderId="16" xfId="0" applyFont="1" applyFill="1" applyBorder="1" applyAlignment="1">
      <alignment horizontal="center"/>
    </xf>
    <xf numFmtId="0" fontId="4" fillId="0" borderId="2" xfId="0" applyFont="1" applyBorder="1" applyAlignment="1" applyProtection="1">
      <alignment horizontal="center"/>
    </xf>
    <xf numFmtId="0" fontId="4" fillId="0" borderId="15" xfId="0" applyFont="1" applyBorder="1" applyAlignment="1" applyProtection="1">
      <alignment horizontal="center"/>
    </xf>
    <xf numFmtId="0" fontId="4" fillId="0" borderId="11" xfId="0" applyFont="1" applyBorder="1" applyAlignment="1" applyProtection="1">
      <alignment horizontal="center"/>
    </xf>
    <xf numFmtId="0" fontId="5" fillId="11" borderId="38" xfId="0" applyFont="1" applyFill="1" applyBorder="1" applyAlignment="1">
      <alignment horizontal="center"/>
    </xf>
    <xf numFmtId="0" fontId="5" fillId="11" borderId="37" xfId="0" applyFont="1" applyFill="1" applyBorder="1" applyAlignment="1">
      <alignment horizontal="center"/>
    </xf>
    <xf numFmtId="0" fontId="5" fillId="11" borderId="60" xfId="0" applyFont="1" applyFill="1" applyBorder="1" applyAlignment="1">
      <alignment horizontal="center"/>
    </xf>
    <xf numFmtId="0" fontId="5" fillId="9" borderId="63" xfId="0" applyFont="1" applyFill="1" applyBorder="1" applyAlignment="1">
      <alignment horizontal="center"/>
    </xf>
    <xf numFmtId="0" fontId="5" fillId="9" borderId="62" xfId="0" applyFont="1" applyFill="1" applyBorder="1" applyAlignment="1">
      <alignment horizontal="center"/>
    </xf>
    <xf numFmtId="0" fontId="3" fillId="0" borderId="18" xfId="0" applyFont="1" applyBorder="1" applyAlignment="1">
      <alignment horizontal="center"/>
    </xf>
    <xf numFmtId="0" fontId="3" fillId="0" borderId="60" xfId="0" applyFont="1" applyBorder="1" applyAlignment="1">
      <alignment horizontal="center"/>
    </xf>
    <xf numFmtId="0" fontId="12" fillId="0" borderId="61" xfId="0" applyFont="1" applyBorder="1" applyAlignment="1">
      <alignment horizontal="center"/>
    </xf>
    <xf numFmtId="0" fontId="12" fillId="0" borderId="62" xfId="0" applyFont="1" applyBorder="1" applyAlignment="1">
      <alignment horizontal="center"/>
    </xf>
    <xf numFmtId="0" fontId="24" fillId="9" borderId="9" xfId="0" applyFont="1" applyFill="1" applyBorder="1" applyAlignment="1">
      <alignment horizontal="center"/>
    </xf>
    <xf numFmtId="0" fontId="24" fillId="9" borderId="14" xfId="0" applyFont="1" applyFill="1" applyBorder="1" applyAlignment="1">
      <alignment horizontal="center"/>
    </xf>
    <xf numFmtId="0" fontId="24" fillId="9" borderId="3" xfId="0" applyFont="1" applyFill="1" applyBorder="1" applyAlignment="1">
      <alignment horizontal="center"/>
    </xf>
    <xf numFmtId="0" fontId="3" fillId="0" borderId="1" xfId="0" applyFont="1" applyBorder="1" applyAlignment="1">
      <alignment horizontal="center"/>
    </xf>
    <xf numFmtId="0" fontId="5" fillId="9" borderId="38" xfId="0" applyFont="1" applyFill="1" applyBorder="1" applyAlignment="1">
      <alignment horizontal="center"/>
    </xf>
    <xf numFmtId="0" fontId="5" fillId="9" borderId="37" xfId="0" applyFont="1" applyFill="1" applyBorder="1" applyAlignment="1">
      <alignment horizontal="center"/>
    </xf>
    <xf numFmtId="0" fontId="5" fillId="9" borderId="60" xfId="0" applyFont="1" applyFill="1" applyBorder="1" applyAlignment="1">
      <alignment horizontal="center"/>
    </xf>
    <xf numFmtId="0" fontId="5" fillId="9" borderId="61" xfId="0" applyFont="1" applyFill="1" applyBorder="1" applyAlignment="1">
      <alignment horizontal="center"/>
    </xf>
    <xf numFmtId="0" fontId="25" fillId="10" borderId="61" xfId="0" applyFont="1" applyFill="1" applyBorder="1" applyAlignment="1" applyProtection="1">
      <alignment horizontal="center"/>
      <protection locked="0"/>
    </xf>
    <xf numFmtId="0" fontId="25" fillId="10" borderId="62" xfId="0" applyFont="1" applyFill="1" applyBorder="1" applyAlignment="1" applyProtection="1">
      <alignment horizontal="center"/>
      <protection locked="0"/>
    </xf>
    <xf numFmtId="0" fontId="12" fillId="0" borderId="39" xfId="0" applyFont="1" applyBorder="1" applyAlignment="1">
      <alignment horizontal="center"/>
    </xf>
    <xf numFmtId="0" fontId="5" fillId="24" borderId="6" xfId="0" applyFont="1" applyFill="1" applyBorder="1" applyAlignment="1">
      <alignment horizontal="center"/>
    </xf>
    <xf numFmtId="0" fontId="5" fillId="11" borderId="61" xfId="0" applyFont="1" applyFill="1" applyBorder="1" applyAlignment="1" applyProtection="1">
      <alignment horizontal="center"/>
    </xf>
    <xf numFmtId="0" fontId="5" fillId="11" borderId="63" xfId="0" applyFont="1" applyFill="1" applyBorder="1" applyAlignment="1" applyProtection="1">
      <alignment horizontal="center"/>
    </xf>
    <xf numFmtId="0" fontId="5" fillId="11" borderId="62" xfId="0" applyFont="1" applyFill="1" applyBorder="1" applyAlignment="1" applyProtection="1">
      <alignment horizontal="center"/>
    </xf>
    <xf numFmtId="0" fontId="5" fillId="12" borderId="61" xfId="0" applyFont="1" applyFill="1" applyBorder="1" applyAlignment="1" applyProtection="1">
      <alignment horizontal="center"/>
    </xf>
    <xf numFmtId="0" fontId="5" fillId="12" borderId="63" xfId="0" applyFont="1" applyFill="1" applyBorder="1" applyAlignment="1" applyProtection="1">
      <alignment horizontal="center"/>
    </xf>
    <xf numFmtId="0" fontId="5" fillId="12" borderId="62" xfId="0" applyFont="1" applyFill="1" applyBorder="1" applyAlignment="1" applyProtection="1">
      <alignment horizontal="center"/>
    </xf>
    <xf numFmtId="0" fontId="3" fillId="19" borderId="2" xfId="0" applyFont="1" applyFill="1" applyBorder="1" applyAlignment="1">
      <alignment horizontal="center"/>
    </xf>
    <xf numFmtId="0" fontId="3" fillId="19" borderId="11" xfId="0" applyFont="1" applyFill="1" applyBorder="1" applyAlignment="1">
      <alignment horizontal="center"/>
    </xf>
    <xf numFmtId="0" fontId="5" fillId="3" borderId="2" xfId="0" applyFont="1" applyFill="1" applyBorder="1" applyAlignment="1" applyProtection="1">
      <alignment horizontal="center"/>
      <protection hidden="1"/>
    </xf>
    <xf numFmtId="0" fontId="5" fillId="3" borderId="15" xfId="0" applyFont="1" applyFill="1" applyBorder="1" applyAlignment="1" applyProtection="1">
      <alignment horizontal="center"/>
      <protection hidden="1"/>
    </xf>
    <xf numFmtId="0" fontId="5" fillId="3" borderId="11" xfId="0" applyFont="1" applyFill="1" applyBorder="1" applyAlignment="1" applyProtection="1">
      <alignment horizontal="center"/>
      <protection hidden="1"/>
    </xf>
    <xf numFmtId="0" fontId="5" fillId="11" borderId="28" xfId="0" applyFont="1" applyFill="1" applyBorder="1" applyAlignment="1" applyProtection="1">
      <alignment horizontal="center"/>
    </xf>
    <xf numFmtId="0" fontId="5" fillId="11" borderId="47" xfId="0" applyFont="1" applyFill="1" applyBorder="1" applyAlignment="1" applyProtection="1">
      <alignment horizontal="center"/>
    </xf>
    <xf numFmtId="0" fontId="5" fillId="11" borderId="36" xfId="0" applyFont="1" applyFill="1" applyBorder="1" applyAlignment="1" applyProtection="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19" fillId="9" borderId="18" xfId="0" applyFont="1" applyFill="1" applyBorder="1" applyAlignment="1" applyProtection="1">
      <alignment horizontal="center"/>
      <protection hidden="1"/>
    </xf>
    <xf numFmtId="0" fontId="19" fillId="9" borderId="20" xfId="0" applyFont="1" applyFill="1" applyBorder="1" applyAlignment="1" applyProtection="1">
      <alignment horizontal="center"/>
      <protection hidden="1"/>
    </xf>
    <xf numFmtId="0" fontId="19" fillId="9" borderId="21" xfId="0" applyFont="1" applyFill="1" applyBorder="1" applyAlignment="1" applyProtection="1">
      <alignment horizontal="center"/>
      <protection hidden="1"/>
    </xf>
    <xf numFmtId="0" fontId="3" fillId="23" borderId="1" xfId="0" applyFont="1" applyFill="1" applyBorder="1" applyAlignment="1">
      <alignment horizontal="center"/>
    </xf>
    <xf numFmtId="0" fontId="5" fillId="0" borderId="2" xfId="0" applyFont="1" applyBorder="1" applyAlignment="1">
      <alignment horizontal="center"/>
    </xf>
    <xf numFmtId="0" fontId="5" fillId="0" borderId="11" xfId="0" applyFont="1" applyBorder="1" applyAlignment="1">
      <alignment horizontal="center"/>
    </xf>
    <xf numFmtId="0" fontId="25" fillId="0" borderId="2" xfId="0" applyFont="1" applyBorder="1" applyAlignment="1">
      <alignment horizontal="center"/>
    </xf>
    <xf numFmtId="0" fontId="25" fillId="0" borderId="11" xfId="0" applyFont="1" applyBorder="1" applyAlignment="1">
      <alignment horizontal="center"/>
    </xf>
    <xf numFmtId="0" fontId="5" fillId="9" borderId="63" xfId="0" applyFont="1" applyFill="1" applyBorder="1" applyAlignment="1" applyProtection="1">
      <alignment horizontal="center"/>
      <protection hidden="1"/>
    </xf>
    <xf numFmtId="0" fontId="5" fillId="9" borderId="62" xfId="0" applyFont="1" applyFill="1" applyBorder="1" applyAlignment="1" applyProtection="1">
      <alignment horizontal="center"/>
      <protection hidden="1"/>
    </xf>
    <xf numFmtId="0" fontId="5" fillId="0" borderId="1" xfId="0" applyFont="1" applyBorder="1" applyAlignment="1">
      <alignment horizontal="center"/>
    </xf>
  </cellXfs>
  <cellStyles count="1">
    <cellStyle name="Normal" xfId="0" builtinId="0"/>
  </cellStyles>
  <dxfs count="174">
    <dxf>
      <font>
        <condense val="0"/>
        <extend val="0"/>
        <color indexed="10"/>
      </font>
      <fill>
        <patternFill>
          <bgColor indexed="43"/>
        </patternFill>
      </fill>
    </dxf>
    <dxf>
      <font>
        <condense val="0"/>
        <extend val="0"/>
        <color indexed="22"/>
      </font>
      <fill>
        <patternFill patternType="none">
          <bgColor indexed="65"/>
        </patternFill>
      </fill>
    </dxf>
    <dxf>
      <font>
        <condense val="0"/>
        <extend val="0"/>
        <color indexed="20"/>
      </font>
      <fill>
        <patternFill>
          <bgColor indexed="22"/>
        </patternFill>
      </fill>
    </dxf>
    <dxf>
      <font>
        <condense val="0"/>
        <extend val="0"/>
        <color indexed="22"/>
      </font>
    </dxf>
    <dxf>
      <font>
        <condense val="0"/>
        <extend val="0"/>
        <color indexed="47"/>
      </font>
    </dxf>
    <dxf>
      <font>
        <condense val="0"/>
        <extend val="0"/>
        <color indexed="47"/>
      </font>
    </dxf>
    <dxf>
      <font>
        <condense val="0"/>
        <extend val="0"/>
        <color indexed="47"/>
      </font>
      <fill>
        <patternFill>
          <bgColor indexed="9"/>
        </patternFill>
      </fill>
    </dxf>
    <dxf>
      <font>
        <condense val="0"/>
        <extend val="0"/>
        <color indexed="47"/>
      </font>
    </dxf>
    <dxf>
      <font>
        <condense val="0"/>
        <extend val="0"/>
        <color indexed="9"/>
      </font>
      <fill>
        <patternFill>
          <bgColor indexed="23"/>
        </patternFill>
      </fill>
    </dxf>
    <dxf>
      <font>
        <condense val="0"/>
        <extend val="0"/>
        <color indexed="9"/>
      </font>
      <fill>
        <patternFill>
          <bgColor indexed="23"/>
        </patternFill>
      </fill>
    </dxf>
    <dxf>
      <font>
        <condense val="0"/>
        <extend val="0"/>
        <color indexed="10"/>
      </font>
      <fill>
        <patternFill>
          <bgColor indexed="43"/>
        </patternFill>
      </fill>
    </dxf>
    <dxf>
      <font>
        <condense val="0"/>
        <extend val="0"/>
        <color indexed="9"/>
      </font>
      <fill>
        <patternFill>
          <bgColor indexed="10"/>
        </patternFill>
      </fill>
    </dxf>
    <dxf>
      <font>
        <condense val="0"/>
        <extend val="0"/>
        <color indexed="22"/>
      </font>
      <fill>
        <patternFill>
          <bgColor indexed="47"/>
        </patternFill>
      </fill>
    </dxf>
    <dxf>
      <font>
        <condense val="0"/>
        <extend val="0"/>
        <color indexed="9"/>
      </font>
      <fill>
        <patternFill>
          <bgColor indexed="10"/>
        </patternFill>
      </fill>
    </dxf>
    <dxf>
      <font>
        <condense val="0"/>
        <extend val="0"/>
        <color indexed="22"/>
      </font>
      <fill>
        <patternFill patternType="solid">
          <bgColor indexed="47"/>
        </patternFill>
      </fill>
    </dxf>
    <dxf>
      <font>
        <condense val="0"/>
        <extend val="0"/>
        <color indexed="9"/>
      </font>
      <fill>
        <patternFill>
          <bgColor indexed="10"/>
        </patternFill>
      </fill>
    </dxf>
    <dxf>
      <font>
        <condense val="0"/>
        <extend val="0"/>
        <color indexed="22"/>
      </font>
      <fill>
        <patternFill>
          <bgColor indexed="47"/>
        </patternFill>
      </fill>
    </dxf>
    <dxf>
      <font>
        <condense val="0"/>
        <extend val="0"/>
        <color indexed="9"/>
      </font>
      <fill>
        <patternFill>
          <bgColor indexed="10"/>
        </patternFill>
      </fill>
    </dxf>
    <dxf>
      <font>
        <condense val="0"/>
        <extend val="0"/>
        <color indexed="22"/>
      </font>
      <fill>
        <patternFill>
          <bgColor indexed="47"/>
        </patternFill>
      </fill>
    </dxf>
    <dxf>
      <font>
        <condense val="0"/>
        <extend val="0"/>
        <color indexed="9"/>
      </font>
      <fill>
        <patternFill>
          <bgColor indexed="10"/>
        </patternFill>
      </fill>
    </dxf>
    <dxf>
      <font>
        <condense val="0"/>
        <extend val="0"/>
        <color indexed="22"/>
      </font>
      <fill>
        <patternFill>
          <bgColor indexed="47"/>
        </patternFill>
      </fill>
    </dxf>
    <dxf>
      <font>
        <condense val="0"/>
        <extend val="0"/>
        <color indexed="9"/>
      </font>
      <fill>
        <patternFill>
          <bgColor indexed="10"/>
        </patternFill>
      </fill>
    </dxf>
    <dxf>
      <font>
        <condense val="0"/>
        <extend val="0"/>
        <color indexed="22"/>
      </font>
      <fill>
        <patternFill>
          <bgColor indexed="47"/>
        </patternFill>
      </fill>
    </dxf>
    <dxf>
      <font>
        <condense val="0"/>
        <extend val="0"/>
        <color indexed="9"/>
      </font>
      <fill>
        <patternFill>
          <bgColor indexed="10"/>
        </patternFill>
      </fill>
    </dxf>
    <dxf>
      <font>
        <condense val="0"/>
        <extend val="0"/>
        <color indexed="22"/>
      </font>
      <fill>
        <patternFill>
          <bgColor indexed="47"/>
        </patternFill>
      </fill>
    </dxf>
    <dxf>
      <font>
        <condense val="0"/>
        <extend val="0"/>
        <color indexed="9"/>
      </font>
      <fill>
        <patternFill>
          <bgColor indexed="10"/>
        </patternFill>
      </fill>
    </dxf>
    <dxf>
      <font>
        <condense val="0"/>
        <extend val="0"/>
        <color indexed="22"/>
      </font>
      <fill>
        <patternFill patternType="solid">
          <bgColor indexed="47"/>
        </patternFill>
      </fill>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23"/>
        </patternFill>
      </fill>
    </dxf>
    <dxf>
      <font>
        <condense val="0"/>
        <extend val="0"/>
        <color indexed="10"/>
      </font>
      <fill>
        <patternFill>
          <bgColor indexed="43"/>
        </patternFill>
      </fill>
    </dxf>
    <dxf>
      <font>
        <b/>
        <i val="0"/>
        <condense val="0"/>
        <extend val="0"/>
        <color indexed="9"/>
      </font>
      <fill>
        <patternFill>
          <bgColor indexed="10"/>
        </patternFill>
      </fill>
    </dxf>
    <dxf>
      <font>
        <b val="0"/>
        <i val="0"/>
        <condense val="0"/>
        <extend val="0"/>
        <color indexed="8"/>
      </font>
      <fill>
        <patternFill>
          <bgColor indexed="43"/>
        </patternFill>
      </fill>
    </dxf>
    <dxf>
      <font>
        <condense val="0"/>
        <extend val="0"/>
        <color indexed="9"/>
      </font>
      <fill>
        <patternFill>
          <bgColor indexed="23"/>
        </patternFill>
      </fill>
    </dxf>
    <dxf>
      <font>
        <condense val="0"/>
        <extend val="0"/>
        <color indexed="47"/>
      </font>
    </dxf>
    <dxf>
      <font>
        <condense val="0"/>
        <extend val="0"/>
        <color indexed="22"/>
      </font>
    </dxf>
    <dxf>
      <font>
        <condense val="0"/>
        <extend val="0"/>
        <color indexed="47"/>
      </font>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10"/>
      </font>
      <fill>
        <patternFill>
          <bgColor indexed="43"/>
        </patternFill>
      </fill>
    </dxf>
    <dxf>
      <font>
        <condense val="0"/>
        <extend val="0"/>
        <color indexed="47"/>
      </font>
      <fill>
        <patternFill>
          <bgColor indexed="9"/>
        </patternFill>
      </fill>
    </dxf>
    <dxf>
      <font>
        <condense val="0"/>
        <extend val="0"/>
        <color indexed="9"/>
      </font>
      <fill>
        <patternFill>
          <bgColor indexed="23"/>
        </patternFill>
      </fill>
    </dxf>
    <dxf>
      <font>
        <condense val="0"/>
        <extend val="0"/>
        <color indexed="47"/>
      </font>
    </dxf>
    <dxf>
      <font>
        <condense val="0"/>
        <extend val="0"/>
        <color indexed="10"/>
      </font>
      <fill>
        <patternFill>
          <bgColor indexed="43"/>
        </patternFill>
      </fill>
    </dxf>
    <dxf>
      <font>
        <condense val="0"/>
        <extend val="0"/>
        <color indexed="55"/>
      </font>
      <fill>
        <patternFill>
          <bgColor indexed="9"/>
        </patternFill>
      </fill>
    </dxf>
    <dxf>
      <font>
        <condense val="0"/>
        <extend val="0"/>
        <color indexed="10"/>
      </font>
      <fill>
        <patternFill>
          <bgColor indexed="43"/>
        </patternFill>
      </fill>
    </dxf>
    <dxf>
      <font>
        <condense val="0"/>
        <extend val="0"/>
        <color indexed="9"/>
      </font>
      <fill>
        <patternFill>
          <bgColor indexed="2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47"/>
      </font>
    </dxf>
    <dxf>
      <font>
        <condense val="0"/>
        <extend val="0"/>
        <color indexed="10"/>
      </font>
      <fill>
        <patternFill>
          <bgColor indexed="43"/>
        </patternFill>
      </fill>
    </dxf>
    <dxf>
      <font>
        <condense val="0"/>
        <extend val="0"/>
        <color indexed="10"/>
      </font>
      <fill>
        <patternFill>
          <bgColor indexed="43"/>
        </patternFill>
      </fill>
    </dxf>
    <dxf>
      <font>
        <condense val="0"/>
        <extend val="0"/>
        <color indexed="22"/>
      </font>
      <fill>
        <patternFill patternType="none">
          <bgColor indexed="65"/>
        </patternFill>
      </fill>
    </dxf>
    <dxf>
      <font>
        <b/>
        <i val="0"/>
        <condense val="0"/>
        <extend val="0"/>
        <color indexed="12"/>
      </font>
      <fill>
        <patternFill>
          <bgColor indexed="47"/>
        </patternFill>
      </fill>
    </dxf>
    <dxf>
      <font>
        <condense val="0"/>
        <extend val="0"/>
        <color indexed="10"/>
      </font>
      <fill>
        <patternFill>
          <bgColor indexed="43"/>
        </patternFill>
      </fill>
    </dxf>
    <dxf>
      <font>
        <condense val="0"/>
        <extend val="0"/>
        <color indexed="9"/>
      </font>
      <fill>
        <patternFill>
          <bgColor indexed="23"/>
        </patternFill>
      </fill>
    </dxf>
    <dxf>
      <font>
        <b/>
        <i val="0"/>
        <condense val="0"/>
        <extend val="0"/>
        <color indexed="12"/>
      </font>
      <fill>
        <patternFill>
          <bgColor indexed="47"/>
        </patternFill>
      </fill>
    </dxf>
    <dxf>
      <font>
        <condense val="0"/>
        <extend val="0"/>
        <color indexed="10"/>
      </font>
      <fill>
        <patternFill>
          <bgColor indexed="43"/>
        </patternFill>
      </fill>
    </dxf>
    <dxf>
      <font>
        <condense val="0"/>
        <extend val="0"/>
        <color indexed="10"/>
      </font>
      <fill>
        <patternFill>
          <bgColor indexed="43"/>
        </patternFill>
      </fill>
    </dxf>
    <dxf>
      <font>
        <b/>
        <i val="0"/>
        <condense val="0"/>
        <extend val="0"/>
        <color indexed="12"/>
      </font>
      <fill>
        <patternFill>
          <bgColor indexed="47"/>
        </patternFill>
      </fill>
    </dxf>
    <dxf>
      <font>
        <condense val="0"/>
        <extend val="0"/>
        <color indexed="10"/>
      </font>
      <fill>
        <patternFill>
          <bgColor indexed="43"/>
        </patternFill>
      </fill>
    </dxf>
    <dxf>
      <fill>
        <patternFill>
          <bgColor indexed="10"/>
        </patternFill>
      </fill>
    </dxf>
    <dxf>
      <font>
        <condense val="0"/>
        <extend val="0"/>
        <color indexed="9"/>
      </font>
      <fill>
        <patternFill>
          <bgColor indexed="23"/>
        </patternFill>
      </fill>
    </dxf>
    <dxf>
      <font>
        <condense val="0"/>
        <extend val="0"/>
        <color indexed="10"/>
      </font>
      <fill>
        <patternFill>
          <bgColor indexed="43"/>
        </patternFill>
      </fill>
    </dxf>
    <dxf>
      <fill>
        <patternFill>
          <bgColor indexed="10"/>
        </patternFill>
      </fill>
    </dxf>
    <dxf>
      <font>
        <condense val="0"/>
        <extend val="0"/>
        <color indexed="9"/>
      </font>
      <fill>
        <patternFill>
          <bgColor indexed="23"/>
        </patternFill>
      </fill>
    </dxf>
    <dxf>
      <font>
        <condense val="0"/>
        <extend val="0"/>
        <color indexed="10"/>
      </font>
      <fill>
        <patternFill>
          <bgColor indexed="43"/>
        </patternFill>
      </fill>
    </dxf>
    <dxf>
      <fill>
        <patternFill>
          <bgColor indexed="10"/>
        </patternFill>
      </fill>
    </dxf>
    <dxf>
      <font>
        <condense val="0"/>
        <extend val="0"/>
        <color indexed="9"/>
      </font>
      <fill>
        <patternFill>
          <bgColor indexed="23"/>
        </patternFill>
      </fill>
    </dxf>
    <dxf>
      <font>
        <condense val="0"/>
        <extend val="0"/>
        <color indexed="10"/>
      </font>
      <fill>
        <patternFill>
          <bgColor indexed="43"/>
        </patternFill>
      </fill>
    </dxf>
    <dxf>
      <fill>
        <patternFill>
          <bgColor indexed="10"/>
        </patternFill>
      </fill>
    </dxf>
    <dxf>
      <font>
        <condense val="0"/>
        <extend val="0"/>
        <color indexed="9"/>
      </font>
      <fill>
        <patternFill>
          <bgColor indexed="23"/>
        </patternFill>
      </fill>
    </dxf>
    <dxf>
      <font>
        <condense val="0"/>
        <extend val="0"/>
        <color indexed="10"/>
      </font>
      <fill>
        <patternFill>
          <bgColor indexed="43"/>
        </patternFill>
      </fill>
    </dxf>
    <dxf>
      <font>
        <condense val="0"/>
        <extend val="0"/>
        <color indexed="10"/>
      </font>
      <fill>
        <patternFill>
          <bgColor indexed="43"/>
        </patternFill>
      </fill>
    </dxf>
    <dxf>
      <font>
        <condense val="0"/>
        <extend val="0"/>
        <color indexed="9"/>
      </font>
      <fill>
        <patternFill>
          <bgColor indexed="23"/>
        </patternFill>
      </fill>
    </dxf>
    <dxf>
      <font>
        <condense val="0"/>
        <extend val="0"/>
        <color indexed="10"/>
      </font>
      <fill>
        <patternFill>
          <bgColor indexed="43"/>
        </patternFill>
      </fill>
    </dxf>
    <dxf>
      <font>
        <condense val="0"/>
        <extend val="0"/>
        <color indexed="10"/>
      </font>
      <fill>
        <patternFill>
          <bgColor indexed="43"/>
        </patternFill>
      </fill>
    </dxf>
    <dxf>
      <font>
        <condense val="0"/>
        <extend val="0"/>
        <color indexed="10"/>
      </font>
      <fill>
        <patternFill>
          <bgColor indexed="43"/>
        </patternFill>
      </fill>
    </dxf>
    <dxf>
      <font>
        <condense val="0"/>
        <extend val="0"/>
        <color indexed="10"/>
      </font>
      <fill>
        <patternFill>
          <bgColor indexed="43"/>
        </patternFill>
      </fill>
    </dxf>
    <dxf>
      <font>
        <condense val="0"/>
        <extend val="0"/>
        <color indexed="9"/>
      </font>
      <fill>
        <patternFill>
          <bgColor indexed="23"/>
        </patternFill>
      </fill>
    </dxf>
    <dxf>
      <font>
        <condense val="0"/>
        <extend val="0"/>
        <color indexed="10"/>
      </font>
      <fill>
        <patternFill>
          <bgColor indexed="43"/>
        </patternFill>
      </fill>
    </dxf>
    <dxf>
      <font>
        <condense val="0"/>
        <extend val="0"/>
        <color indexed="9"/>
      </font>
      <fill>
        <patternFill>
          <bgColor indexed="23"/>
        </patternFill>
      </fill>
    </dxf>
    <dxf>
      <font>
        <condense val="0"/>
        <extend val="0"/>
        <color indexed="10"/>
      </font>
      <fill>
        <patternFill>
          <bgColor indexed="43"/>
        </patternFill>
      </fill>
    </dxf>
    <dxf>
      <font>
        <condense val="0"/>
        <extend val="0"/>
        <color indexed="9"/>
      </font>
      <fill>
        <patternFill>
          <bgColor indexed="23"/>
        </patternFill>
      </fill>
    </dxf>
    <dxf>
      <font>
        <condense val="0"/>
        <extend val="0"/>
        <color indexed="10"/>
      </font>
      <fill>
        <patternFill>
          <bgColor indexed="43"/>
        </patternFill>
      </fill>
    </dxf>
    <dxf>
      <font>
        <condense val="0"/>
        <extend val="0"/>
        <color indexed="10"/>
      </font>
    </dxf>
    <dxf>
      <font>
        <condense val="0"/>
        <extend val="0"/>
        <color indexed="10"/>
      </font>
      <fill>
        <patternFill>
          <bgColor indexed="43"/>
        </patternFill>
      </fill>
    </dxf>
    <dxf>
      <font>
        <condense val="0"/>
        <extend val="0"/>
        <color indexed="10"/>
      </font>
      <fill>
        <patternFill>
          <bgColor indexed="43"/>
        </patternFill>
      </fill>
    </dxf>
    <dxf>
      <font>
        <condense val="0"/>
        <extend val="0"/>
        <color indexed="10"/>
      </font>
      <fill>
        <patternFill>
          <bgColor indexed="43"/>
        </patternFill>
      </fill>
    </dxf>
    <dxf>
      <font>
        <condense val="0"/>
        <extend val="0"/>
        <color indexed="8"/>
      </font>
      <fill>
        <patternFill>
          <bgColor indexed="10"/>
        </patternFill>
      </fill>
    </dxf>
    <dxf>
      <font>
        <condense val="0"/>
        <extend val="0"/>
        <color indexed="55"/>
      </font>
    </dxf>
    <dxf>
      <font>
        <condense val="0"/>
        <extend val="0"/>
        <color indexed="55"/>
      </font>
    </dxf>
    <dxf>
      <fill>
        <patternFill>
          <bgColor indexed="10"/>
        </patternFill>
      </fill>
    </dxf>
    <dxf>
      <font>
        <condense val="0"/>
        <extend val="0"/>
        <color indexed="55"/>
      </font>
    </dxf>
    <dxf>
      <font>
        <condense val="0"/>
        <extend val="0"/>
        <color indexed="23"/>
      </font>
    </dxf>
    <dxf>
      <font>
        <condense val="0"/>
        <extend val="0"/>
        <color indexed="55"/>
      </font>
    </dxf>
    <dxf>
      <font>
        <condense val="0"/>
        <extend val="0"/>
        <color indexed="55"/>
      </font>
    </dxf>
    <dxf>
      <font>
        <condense val="0"/>
        <extend val="0"/>
        <color indexed="8"/>
      </font>
      <fill>
        <patternFill>
          <bgColor indexed="10"/>
        </patternFill>
      </fill>
    </dxf>
    <dxf>
      <font>
        <condense val="0"/>
        <extend val="0"/>
        <color indexed="8"/>
      </font>
      <fill>
        <patternFill>
          <bgColor indexed="10"/>
        </patternFill>
      </fill>
    </dxf>
    <dxf>
      <font>
        <condense val="0"/>
        <extend val="0"/>
        <color indexed="22"/>
      </font>
    </dxf>
    <dxf>
      <fill>
        <patternFill>
          <bgColor indexed="29"/>
        </patternFill>
      </fill>
    </dxf>
    <dxf>
      <fill>
        <patternFill>
          <bgColor indexed="10"/>
        </patternFill>
      </fill>
    </dxf>
    <dxf>
      <font>
        <condense val="0"/>
        <extend val="0"/>
        <color indexed="8"/>
      </font>
      <fill>
        <patternFill>
          <bgColor indexed="17"/>
        </patternFill>
      </fill>
    </dxf>
    <dxf>
      <font>
        <condense val="0"/>
        <extend val="0"/>
        <color indexed="22"/>
      </font>
    </dxf>
    <dxf>
      <font>
        <condense val="0"/>
        <extend val="0"/>
        <color indexed="22"/>
      </font>
    </dxf>
    <dxf>
      <font>
        <condense val="0"/>
        <extend val="0"/>
        <color indexed="10"/>
      </font>
      <fill>
        <patternFill>
          <bgColor indexed="43"/>
        </patternFill>
      </fill>
    </dxf>
    <dxf>
      <font>
        <condense val="0"/>
        <extend val="0"/>
        <color indexed="9"/>
      </font>
      <fill>
        <patternFill>
          <bgColor indexed="10"/>
        </patternFill>
      </fill>
    </dxf>
    <dxf>
      <font>
        <condense val="0"/>
        <extend val="0"/>
        <color indexed="23"/>
      </font>
      <fill>
        <patternFill>
          <bgColor indexed="45"/>
        </patternFill>
      </fill>
    </dxf>
    <dxf>
      <font>
        <condense val="0"/>
        <extend val="0"/>
        <color indexed="22"/>
      </font>
      <fill>
        <patternFill>
          <bgColor indexed="42"/>
        </patternFill>
      </fill>
    </dxf>
    <dxf>
      <font>
        <condense val="0"/>
        <extend val="0"/>
        <color indexed="55"/>
      </font>
      <fill>
        <patternFill>
          <bgColor indexed="46"/>
        </patternFill>
      </fill>
    </dxf>
    <dxf>
      <font>
        <condense val="0"/>
        <extend val="0"/>
        <color indexed="23"/>
      </font>
    </dxf>
    <dxf>
      <font>
        <condense val="0"/>
        <extend val="0"/>
        <color indexed="23"/>
      </font>
      <fill>
        <patternFill>
          <bgColor indexed="45"/>
        </patternFill>
      </fill>
    </dxf>
    <dxf>
      <font>
        <condense val="0"/>
        <extend val="0"/>
        <color indexed="23"/>
      </font>
      <fill>
        <patternFill>
          <bgColor indexed="45"/>
        </patternFill>
      </fill>
    </dxf>
    <dxf>
      <font>
        <condense val="0"/>
        <extend val="0"/>
        <color indexed="23"/>
      </font>
      <fill>
        <patternFill>
          <bgColor indexed="45"/>
        </patternFill>
      </fill>
    </dxf>
    <dxf>
      <font>
        <condense val="0"/>
        <extend val="0"/>
        <color indexed="22"/>
      </font>
    </dxf>
    <dxf>
      <font>
        <condense val="0"/>
        <extend val="0"/>
        <color indexed="9"/>
      </font>
    </dxf>
    <dxf>
      <font>
        <condense val="0"/>
        <extend val="0"/>
        <color indexed="9"/>
      </font>
      <fill>
        <patternFill>
          <bgColor indexed="10"/>
        </patternFill>
      </fill>
    </dxf>
    <dxf>
      <font>
        <condense val="0"/>
        <extend val="0"/>
        <color indexed="10"/>
      </font>
      <fill>
        <patternFill>
          <bgColor indexed="43"/>
        </patternFill>
      </fill>
    </dxf>
    <dxf>
      <font>
        <b/>
        <i val="0"/>
        <condense val="0"/>
        <extend val="0"/>
        <color indexed="9"/>
      </font>
      <fill>
        <patternFill>
          <bgColor indexed="10"/>
        </patternFill>
      </fill>
    </dxf>
    <dxf>
      <font>
        <condense val="0"/>
        <extend val="0"/>
        <color indexed="22"/>
      </font>
    </dxf>
    <dxf>
      <fill>
        <patternFill>
          <bgColor indexed="10"/>
        </patternFill>
      </fill>
    </dxf>
    <dxf>
      <font>
        <condense val="0"/>
        <extend val="0"/>
        <color indexed="22"/>
      </font>
    </dxf>
    <dxf>
      <fill>
        <patternFill>
          <bgColor indexed="10"/>
        </patternFill>
      </fill>
    </dxf>
    <dxf>
      <font>
        <condense val="0"/>
        <extend val="0"/>
        <color indexed="22"/>
      </font>
    </dxf>
    <dxf>
      <fill>
        <patternFill>
          <bgColor indexed="10"/>
        </patternFill>
      </fill>
    </dxf>
    <dxf>
      <font>
        <condense val="0"/>
        <extend val="0"/>
        <color indexed="22"/>
      </font>
    </dxf>
    <dxf>
      <font>
        <condense val="0"/>
        <extend val="0"/>
        <color indexed="22"/>
      </font>
      <fill>
        <patternFill>
          <bgColor indexed="47"/>
        </patternFill>
      </fill>
    </dxf>
    <dxf>
      <font>
        <condense val="0"/>
        <extend val="0"/>
        <color indexed="22"/>
      </font>
      <fill>
        <patternFill>
          <bgColor indexed="47"/>
        </patternFill>
      </fill>
    </dxf>
    <dxf>
      <font>
        <condense val="0"/>
        <extend val="0"/>
        <color indexed="22"/>
      </font>
    </dxf>
    <dxf>
      <font>
        <condense val="0"/>
        <extend val="0"/>
        <color indexed="55"/>
      </font>
    </dxf>
    <dxf>
      <font>
        <condense val="0"/>
        <extend val="0"/>
        <color indexed="10"/>
      </font>
      <fill>
        <patternFill>
          <bgColor indexed="43"/>
        </patternFill>
      </fill>
    </dxf>
    <dxf>
      <font>
        <b/>
        <i val="0"/>
        <condense val="0"/>
        <extend val="0"/>
        <color indexed="9"/>
      </font>
      <fill>
        <patternFill>
          <bgColor indexed="10"/>
        </patternFill>
      </fill>
    </dxf>
    <dxf>
      <font>
        <condense val="0"/>
        <extend val="0"/>
        <color indexed="55"/>
      </font>
    </dxf>
    <dxf>
      <font>
        <condense val="0"/>
        <extend val="0"/>
        <color indexed="55"/>
      </font>
    </dxf>
    <dxf>
      <font>
        <condense val="0"/>
        <extend val="0"/>
        <color indexed="22"/>
      </font>
    </dxf>
    <dxf>
      <font>
        <condense val="0"/>
        <extend val="0"/>
        <color indexed="22"/>
      </font>
    </dxf>
    <dxf>
      <font>
        <condense val="0"/>
        <extend val="0"/>
        <color indexed="22"/>
      </font>
    </dxf>
    <dxf>
      <font>
        <condense val="0"/>
        <extend val="0"/>
        <color indexed="55"/>
      </font>
    </dxf>
    <dxf>
      <font>
        <condense val="0"/>
        <extend val="0"/>
        <color indexed="22"/>
      </font>
    </dxf>
    <dxf>
      <fill>
        <patternFill>
          <bgColor indexed="29"/>
        </patternFill>
      </fill>
    </dxf>
    <dxf>
      <fill>
        <patternFill>
          <bgColor indexed="29"/>
        </patternFill>
      </fill>
    </dxf>
    <dxf>
      <font>
        <condense val="0"/>
        <extend val="0"/>
        <color indexed="55"/>
      </font>
      <fill>
        <patternFill>
          <bgColor indexed="50"/>
        </patternFill>
      </fill>
    </dxf>
    <dxf>
      <font>
        <condense val="0"/>
        <extend val="0"/>
        <color indexed="55"/>
      </font>
      <fill>
        <patternFill>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00.xml><?xml version="1.0" encoding="utf-8"?>
<ax:ocx xmlns:ax="http://schemas.microsoft.com/office/2006/activeX" xmlns:r="http://schemas.openxmlformats.org/officeDocument/2006/relationships" ax:classid="{8BD21D50-EC42-11CE-9E0D-00AA006002F3}" ax:persistence="persistStreamInit" r:id="rId1"/>
</file>

<file path=xl/activeX/activeX101.xml><?xml version="1.0" encoding="utf-8"?>
<ax:ocx xmlns:ax="http://schemas.microsoft.com/office/2006/activeX" xmlns:r="http://schemas.openxmlformats.org/officeDocument/2006/relationships" ax:classid="{8BD21D50-EC42-11CE-9E0D-00AA006002F3}" ax:persistence="persistStreamInit" r:id="rId1"/>
</file>

<file path=xl/activeX/activeX102.xml><?xml version="1.0" encoding="utf-8"?>
<ax:ocx xmlns:ax="http://schemas.microsoft.com/office/2006/activeX" xmlns:r="http://schemas.openxmlformats.org/officeDocument/2006/relationships" ax:classid="{8BD21D50-EC42-11CE-9E0D-00AA006002F3}"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8BD21D50-EC42-11CE-9E0D-00AA006002F3}" ax:persistence="persistStreamInit" r:id="rId1"/>
</file>

<file path=xl/activeX/activeX12.xml><?xml version="1.0" encoding="utf-8"?>
<ax:ocx xmlns:ax="http://schemas.microsoft.com/office/2006/activeX" xmlns:r="http://schemas.openxmlformats.org/officeDocument/2006/relationships" ax:classid="{8BD21D50-EC42-11CE-9E0D-00AA006002F3}" ax:persistence="persistStreamInit" r:id="rId1"/>
</file>

<file path=xl/activeX/activeX13.xml><?xml version="1.0" encoding="utf-8"?>
<ax:ocx xmlns:ax="http://schemas.microsoft.com/office/2006/activeX" xmlns:r="http://schemas.openxmlformats.org/officeDocument/2006/relationships" ax:classid="{978C9E23-D4B0-11CE-BF2D-00AA003F40D0}"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978C9E23-D4B0-11CE-BF2D-00AA003F40D0}"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30.xml><?xml version="1.0" encoding="utf-8"?>
<ax:ocx xmlns:ax="http://schemas.microsoft.com/office/2006/activeX" xmlns:r="http://schemas.openxmlformats.org/officeDocument/2006/relationships" ax:classid="{8BD21D30-EC42-11CE-9E0D-00AA006002F3}" ax:persistence="persistStreamInit" r:id="rId1"/>
</file>

<file path=xl/activeX/activeX31.xml><?xml version="1.0" encoding="utf-8"?>
<ax:ocx xmlns:ax="http://schemas.microsoft.com/office/2006/activeX" xmlns:r="http://schemas.openxmlformats.org/officeDocument/2006/relationships" ax:classid="{8BD21D30-EC42-11CE-9E0D-00AA006002F3}" ax:persistence="persistStreamInit" r:id="rId1"/>
</file>

<file path=xl/activeX/activeX32.xml><?xml version="1.0" encoding="utf-8"?>
<ax:ocx xmlns:ax="http://schemas.microsoft.com/office/2006/activeX" xmlns:r="http://schemas.openxmlformats.org/officeDocument/2006/relationships" ax:classid="{8BD21D30-EC42-11CE-9E0D-00AA006002F3}" ax:persistence="persistStreamInit" r:id="rId1"/>
</file>

<file path=xl/activeX/activeX33.xml><?xml version="1.0" encoding="utf-8"?>
<ax:ocx xmlns:ax="http://schemas.microsoft.com/office/2006/activeX" xmlns:r="http://schemas.openxmlformats.org/officeDocument/2006/relationships" ax:classid="{8BD21D50-EC42-11CE-9E0D-00AA006002F3}" ax:persistence="persistStreamInit" r:id="rId1"/>
</file>

<file path=xl/activeX/activeX34.xml><?xml version="1.0" encoding="utf-8"?>
<ax:ocx xmlns:ax="http://schemas.microsoft.com/office/2006/activeX" xmlns:r="http://schemas.openxmlformats.org/officeDocument/2006/relationships" ax:classid="{8BD21D50-EC42-11CE-9E0D-00AA006002F3}" ax:persistence="persistStreamInit" r:id="rId1"/>
</file>

<file path=xl/activeX/activeX35.xml><?xml version="1.0" encoding="utf-8"?>
<ax:ocx xmlns:ax="http://schemas.microsoft.com/office/2006/activeX" xmlns:r="http://schemas.openxmlformats.org/officeDocument/2006/relationships" ax:classid="{8BD21D30-EC42-11CE-9E0D-00AA006002F3}" ax:persistence="persistStreamInit" r:id="rId1"/>
</file>

<file path=xl/activeX/activeX36.xml><?xml version="1.0" encoding="utf-8"?>
<ax:ocx xmlns:ax="http://schemas.microsoft.com/office/2006/activeX" xmlns:r="http://schemas.openxmlformats.org/officeDocument/2006/relationships" ax:classid="{8BD21D30-EC42-11CE-9E0D-00AA006002F3}" ax:persistence="persistStreamInit" r:id="rId1"/>
</file>

<file path=xl/activeX/activeX37.xml><?xml version="1.0" encoding="utf-8"?>
<ax:ocx xmlns:ax="http://schemas.microsoft.com/office/2006/activeX" xmlns:r="http://schemas.openxmlformats.org/officeDocument/2006/relationships" ax:classid="{8BD21D3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79176FB0-B7F2-11CE-97EF-00AA006D2776}" ax:persistence="persistStreamInit" r:id="rId1"/>
</file>

<file path=xl/activeX/activeX40.xml><?xml version="1.0" encoding="utf-8"?>
<ax:ocx xmlns:ax="http://schemas.microsoft.com/office/2006/activeX" xmlns:r="http://schemas.openxmlformats.org/officeDocument/2006/relationships" ax:classid="{8BD21D3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30-EC42-11CE-9E0D-00AA006002F3}" ax:persistence="persistStreamInit" r:id="rId1"/>
</file>

<file path=xl/activeX/activeX43.xml><?xml version="1.0" encoding="utf-8"?>
<ax:ocx xmlns:ax="http://schemas.microsoft.com/office/2006/activeX" xmlns:r="http://schemas.openxmlformats.org/officeDocument/2006/relationships" ax:classid="{8BD21D30-EC42-11CE-9E0D-00AA006002F3}" ax:persistence="persistStreamInit" r:id="rId1"/>
</file>

<file path=xl/activeX/activeX44.xml><?xml version="1.0" encoding="utf-8"?>
<ax:ocx xmlns:ax="http://schemas.microsoft.com/office/2006/activeX" xmlns:r="http://schemas.openxmlformats.org/officeDocument/2006/relationships" ax:classid="{8BD21D30-EC42-11CE-9E0D-00AA006002F3}" ax:persistence="persistStreamInit" r:id="rId1"/>
</file>

<file path=xl/activeX/activeX45.xml><?xml version="1.0" encoding="utf-8"?>
<ax:ocx xmlns:ax="http://schemas.microsoft.com/office/2006/activeX" xmlns:r="http://schemas.openxmlformats.org/officeDocument/2006/relationships" ax:classid="{8BD21D30-EC42-11CE-9E0D-00AA006002F3}" ax:persistence="persistStreamInit" r:id="rId1"/>
</file>

<file path=xl/activeX/activeX46.xml><?xml version="1.0" encoding="utf-8"?>
<ax:ocx xmlns:ax="http://schemas.microsoft.com/office/2006/activeX" xmlns:r="http://schemas.openxmlformats.org/officeDocument/2006/relationships" ax:classid="{8BD21D30-EC42-11CE-9E0D-00AA006002F3}" ax:persistence="persistStreamInit" r:id="rId1"/>
</file>

<file path=xl/activeX/activeX47.xml><?xml version="1.0" encoding="utf-8"?>
<ax:ocx xmlns:ax="http://schemas.microsoft.com/office/2006/activeX" xmlns:r="http://schemas.openxmlformats.org/officeDocument/2006/relationships" ax:classid="{8BD21D40-EC42-11CE-9E0D-00AA006002F3}" ax:persistence="persistStreamInit" r:id="rId1"/>
</file>

<file path=xl/activeX/activeX48.xml><?xml version="1.0" encoding="utf-8"?>
<ax:ocx xmlns:ax="http://schemas.microsoft.com/office/2006/activeX" xmlns:r="http://schemas.openxmlformats.org/officeDocument/2006/relationships" ax:classid="{8BD21D40-EC42-11CE-9E0D-00AA006002F3}" ax:persistence="persistStreamInit" r:id="rId1"/>
</file>

<file path=xl/activeX/activeX49.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50.xml><?xml version="1.0" encoding="utf-8"?>
<ax:ocx xmlns:ax="http://schemas.microsoft.com/office/2006/activeX" xmlns:r="http://schemas.openxmlformats.org/officeDocument/2006/relationships" ax:classid="{8BD21D40-EC42-11CE-9E0D-00AA006002F3}" ax:persistence="persistStreamInit" r:id="rId1"/>
</file>

<file path=xl/activeX/activeX51.xml><?xml version="1.0" encoding="utf-8"?>
<ax:ocx xmlns:ax="http://schemas.microsoft.com/office/2006/activeX" xmlns:r="http://schemas.openxmlformats.org/officeDocument/2006/relationships" ax:classid="{8BD21D50-EC42-11CE-9E0D-00AA006002F3}" ax:persistence="persistStreamInit" r:id="rId1"/>
</file>

<file path=xl/activeX/activeX52.xml><?xml version="1.0" encoding="utf-8"?>
<ax:ocx xmlns:ax="http://schemas.microsoft.com/office/2006/activeX" xmlns:r="http://schemas.openxmlformats.org/officeDocument/2006/relationships" ax:classid="{8BD21D50-EC42-11CE-9E0D-00AA006002F3}" ax:persistence="persistStreamInit" r:id="rId1"/>
</file>

<file path=xl/activeX/activeX53.xml><?xml version="1.0" encoding="utf-8"?>
<ax:ocx xmlns:ax="http://schemas.microsoft.com/office/2006/activeX" xmlns:r="http://schemas.openxmlformats.org/officeDocument/2006/relationships" ax:classid="{8BD21D50-EC42-11CE-9E0D-00AA006002F3}" ax:persistence="persistStreamInit" r:id="rId1"/>
</file>

<file path=xl/activeX/activeX54.xml><?xml version="1.0" encoding="utf-8"?>
<ax:ocx xmlns:ax="http://schemas.microsoft.com/office/2006/activeX" xmlns:r="http://schemas.openxmlformats.org/officeDocument/2006/relationships" ax:classid="{8BD21D40-EC42-11CE-9E0D-00AA006002F3}" ax:persistence="persistStreamInit" r:id="rId1"/>
</file>

<file path=xl/activeX/activeX55.xml><?xml version="1.0" encoding="utf-8"?>
<ax:ocx xmlns:ax="http://schemas.microsoft.com/office/2006/activeX" xmlns:r="http://schemas.openxmlformats.org/officeDocument/2006/relationships" ax:classid="{8BD21D50-EC42-11CE-9E0D-00AA006002F3}" ax:persistence="persistStreamInit" r:id="rId1"/>
</file>

<file path=xl/activeX/activeX56.xml><?xml version="1.0" encoding="utf-8"?>
<ax:ocx xmlns:ax="http://schemas.microsoft.com/office/2006/activeX" xmlns:r="http://schemas.openxmlformats.org/officeDocument/2006/relationships" ax:classid="{8BD21D50-EC42-11CE-9E0D-00AA006002F3}" ax:persistence="persistStreamInit" r:id="rId1"/>
</file>

<file path=xl/activeX/activeX57.xml><?xml version="1.0" encoding="utf-8"?>
<ax:ocx xmlns:ax="http://schemas.microsoft.com/office/2006/activeX" xmlns:r="http://schemas.openxmlformats.org/officeDocument/2006/relationships" ax:classid="{8BD21D50-EC42-11CE-9E0D-00AA006002F3}" ax:persistence="persistStreamInit" r:id="rId1"/>
</file>

<file path=xl/activeX/activeX58.xml><?xml version="1.0" encoding="utf-8"?>
<ax:ocx xmlns:ax="http://schemas.microsoft.com/office/2006/activeX" xmlns:r="http://schemas.openxmlformats.org/officeDocument/2006/relationships" ax:classid="{8BD21D40-EC42-11CE-9E0D-00AA006002F3}" ax:persistence="persistStreamInit" r:id="rId1"/>
</file>

<file path=xl/activeX/activeX59.xml><?xml version="1.0" encoding="utf-8"?>
<ax:ocx xmlns:ax="http://schemas.microsoft.com/office/2006/activeX" xmlns:r="http://schemas.openxmlformats.org/officeDocument/2006/relationships" ax:classid="{79176FB0-B7F2-11CE-97EF-00AA006D2776}"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60.xml><?xml version="1.0" encoding="utf-8"?>
<ax:ocx xmlns:ax="http://schemas.microsoft.com/office/2006/activeX" xmlns:r="http://schemas.openxmlformats.org/officeDocument/2006/relationships" ax:classid="{79176FB0-B7F2-11CE-97EF-00AA006D2776}" ax:persistence="persistStreamInit" r:id="rId1"/>
</file>

<file path=xl/activeX/activeX61.xml><?xml version="1.0" encoding="utf-8"?>
<ax:ocx xmlns:ax="http://schemas.microsoft.com/office/2006/activeX" xmlns:r="http://schemas.openxmlformats.org/officeDocument/2006/relationships" ax:classid="{79176FB0-B7F2-11CE-97EF-00AA006D2776}" ax:persistence="persistStreamInit" r:id="rId1"/>
</file>

<file path=xl/activeX/activeX62.xml><?xml version="1.0" encoding="utf-8"?>
<ax:ocx xmlns:ax="http://schemas.microsoft.com/office/2006/activeX" xmlns:r="http://schemas.openxmlformats.org/officeDocument/2006/relationships" ax:classid="{79176FB0-B7F2-11CE-97EF-00AA006D2776}" ax:persistence="persistStreamInit" r:id="rId1"/>
</file>

<file path=xl/activeX/activeX63.xml><?xml version="1.0" encoding="utf-8"?>
<ax:ocx xmlns:ax="http://schemas.microsoft.com/office/2006/activeX" xmlns:r="http://schemas.openxmlformats.org/officeDocument/2006/relationships" ax:classid="{79176FB0-B7F2-11CE-97EF-00AA006D2776}" ax:persistence="persistStreamInit" r:id="rId1"/>
</file>

<file path=xl/activeX/activeX64.xml><?xml version="1.0" encoding="utf-8"?>
<ax:ocx xmlns:ax="http://schemas.microsoft.com/office/2006/activeX" xmlns:r="http://schemas.openxmlformats.org/officeDocument/2006/relationships" ax:classid="{79176FB0-B7F2-11CE-97EF-00AA006D2776}"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8BD21D40-EC42-11CE-9E0D-00AA006002F3}" ax:persistence="persistStreamInit" r:id="rId1"/>
</file>

<file path=xl/activeX/activeX69.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70.xml><?xml version="1.0" encoding="utf-8"?>
<ax:ocx xmlns:ax="http://schemas.microsoft.com/office/2006/activeX" xmlns:r="http://schemas.openxmlformats.org/officeDocument/2006/relationships" ax:classid="{8BD21D30-EC42-11CE-9E0D-00AA006002F3}" ax:persistence="persistStreamInit" r:id="rId1"/>
</file>

<file path=xl/activeX/activeX71.xml><?xml version="1.0" encoding="utf-8"?>
<ax:ocx xmlns:ax="http://schemas.microsoft.com/office/2006/activeX" xmlns:r="http://schemas.openxmlformats.org/officeDocument/2006/relationships" ax:classid="{8BD21D40-EC42-11CE-9E0D-00AA006002F3}" ax:persistence="persistStreamInit" r:id="rId1"/>
</file>

<file path=xl/activeX/activeX72.xml><?xml version="1.0" encoding="utf-8"?>
<ax:ocx xmlns:ax="http://schemas.microsoft.com/office/2006/activeX" xmlns:r="http://schemas.openxmlformats.org/officeDocument/2006/relationships" ax:classid="{8BD21D40-EC42-11CE-9E0D-00AA006002F3}" ax:persistence="persistStreamInit" r:id="rId1"/>
</file>

<file path=xl/activeX/activeX73.xml><?xml version="1.0" encoding="utf-8"?>
<ax:ocx xmlns:ax="http://schemas.microsoft.com/office/2006/activeX" xmlns:r="http://schemas.openxmlformats.org/officeDocument/2006/relationships" ax:classid="{8BD21D30-EC42-11CE-9E0D-00AA006002F3}" ax:persistence="persistStreamInit" r:id="rId1"/>
</file>

<file path=xl/activeX/activeX74.xml><?xml version="1.0" encoding="utf-8"?>
<ax:ocx xmlns:ax="http://schemas.microsoft.com/office/2006/activeX" xmlns:r="http://schemas.openxmlformats.org/officeDocument/2006/relationships" ax:classid="{8BD21D30-EC42-11CE-9E0D-00AA006002F3}" ax:persistence="persistStreamInit" r:id="rId1"/>
</file>

<file path=xl/activeX/activeX75.xml><?xml version="1.0" encoding="utf-8"?>
<ax:ocx xmlns:ax="http://schemas.microsoft.com/office/2006/activeX" xmlns:r="http://schemas.openxmlformats.org/officeDocument/2006/relationships" ax:classid="{8BD21D30-EC42-11CE-9E0D-00AA006002F3}" ax:persistence="persistStreamInit" r:id="rId1"/>
</file>

<file path=xl/activeX/activeX76.xml><?xml version="1.0" encoding="utf-8"?>
<ax:ocx xmlns:ax="http://schemas.microsoft.com/office/2006/activeX" xmlns:r="http://schemas.openxmlformats.org/officeDocument/2006/relationships" ax:classid="{8BD21D30-EC42-11CE-9E0D-00AA006002F3}" ax:persistence="persistStreamInit" r:id="rId1"/>
</file>

<file path=xl/activeX/activeX77.xml><?xml version="1.0" encoding="utf-8"?>
<ax:ocx xmlns:ax="http://schemas.microsoft.com/office/2006/activeX" xmlns:r="http://schemas.openxmlformats.org/officeDocument/2006/relationships" ax:classid="{8BD21D30-EC42-11CE-9E0D-00AA006002F3}" ax:persistence="persistStreamInit" r:id="rId1"/>
</file>

<file path=xl/activeX/activeX78.xml><?xml version="1.0" encoding="utf-8"?>
<ax:ocx xmlns:ax="http://schemas.microsoft.com/office/2006/activeX" xmlns:r="http://schemas.openxmlformats.org/officeDocument/2006/relationships" ax:classid="{8BD21D40-EC42-11CE-9E0D-00AA006002F3}"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79176FB0-B7F2-11CE-97EF-00AA006D2776}" ax:persistence="persistStreamInit" r:id="rId1"/>
</file>

<file path=xl/activeX/activeX80.xml><?xml version="1.0" encoding="utf-8"?>
<ax:ocx xmlns:ax="http://schemas.microsoft.com/office/2006/activeX" xmlns:r="http://schemas.openxmlformats.org/officeDocument/2006/relationships" ax:classid="{79176FB0-B7F2-11CE-97EF-00AA006D2776}" ax:persistence="persistStreamInit" r:id="rId1"/>
</file>

<file path=xl/activeX/activeX81.xml><?xml version="1.0" encoding="utf-8"?>
<ax:ocx xmlns:ax="http://schemas.microsoft.com/office/2006/activeX" xmlns:r="http://schemas.openxmlformats.org/officeDocument/2006/relationships" ax:classid="{79176FB0-B7F2-11CE-97EF-00AA006D2776}" ax:persistence="persistStreamInit" r:id="rId1"/>
</file>

<file path=xl/activeX/activeX82.xml><?xml version="1.0" encoding="utf-8"?>
<ax:ocx xmlns:ax="http://schemas.microsoft.com/office/2006/activeX" xmlns:r="http://schemas.openxmlformats.org/officeDocument/2006/relationships" ax:classid="{8BD21D30-EC42-11CE-9E0D-00AA006002F3}"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79176FB0-B7F2-11CE-97EF-00AA006D2776}"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79176FB0-B7F2-11CE-97EF-00AA006D2776}" ax:persistence="persistStreamInit" r:id="rId1"/>
</file>

<file path=xl/activeX/activeX92.xml><?xml version="1.0" encoding="utf-8"?>
<ax:ocx xmlns:ax="http://schemas.microsoft.com/office/2006/activeX" xmlns:r="http://schemas.openxmlformats.org/officeDocument/2006/relationships" ax:classid="{79176FB0-B7F2-11CE-97EF-00AA006D2776}" ax:persistence="persistStreamInit" r:id="rId1"/>
</file>

<file path=xl/activeX/activeX93.xml><?xml version="1.0" encoding="utf-8"?>
<ax:ocx xmlns:ax="http://schemas.microsoft.com/office/2006/activeX" xmlns:r="http://schemas.openxmlformats.org/officeDocument/2006/relationships" ax:classid="{79176FB0-B7F2-11CE-97EF-00AA006D2776}" ax:persistence="persistStreamInit" r:id="rId1"/>
</file>

<file path=xl/activeX/activeX94.xml><?xml version="1.0" encoding="utf-8"?>
<ax:ocx xmlns:ax="http://schemas.microsoft.com/office/2006/activeX" xmlns:r="http://schemas.openxmlformats.org/officeDocument/2006/relationships" ax:classid="{79176FB0-B7F2-11CE-97EF-00AA006D2776}" ax:persistence="persistStreamInit" r:id="rId1"/>
</file>

<file path=xl/activeX/activeX95.xml><?xml version="1.0" encoding="utf-8"?>
<ax:ocx xmlns:ax="http://schemas.microsoft.com/office/2006/activeX" xmlns:r="http://schemas.openxmlformats.org/officeDocument/2006/relationships" ax:classid="{8BD21D50-EC42-11CE-9E0D-00AA006002F3}" ax:persistence="persistStreamInit" r:id="rId1"/>
</file>

<file path=xl/activeX/activeX96.xml><?xml version="1.0" encoding="utf-8"?>
<ax:ocx xmlns:ax="http://schemas.microsoft.com/office/2006/activeX" xmlns:r="http://schemas.openxmlformats.org/officeDocument/2006/relationships" ax:classid="{8BD21D50-EC42-11CE-9E0D-00AA006002F3}" ax:persistence="persistStreamInit" r:id="rId1"/>
</file>

<file path=xl/activeX/activeX97.xml><?xml version="1.0" encoding="utf-8"?>
<ax:ocx xmlns:ax="http://schemas.microsoft.com/office/2006/activeX" xmlns:r="http://schemas.openxmlformats.org/officeDocument/2006/relationships" ax:classid="{8BD21D50-EC42-11CE-9E0D-00AA006002F3}"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8739389197719"/>
          <c:y val="2.8764852945307451E-2"/>
          <c:w val="0.86743576880781192"/>
          <c:h val="0.89001839113127768"/>
        </c:manualLayout>
      </c:layout>
      <c:scatterChart>
        <c:scatterStyle val="lineMarker"/>
        <c:varyColors val="0"/>
        <c:ser>
          <c:idx val="0"/>
          <c:order val="0"/>
          <c:tx>
            <c:v>Z1</c:v>
          </c:tx>
          <c:spPr>
            <a:ln w="12700">
              <a:solidFill>
                <a:srgbClr val="00FF00"/>
              </a:solidFill>
              <a:prstDash val="solid"/>
            </a:ln>
          </c:spPr>
          <c:marker>
            <c:symbol val="triangle"/>
            <c:size val="3"/>
            <c:spPr>
              <a:solidFill>
                <a:srgbClr val="00FF00"/>
              </a:solidFill>
              <a:ln>
                <a:solidFill>
                  <a:srgbClr val="000000"/>
                </a:solidFill>
                <a:prstDash val="solid"/>
              </a:ln>
            </c:spPr>
          </c:marker>
          <c:dLbls>
            <c:dLbl>
              <c:idx val="4"/>
              <c:layout>
                <c:manualLayout>
                  <c:x val="-7.1255536116905868E-3"/>
                  <c:y val="-4.892612326866318E-3"/>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Characteristic!$AH$5:$AH$15</c:f>
              <c:numCache>
                <c:formatCode>0.000</c:formatCode>
                <c:ptCount val="11"/>
                <c:pt idx="0">
                  <c:v>24.178922022650806</c:v>
                </c:pt>
                <c:pt idx="1">
                  <c:v>25.674839903246244</c:v>
                </c:pt>
                <c:pt idx="2">
                  <c:v>27.2</c:v>
                </c:pt>
                <c:pt idx="3">
                  <c:v>28.554036585751941</c:v>
                </c:pt>
                <c:pt idx="4">
                  <c:v>29.908073171503879</c:v>
                </c:pt>
                <c:pt idx="5">
                  <c:v>31.262109757255825</c:v>
                </c:pt>
                <c:pt idx="6">
                  <c:v>20.841406504837213</c:v>
                </c:pt>
                <c:pt idx="7">
                  <c:v>10.420703252418608</c:v>
                </c:pt>
                <c:pt idx="8">
                  <c:v>9.2866252882073393E-16</c:v>
                </c:pt>
                <c:pt idx="9">
                  <c:v>-3.3608910856669674</c:v>
                </c:pt>
                <c:pt idx="10">
                  <c:v>-7.0692240976297755</c:v>
                </c:pt>
              </c:numCache>
            </c:numRef>
          </c:xVal>
          <c:yVal>
            <c:numRef>
              <c:f>Characteristic!$AI$5:$AI$15</c:f>
              <c:numCache>
                <c:formatCode>0.000</c:formatCode>
                <c:ptCount val="11"/>
                <c:pt idx="0">
                  <c:v>-11.27481650509462</c:v>
                </c:pt>
                <c:pt idx="1">
                  <c:v>-5.6919749707616685</c:v>
                </c:pt>
                <c:pt idx="2">
                  <c:v>0</c:v>
                </c:pt>
                <c:pt idx="3">
                  <c:v>5.0533333333333346</c:v>
                </c:pt>
                <c:pt idx="4">
                  <c:v>10.106666666666669</c:v>
                </c:pt>
                <c:pt idx="5">
                  <c:v>15.160000000000002</c:v>
                </c:pt>
                <c:pt idx="6">
                  <c:v>15.160000000000004</c:v>
                </c:pt>
                <c:pt idx="7">
                  <c:v>15.160000000000002</c:v>
                </c:pt>
                <c:pt idx="8">
                  <c:v>15.16</c:v>
                </c:pt>
                <c:pt idx="9">
                  <c:v>15.16</c:v>
                </c:pt>
                <c:pt idx="10">
                  <c:v>15.159999999999998</c:v>
                </c:pt>
              </c:numCache>
            </c:numRef>
          </c:yVal>
          <c:smooth val="0"/>
        </c:ser>
        <c:ser>
          <c:idx val="3"/>
          <c:order val="1"/>
          <c:tx>
            <c:v>Z1B</c:v>
          </c:tx>
          <c:spPr>
            <a:ln w="12700">
              <a:solidFill>
                <a:srgbClr val="00FF00"/>
              </a:solidFill>
              <a:prstDash val="solid"/>
            </a:ln>
          </c:spPr>
          <c:marker>
            <c:symbol val="triangle"/>
            <c:size val="3"/>
            <c:spPr>
              <a:solidFill>
                <a:srgbClr val="00FF00"/>
              </a:solidFill>
              <a:ln>
                <a:solidFill>
                  <a:srgbClr val="000000"/>
                </a:solidFill>
                <a:prstDash val="solid"/>
              </a:ln>
            </c:spPr>
          </c:marker>
          <c:dLbls>
            <c:dLbl>
              <c:idx val="6"/>
              <c:layout>
                <c:manualLayout>
                  <c:x val="-7.2115943589876946E-3"/>
                  <c:y val="-1.6466384502288225E-2"/>
                </c:manualLayout>
              </c:layout>
              <c:tx>
                <c:rich>
                  <a:bodyPr/>
                  <a:lstStyle/>
                  <a:p>
                    <a:pPr>
                      <a:defRPr sz="800" b="0" i="0" u="none" strike="noStrike" baseline="0">
                        <a:solidFill>
                          <a:srgbClr val="0000FF"/>
                        </a:solidFill>
                        <a:latin typeface="Arial"/>
                        <a:ea typeface="Arial"/>
                        <a:cs typeface="Arial"/>
                      </a:defRPr>
                    </a:pPr>
                    <a:r>
                      <a:rPr lang="en-US"/>
                      <a:t>Z1X</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Characteristic!$AH$16:$AH$26</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xVal>
          <c:yVal>
            <c:numRef>
              <c:f>Characteristic!$AI$16:$AI$26</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ser>
          <c:idx val="4"/>
          <c:order val="2"/>
          <c:tx>
            <c:v>Z2</c:v>
          </c:tx>
          <c:spPr>
            <a:ln w="12700">
              <a:solidFill>
                <a:srgbClr val="808080"/>
              </a:solidFill>
              <a:prstDash val="solid"/>
            </a:ln>
          </c:spPr>
          <c:marker>
            <c:symbol val="triangle"/>
            <c:size val="3"/>
            <c:spPr>
              <a:solidFill>
                <a:srgbClr val="969696"/>
              </a:solidFill>
              <a:ln>
                <a:solidFill>
                  <a:srgbClr val="969696"/>
                </a:solidFill>
                <a:prstDash val="solid"/>
              </a:ln>
            </c:spPr>
          </c:marker>
          <c:dLbls>
            <c:dLbl>
              <c:idx val="4"/>
              <c:layout>
                <c:manualLayout>
                  <c:x val="-3.5070348637678349E-2"/>
                  <c:y val="-6.8128684388674948E-2"/>
                </c:manualLayout>
              </c:layout>
              <c:spPr>
                <a:noFill/>
                <a:ln w="25400">
                  <a:noFill/>
                </a:ln>
              </c:spPr>
              <c:txPr>
                <a:bodyPr/>
                <a:lstStyle/>
                <a:p>
                  <a:pPr>
                    <a:defRPr sz="800" b="0" i="0" u="none" strike="noStrike" baseline="0">
                      <a:solidFill>
                        <a:srgbClr val="80808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Characteristic!$AH$27:$AH$37</c:f>
              <c:numCache>
                <c:formatCode>0.000</c:formatCode>
                <c:ptCount val="11"/>
                <c:pt idx="0">
                  <c:v>30.223652528313504</c:v>
                </c:pt>
                <c:pt idx="1">
                  <c:v>32.093549879057811</c:v>
                </c:pt>
                <c:pt idx="2">
                  <c:v>34</c:v>
                </c:pt>
                <c:pt idx="3">
                  <c:v>35.569639109267506</c:v>
                </c:pt>
                <c:pt idx="4">
                  <c:v>37.392130645459666</c:v>
                </c:pt>
                <c:pt idx="5">
                  <c:v>39.664445927993931</c:v>
                </c:pt>
                <c:pt idx="6">
                  <c:v>18.569188548902932</c:v>
                </c:pt>
                <c:pt idx="7">
                  <c:v>7.9661770383346209</c:v>
                </c:pt>
                <c:pt idx="8">
                  <c:v>1.2949819168384114E-15</c:v>
                </c:pt>
                <c:pt idx="9">
                  <c:v>-4.6866251682717479</c:v>
                </c:pt>
                <c:pt idx="10">
                  <c:v>-9.8577438933966679</c:v>
                </c:pt>
              </c:numCache>
            </c:numRef>
          </c:xVal>
          <c:yVal>
            <c:numRef>
              <c:f>Characteristic!$AI$27:$AI$37</c:f>
              <c:numCache>
                <c:formatCode>0.000</c:formatCode>
                <c:ptCount val="11"/>
                <c:pt idx="0">
                  <c:v>-14.093520631368273</c:v>
                </c:pt>
                <c:pt idx="1">
                  <c:v>-7.1149687134520851</c:v>
                </c:pt>
                <c:pt idx="2">
                  <c:v>0</c:v>
                </c:pt>
                <c:pt idx="3">
                  <c:v>5.8579729053334786</c:v>
                </c:pt>
                <c:pt idx="4">
                  <c:v>12.659603914766874</c:v>
                </c:pt>
                <c:pt idx="5">
                  <c:v>21.140000000000004</c:v>
                </c:pt>
                <c:pt idx="6">
                  <c:v>21.14</c:v>
                </c:pt>
                <c:pt idx="7">
                  <c:v>21.14</c:v>
                </c:pt>
                <c:pt idx="8">
                  <c:v>21.14</c:v>
                </c:pt>
                <c:pt idx="9">
                  <c:v>21.14</c:v>
                </c:pt>
                <c:pt idx="10">
                  <c:v>21.14</c:v>
                </c:pt>
              </c:numCache>
            </c:numRef>
          </c:yVal>
          <c:smooth val="0"/>
        </c:ser>
        <c:ser>
          <c:idx val="5"/>
          <c:order val="3"/>
          <c:tx>
            <c:v>Z3</c:v>
          </c:tx>
          <c:spPr>
            <a:ln w="12700">
              <a:solidFill>
                <a:srgbClr val="A6CAF0"/>
              </a:solidFill>
              <a:prstDash val="solid"/>
            </a:ln>
          </c:spPr>
          <c:marker>
            <c:symbol val="triangle"/>
            <c:size val="3"/>
            <c:spPr>
              <a:solidFill>
                <a:srgbClr val="A6CAF0"/>
              </a:solidFill>
              <a:ln>
                <a:solidFill>
                  <a:srgbClr val="808080"/>
                </a:solidFill>
                <a:prstDash val="solid"/>
              </a:ln>
            </c:spPr>
          </c:marker>
          <c:dLbls>
            <c:dLbl>
              <c:idx val="4"/>
              <c:layout>
                <c:manualLayout>
                  <c:x val="3.6765644480995282E-3"/>
                  <c:y val="-4.1613130852431589E-2"/>
                </c:manualLayout>
              </c:layout>
              <c:spPr>
                <a:noFill/>
                <a:ln w="25400">
                  <a:noFill/>
                </a:ln>
              </c:spPr>
              <c:txPr>
                <a:bodyPr/>
                <a:lstStyle/>
                <a:p>
                  <a:pPr>
                    <a:defRPr sz="800" b="0" i="0" u="none" strike="noStrike" baseline="0">
                      <a:solidFill>
                        <a:srgbClr val="A6CAF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Characteristic!$AH$38:$AH$48</c:f>
              <c:numCache>
                <c:formatCode>0.000</c:formatCode>
                <c:ptCount val="11"/>
                <c:pt idx="0">
                  <c:v>44.446547835755148</c:v>
                </c:pt>
                <c:pt idx="1">
                  <c:v>47.196396880967363</c:v>
                </c:pt>
                <c:pt idx="2">
                  <c:v>50</c:v>
                </c:pt>
                <c:pt idx="3">
                  <c:v>52.731864326066379</c:v>
                </c:pt>
                <c:pt idx="4">
                  <c:v>56.031019305983598</c:v>
                </c:pt>
                <c:pt idx="5">
                  <c:v>60.450018504813784</c:v>
                </c:pt>
                <c:pt idx="6">
                  <c:v>30.595639225604163</c:v>
                </c:pt>
                <c:pt idx="7">
                  <c:v>13.472308901364933</c:v>
                </c:pt>
                <c:pt idx="8">
                  <c:v>2.389039487071809E-15</c:v>
                </c:pt>
                <c:pt idx="9">
                  <c:v>-8.6460918430746521</c:v>
                </c:pt>
                <c:pt idx="10">
                  <c:v>-18.185998668044938</c:v>
                </c:pt>
              </c:numCache>
            </c:numRef>
          </c:xVal>
          <c:yVal>
            <c:numRef>
              <c:f>Characteristic!$AI$38:$AI$48</c:f>
              <c:numCache>
                <c:formatCode>0.000</c:formatCode>
                <c:ptCount val="11"/>
                <c:pt idx="0">
                  <c:v>-20.725765634365107</c:v>
                </c:pt>
                <c:pt idx="1">
                  <c:v>-10.46318928448836</c:v>
                </c:pt>
                <c:pt idx="2">
                  <c:v>0</c:v>
                </c:pt>
                <c:pt idx="3">
                  <c:v>10.195456464264629</c:v>
                </c:pt>
                <c:pt idx="4">
                  <c:v>22.508070471359545</c:v>
                </c:pt>
                <c:pt idx="5">
                  <c:v>39</c:v>
                </c:pt>
                <c:pt idx="6">
                  <c:v>39</c:v>
                </c:pt>
                <c:pt idx="7">
                  <c:v>39</c:v>
                </c:pt>
                <c:pt idx="8">
                  <c:v>39</c:v>
                </c:pt>
                <c:pt idx="9">
                  <c:v>39</c:v>
                </c:pt>
                <c:pt idx="10">
                  <c:v>39</c:v>
                </c:pt>
              </c:numCache>
            </c:numRef>
          </c:yVal>
          <c:smooth val="0"/>
        </c:ser>
        <c:ser>
          <c:idx val="6"/>
          <c:order val="4"/>
          <c:tx>
            <c:v>Z4</c:v>
          </c:tx>
          <c:spPr>
            <a:ln w="12700">
              <a:solidFill>
                <a:srgbClr val="CC9CCC"/>
              </a:solidFill>
              <a:prstDash val="solid"/>
            </a:ln>
          </c:spPr>
          <c:marker>
            <c:symbol val="triangle"/>
            <c:size val="3"/>
            <c:spPr>
              <a:solidFill>
                <a:srgbClr val="CC9CCC"/>
              </a:solidFill>
              <a:ln>
                <a:solidFill>
                  <a:srgbClr val="424242"/>
                </a:solidFill>
                <a:prstDash val="solid"/>
              </a:ln>
            </c:spPr>
          </c:marker>
          <c:dPt>
            <c:idx val="1"/>
            <c:marker>
              <c:symbol val="none"/>
            </c:marker>
            <c:bubble3D val="0"/>
          </c:dPt>
          <c:dLbls>
            <c:dLbl>
              <c:idx val="4"/>
              <c:layout>
                <c:manualLayout>
                  <c:x val="-1.3926039829411381E-2"/>
                  <c:y val="3.5566796096518714E-2"/>
                </c:manualLayout>
              </c:layout>
              <c:tx>
                <c:rich>
                  <a:bodyPr/>
                  <a:lstStyle/>
                  <a:p>
                    <a:pPr>
                      <a:defRPr sz="800" b="0" i="0" u="none" strike="noStrike" baseline="0">
                        <a:solidFill>
                          <a:srgbClr val="CC9CCC"/>
                        </a:solidFill>
                        <a:latin typeface="Arial"/>
                        <a:ea typeface="Arial"/>
                        <a:cs typeface="Arial"/>
                      </a:defRPr>
                    </a:pPr>
                    <a:r>
                      <a:rPr lang="en-US"/>
                      <a:t>ZR1</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Characteristic!$AH$49:$AH$61</c:f>
              <c:numCache>
                <c:formatCode>0.000</c:formatCode>
                <c:ptCount val="13"/>
                <c:pt idx="0">
                  <c:v>-10.615146279259202</c:v>
                </c:pt>
                <c:pt idx="1">
                  <c:v>-10.615146279259202</c:v>
                </c:pt>
                <c:pt idx="2">
                  <c:v>-11.937890242744185</c:v>
                </c:pt>
                <c:pt idx="3">
                  <c:v>-16</c:v>
                </c:pt>
                <c:pt idx="4">
                  <c:v>-16.786438275114897</c:v>
                </c:pt>
                <c:pt idx="5">
                  <c:v>-17.711929484753323</c:v>
                </c:pt>
                <c:pt idx="6">
                  <c:v>-18.893851278256133</c:v>
                </c:pt>
                <c:pt idx="7">
                  <c:v>-9.115315872724036</c:v>
                </c:pt>
                <c:pt idx="8">
                  <c:v>-3.9484693493326311</c:v>
                </c:pt>
                <c:pt idx="9">
                  <c:v>-1.9847404969519644E-15</c:v>
                </c:pt>
                <c:pt idx="10">
                  <c:v>5.6221241459588622</c:v>
                </c:pt>
                <c:pt idx="11">
                  <c:v>15.423998472814823</c:v>
                </c:pt>
                <c:pt idx="12">
                  <c:v>15.423998472814823</c:v>
                </c:pt>
              </c:numCache>
            </c:numRef>
          </c:xVal>
          <c:yVal>
            <c:numRef>
              <c:f>Characteristic!$AI$49:$AI$61</c:f>
              <c:numCache>
                <c:formatCode>0.000</c:formatCode>
                <c:ptCount val="13"/>
                <c:pt idx="0">
                  <c:v>15.159999999999998</c:v>
                </c:pt>
                <c:pt idx="1">
                  <c:v>15.159999999999998</c:v>
                </c:pt>
                <c:pt idx="2">
                  <c:v>15.159999999999998</c:v>
                </c:pt>
                <c:pt idx="3">
                  <c:v>1.960237527853792E-15</c:v>
                </c:pt>
                <c:pt idx="4">
                  <c:v>-2.9350275997456285</c:v>
                </c:pt>
                <c:pt idx="5">
                  <c:v>-6.3890078160746242</c:v>
                </c:pt>
                <c:pt idx="6">
                  <c:v>-10.79999999999999</c:v>
                </c:pt>
                <c:pt idx="7">
                  <c:v>-10.8</c:v>
                </c:pt>
                <c:pt idx="8">
                  <c:v>-10.8</c:v>
                </c:pt>
                <c:pt idx="9">
                  <c:v>-10.8</c:v>
                </c:pt>
                <c:pt idx="10">
                  <c:v>-10.8</c:v>
                </c:pt>
                <c:pt idx="11">
                  <c:v>-10.8</c:v>
                </c:pt>
                <c:pt idx="12">
                  <c:v>-10.8</c:v>
                </c:pt>
              </c:numCache>
            </c:numRef>
          </c:yVal>
          <c:smooth val="0"/>
        </c:ser>
        <c:ser>
          <c:idx val="7"/>
          <c:order val="5"/>
          <c:tx>
            <c:v>Z5</c:v>
          </c:tx>
          <c:spPr>
            <a:ln w="12700">
              <a:solidFill>
                <a:srgbClr val="FF00FF"/>
              </a:solidFill>
              <a:prstDash val="solid"/>
            </a:ln>
          </c:spPr>
          <c:marker>
            <c:symbol val="triangle"/>
            <c:size val="3"/>
            <c:spPr>
              <a:solidFill>
                <a:srgbClr val="FF00FF"/>
              </a:solidFill>
              <a:ln>
                <a:solidFill>
                  <a:srgbClr val="969696"/>
                </a:solidFill>
                <a:prstDash val="solid"/>
              </a:ln>
            </c:spPr>
          </c:marker>
          <c:dPt>
            <c:idx val="0"/>
            <c:marker>
              <c:symbol val="none"/>
            </c:marker>
            <c:bubble3D val="0"/>
          </c:dPt>
          <c:dPt>
            <c:idx val="1"/>
            <c:marker>
              <c:spPr>
                <a:solidFill>
                  <a:srgbClr val="FF00FF"/>
                </a:solidFill>
                <a:ln>
                  <a:solidFill>
                    <a:srgbClr val="808080"/>
                  </a:solidFill>
                  <a:prstDash val="solid"/>
                </a:ln>
              </c:spPr>
            </c:marker>
            <c:bubble3D val="0"/>
          </c:dPt>
          <c:dLbls>
            <c:dLbl>
              <c:idx val="4"/>
              <c:layout>
                <c:manualLayout>
                  <c:x val="-1.3886871061443358E-2"/>
                  <c:y val="2.0923658792225363E-2"/>
                </c:manualLayout>
              </c:layout>
              <c:tx>
                <c:rich>
                  <a:bodyPr/>
                  <a:lstStyle/>
                  <a:p>
                    <a:pPr>
                      <a:defRPr sz="800" b="0" i="0" u="none" strike="noStrike" baseline="0">
                        <a:solidFill>
                          <a:srgbClr val="FF00FF"/>
                        </a:solidFill>
                        <a:latin typeface="Arial"/>
                        <a:ea typeface="Arial"/>
                        <a:cs typeface="Arial"/>
                      </a:defRPr>
                    </a:pPr>
                    <a:r>
                      <a:rPr lang="en-US"/>
                      <a:t>ZR2</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Characteristic!$AH$62:$AH$74</c:f>
              <c:numCache>
                <c:formatCode>0.000</c:formatCode>
                <c:ptCount val="13"/>
                <c:pt idx="0">
                  <c:v>-10.615146279259202</c:v>
                </c:pt>
                <c:pt idx="1">
                  <c:v>-10.615146279259202</c:v>
                </c:pt>
                <c:pt idx="2">
                  <c:v>-11.937890242744185</c:v>
                </c:pt>
                <c:pt idx="3">
                  <c:v>-16</c:v>
                </c:pt>
                <c:pt idx="4">
                  <c:v>-17.745207706492369</c:v>
                </c:pt>
                <c:pt idx="5">
                  <c:v>-20.707162516232962</c:v>
                </c:pt>
                <c:pt idx="6">
                  <c:v>-30.35671773045954</c:v>
                </c:pt>
                <c:pt idx="7">
                  <c:v>-19.173520657876583</c:v>
                </c:pt>
                <c:pt idx="8">
                  <c:v>-9.2980575831272514</c:v>
                </c:pt>
                <c:pt idx="9">
                  <c:v>-9.8465181321005781E-15</c:v>
                </c:pt>
                <c:pt idx="10">
                  <c:v>20.148662325344617</c:v>
                </c:pt>
                <c:pt idx="11">
                  <c:v>46.93442742318009</c:v>
                </c:pt>
                <c:pt idx="12">
                  <c:v>26.857579774022504</c:v>
                </c:pt>
              </c:numCache>
            </c:numRef>
          </c:xVal>
          <c:yVal>
            <c:numRef>
              <c:f>Characteristic!$AI$62:$AI$74</c:f>
              <c:numCache>
                <c:formatCode>0.000</c:formatCode>
                <c:ptCount val="13"/>
                <c:pt idx="0">
                  <c:v>15.159999999999998</c:v>
                </c:pt>
                <c:pt idx="1">
                  <c:v>15.159999999999998</c:v>
                </c:pt>
                <c:pt idx="2">
                  <c:v>15.159999999999998</c:v>
                </c:pt>
                <c:pt idx="3">
                  <c:v>1.960237527853792E-15</c:v>
                </c:pt>
                <c:pt idx="4">
                  <c:v>-6.513203830390256</c:v>
                </c:pt>
                <c:pt idx="5">
                  <c:v>-17.567369670065158</c:v>
                </c:pt>
                <c:pt idx="6">
                  <c:v>-53.580000000000005</c:v>
                </c:pt>
                <c:pt idx="7">
                  <c:v>-53.58</c:v>
                </c:pt>
                <c:pt idx="8">
                  <c:v>-53.58</c:v>
                </c:pt>
                <c:pt idx="9">
                  <c:v>-53.58</c:v>
                </c:pt>
                <c:pt idx="10">
                  <c:v>-53.58</c:v>
                </c:pt>
                <c:pt idx="11">
                  <c:v>-53.579999999999991</c:v>
                </c:pt>
                <c:pt idx="12">
                  <c:v>-18.805879815839209</c:v>
                </c:pt>
              </c:numCache>
            </c:numRef>
          </c:yVal>
          <c:smooth val="0"/>
        </c:ser>
        <c:ser>
          <c:idx val="2"/>
          <c:order val="6"/>
          <c:tx>
            <c:v>PTT</c:v>
          </c:tx>
          <c:spPr>
            <a:ln w="12700">
              <a:solidFill>
                <a:srgbClr val="FF0000"/>
              </a:solidFill>
              <a:prstDash val="sysDash"/>
            </a:ln>
          </c:spPr>
          <c:marker>
            <c:symbol val="none"/>
          </c:marker>
          <c:dLbls>
            <c:dLbl>
              <c:idx val="5"/>
              <c:layout>
                <c:manualLayout>
                  <c:x val="6.0029950548908743E-2"/>
                  <c:y val="-3.3386886234822014E-2"/>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Characteristic!$AH$75:$AH$86</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Characteristic!$AI$75:$AI$86</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0"/>
        </c:ser>
        <c:ser>
          <c:idx val="8"/>
          <c:order val="7"/>
          <c:tx>
            <c:v>SOTF_Isc</c:v>
          </c:tx>
          <c:spPr>
            <a:ln w="12700">
              <a:solidFill>
                <a:srgbClr val="FF0000"/>
              </a:solidFill>
              <a:prstDash val="sysDash"/>
            </a:ln>
          </c:spPr>
          <c:marker>
            <c:symbol val="none"/>
          </c:marker>
          <c:xVal>
            <c:numRef>
              <c:f>Characteristic!$AH$111:$AH$135</c:f>
              <c:numCache>
                <c:formatCode>0.000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xVal>
          <c:yVal>
            <c:numRef>
              <c:f>Characteristic!$AI$111:$AI$135</c:f>
              <c:numCache>
                <c:formatCode>0.000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0"/>
        </c:ser>
        <c:ser>
          <c:idx val="10"/>
          <c:order val="8"/>
          <c:tx>
            <c:v>Fwd_Blinder</c:v>
          </c:tx>
          <c:spPr>
            <a:ln w="12700">
              <a:solidFill>
                <a:srgbClr val="808080"/>
              </a:solidFill>
              <a:prstDash val="lgDashDot"/>
            </a:ln>
          </c:spPr>
          <c:marker>
            <c:symbol val="none"/>
          </c:marker>
          <c:dLbls>
            <c:dLbl>
              <c:idx val="0"/>
              <c:layout/>
              <c:tx>
                <c:rich>
                  <a:bodyPr/>
                  <a:lstStyle/>
                  <a:p>
                    <a:pPr>
                      <a:defRPr sz="800" b="0" i="0" u="none" strike="noStrike" baseline="0">
                        <a:solidFill>
                          <a:srgbClr val="808080"/>
                        </a:solidFill>
                        <a:latin typeface="Arial"/>
                        <a:ea typeface="Arial"/>
                        <a:cs typeface="Arial"/>
                      </a:defRPr>
                    </a:pPr>
                    <a:r>
                      <a:rPr lang="en-US"/>
                      <a:t>-30</a:t>
                    </a:r>
                  </a:p>
                </c:rich>
              </c:tx>
              <c:spPr>
                <a:noFill/>
                <a:ln w="25400">
                  <a:noFill/>
                </a:ln>
              </c:spP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Characteristic!$AH$147:$AH$148</c:f>
              <c:numCache>
                <c:formatCode>General</c:formatCode>
                <c:ptCount val="2"/>
                <c:pt idx="0">
                  <c:v>52.351251684408147</c:v>
                </c:pt>
                <c:pt idx="1">
                  <c:v>0</c:v>
                </c:pt>
              </c:numCache>
            </c:numRef>
          </c:xVal>
          <c:yVal>
            <c:numRef>
              <c:f>Characteristic!$AI$147:$AI$148</c:f>
              <c:numCache>
                <c:formatCode>General</c:formatCode>
                <c:ptCount val="2"/>
                <c:pt idx="0">
                  <c:v>-30.225009252406888</c:v>
                </c:pt>
                <c:pt idx="1">
                  <c:v>0</c:v>
                </c:pt>
              </c:numCache>
            </c:numRef>
          </c:yVal>
          <c:smooth val="0"/>
        </c:ser>
        <c:ser>
          <c:idx val="11"/>
          <c:order val="9"/>
          <c:tx>
            <c:v>Rev_Blinder</c:v>
          </c:tx>
          <c:spPr>
            <a:ln w="12700">
              <a:solidFill>
                <a:srgbClr val="808080"/>
              </a:solidFill>
              <a:prstDash val="lgDashDot"/>
            </a:ln>
          </c:spPr>
          <c:marker>
            <c:symbol val="none"/>
          </c:marker>
          <c:dLbls>
            <c:dLbl>
              <c:idx val="0"/>
              <c:layout/>
              <c:tx>
                <c:rich>
                  <a:bodyPr/>
                  <a:lstStyle/>
                  <a:p>
                    <a:pPr>
                      <a:defRPr sz="800" b="0" i="0" u="none" strike="noStrike" baseline="0">
                        <a:solidFill>
                          <a:srgbClr val="808080"/>
                        </a:solidFill>
                        <a:latin typeface="Arial"/>
                        <a:ea typeface="Arial"/>
                        <a:cs typeface="Arial"/>
                      </a:defRPr>
                    </a:pPr>
                    <a:r>
                      <a:rPr lang="en-US"/>
                      <a:t>120</a:t>
                    </a:r>
                  </a:p>
                </c:rich>
              </c:tx>
              <c:spPr>
                <a:noFill/>
                <a:ln w="25400">
                  <a:noFill/>
                </a:ln>
              </c:spP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Characteristic!$AH$149:$AH$150</c:f>
              <c:numCache>
                <c:formatCode>General</c:formatCode>
                <c:ptCount val="2"/>
                <c:pt idx="0">
                  <c:v>-30.225009252406878</c:v>
                </c:pt>
                <c:pt idx="1">
                  <c:v>0</c:v>
                </c:pt>
              </c:numCache>
            </c:numRef>
          </c:xVal>
          <c:yVal>
            <c:numRef>
              <c:f>Characteristic!$AI$149:$AI$150</c:f>
              <c:numCache>
                <c:formatCode>General</c:formatCode>
                <c:ptCount val="2"/>
                <c:pt idx="0">
                  <c:v>52.351251684408147</c:v>
                </c:pt>
                <c:pt idx="1">
                  <c:v>0</c:v>
                </c:pt>
              </c:numCache>
            </c:numRef>
          </c:yVal>
          <c:smooth val="0"/>
        </c:ser>
        <c:ser>
          <c:idx val="13"/>
          <c:order val="10"/>
          <c:tx>
            <c:v>Max_Reach</c:v>
          </c:tx>
          <c:spPr>
            <a:ln w="12700">
              <a:solidFill>
                <a:srgbClr val="FF8080"/>
              </a:solidFill>
              <a:prstDash val="sysDash"/>
            </a:ln>
          </c:spPr>
          <c:marker>
            <c:symbol val="none"/>
          </c:marker>
          <c:xVal>
            <c:numRef>
              <c:f>Characteristic!$AH$201:$AH$225</c:f>
              <c:numCache>
                <c:formatCode>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xVal>
          <c:yVal>
            <c:numRef>
              <c:f>Characteristic!$AI$201:$AI$225</c:f>
              <c:numCache>
                <c:formatCode>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0"/>
        </c:ser>
        <c:ser>
          <c:idx val="9"/>
          <c:order val="11"/>
          <c:tx>
            <c:v>ZND</c:v>
          </c:tx>
          <c:spPr>
            <a:ln w="12700">
              <a:solidFill>
                <a:srgbClr val="808080"/>
              </a:solidFill>
              <a:prstDash val="lgDashDotDot"/>
            </a:ln>
          </c:spPr>
          <c:marker>
            <c:symbol val="none"/>
          </c:marker>
          <c:xVal>
            <c:numRef>
              <c:f>Characteristic!$AH$152:$AH$160</c:f>
              <c:numCache>
                <c:formatCode>0.00</c:formatCode>
                <c:ptCount val="9"/>
                <c:pt idx="0">
                  <c:v>0</c:v>
                </c:pt>
                <c:pt idx="1">
                  <c:v>0</c:v>
                </c:pt>
                <c:pt idx="2">
                  <c:v>0</c:v>
                </c:pt>
                <c:pt idx="3">
                  <c:v>0</c:v>
                </c:pt>
                <c:pt idx="4">
                  <c:v>0</c:v>
                </c:pt>
                <c:pt idx="5">
                  <c:v>0</c:v>
                </c:pt>
                <c:pt idx="6">
                  <c:v>0</c:v>
                </c:pt>
                <c:pt idx="7">
                  <c:v>0</c:v>
                </c:pt>
                <c:pt idx="8">
                  <c:v>0</c:v>
                </c:pt>
              </c:numCache>
            </c:numRef>
          </c:xVal>
          <c:yVal>
            <c:numRef>
              <c:f>Characteristic!$AI$152:$AI$160</c:f>
              <c:numCache>
                <c:formatCode>0.00</c:formatCode>
                <c:ptCount val="9"/>
                <c:pt idx="0">
                  <c:v>0</c:v>
                </c:pt>
                <c:pt idx="1">
                  <c:v>0</c:v>
                </c:pt>
                <c:pt idx="2">
                  <c:v>0</c:v>
                </c:pt>
                <c:pt idx="3">
                  <c:v>0</c:v>
                </c:pt>
                <c:pt idx="4">
                  <c:v>0</c:v>
                </c:pt>
                <c:pt idx="5">
                  <c:v>0</c:v>
                </c:pt>
                <c:pt idx="6">
                  <c:v>0</c:v>
                </c:pt>
                <c:pt idx="7">
                  <c:v>0</c:v>
                </c:pt>
                <c:pt idx="8">
                  <c:v>0</c:v>
                </c:pt>
              </c:numCache>
            </c:numRef>
          </c:yVal>
          <c:smooth val="0"/>
        </c:ser>
        <c:ser>
          <c:idx val="12"/>
          <c:order val="12"/>
          <c:tx>
            <c:v>7.5 Line</c:v>
          </c:tx>
          <c:spPr>
            <a:ln w="12700">
              <a:solidFill>
                <a:srgbClr val="CC9CCC"/>
              </a:solidFill>
              <a:prstDash val="sysDash"/>
            </a:ln>
          </c:spPr>
          <c:marker>
            <c:symbol val="none"/>
          </c:marker>
          <c:xVal>
            <c:numRef>
              <c:f>Characteristic!$AH$161:$AH$162</c:f>
              <c:numCache>
                <c:formatCode>0.000</c:formatCode>
                <c:ptCount val="2"/>
                <c:pt idx="0">
                  <c:v>-10.375644347017861</c:v>
                </c:pt>
                <c:pt idx="1">
                  <c:v>118.78404438307361</c:v>
                </c:pt>
              </c:numCache>
            </c:numRef>
          </c:xVal>
          <c:yVal>
            <c:numRef>
              <c:f>Characteristic!$AI$161:$AI$162</c:f>
              <c:numCache>
                <c:formatCode>0.000</c:formatCode>
                <c:ptCount val="2"/>
                <c:pt idx="0">
                  <c:v>20.990381056766577</c:v>
                </c:pt>
                <c:pt idx="1">
                  <c:v>-53.58</c:v>
                </c:pt>
              </c:numCache>
            </c:numRef>
          </c:yVal>
          <c:smooth val="0"/>
        </c:ser>
        <c:ser>
          <c:idx val="14"/>
          <c:order val="13"/>
          <c:tx>
            <c:v>Z2/BRLS Line</c:v>
          </c:tx>
          <c:spPr>
            <a:ln w="12700">
              <a:solidFill>
                <a:srgbClr val="FF00FF"/>
              </a:solidFill>
              <a:prstDash val="sysDash"/>
            </a:ln>
          </c:spPr>
          <c:marker>
            <c:symbol val="none"/>
          </c:marker>
          <c:xVal>
            <c:numRef>
              <c:f>Characteristic!$AH$166:$AH$168</c:f>
              <c:numCache>
                <c:formatCode>0.000</c:formatCode>
                <c:ptCount val="3"/>
                <c:pt idx="0">
                  <c:v>16</c:v>
                </c:pt>
                <c:pt idx="1">
                  <c:v>46.934427423180153</c:v>
                </c:pt>
                <c:pt idx="2">
                  <c:v>26.857579774022504</c:v>
                </c:pt>
              </c:numCache>
            </c:numRef>
          </c:xVal>
          <c:yVal>
            <c:numRef>
              <c:f>Characteristic!$AI$166:$AI$168</c:f>
              <c:numCache>
                <c:formatCode>0.000</c:formatCode>
                <c:ptCount val="3"/>
                <c:pt idx="0">
                  <c:v>0</c:v>
                </c:pt>
                <c:pt idx="1">
                  <c:v>-53.58</c:v>
                </c:pt>
                <c:pt idx="2">
                  <c:v>-53.58</c:v>
                </c:pt>
              </c:numCache>
            </c:numRef>
          </c:yVal>
          <c:smooth val="0"/>
        </c:ser>
        <c:ser>
          <c:idx val="15"/>
          <c:order val="14"/>
          <c:tx>
            <c:v>Z1/BRLS Line</c:v>
          </c:tx>
          <c:spPr>
            <a:ln w="12700">
              <a:solidFill>
                <a:srgbClr val="CC9CCC"/>
              </a:solidFill>
              <a:prstDash val="sysDash"/>
            </a:ln>
          </c:spPr>
          <c:marker>
            <c:symbol val="none"/>
          </c:marker>
          <c:xVal>
            <c:numRef>
              <c:f>Characteristic!$AH$163:$AH$165</c:f>
              <c:numCache>
                <c:formatCode>0.000</c:formatCode>
                <c:ptCount val="3"/>
                <c:pt idx="0">
                  <c:v>16</c:v>
                </c:pt>
                <c:pt idx="1">
                  <c:v>22.23538290724796</c:v>
                </c:pt>
                <c:pt idx="2">
                  <c:v>15.423998472814823</c:v>
                </c:pt>
              </c:numCache>
            </c:numRef>
          </c:xVal>
          <c:yVal>
            <c:numRef>
              <c:f>Characteristic!$AI$163:$AI$165</c:f>
              <c:numCache>
                <c:formatCode>0.000</c:formatCode>
                <c:ptCount val="3"/>
                <c:pt idx="0">
                  <c:v>0</c:v>
                </c:pt>
                <c:pt idx="1">
                  <c:v>-10.8</c:v>
                </c:pt>
                <c:pt idx="2">
                  <c:v>-10.8</c:v>
                </c:pt>
              </c:numCache>
            </c:numRef>
          </c:yVal>
          <c:smooth val="0"/>
        </c:ser>
        <c:ser>
          <c:idx val="16"/>
          <c:order val="15"/>
          <c:tx>
            <c:v>Z6</c:v>
          </c:tx>
          <c:spPr>
            <a:ln w="12700">
              <a:solidFill>
                <a:srgbClr val="993366"/>
              </a:solidFill>
              <a:prstDash val="solid"/>
            </a:ln>
          </c:spPr>
          <c:marker>
            <c:symbol val="none"/>
          </c:marker>
          <c:dPt>
            <c:idx val="4"/>
            <c:bubble3D val="0"/>
          </c:dPt>
          <c:dPt>
            <c:idx val="5"/>
            <c:marker>
              <c:symbol val="star"/>
              <c:size val="6"/>
              <c:spPr>
                <a:noFill/>
                <a:ln>
                  <a:solidFill>
                    <a:srgbClr val="800000"/>
                  </a:solidFill>
                  <a:prstDash val="solid"/>
                </a:ln>
              </c:spPr>
            </c:marker>
            <c:bubble3D val="0"/>
          </c:dPt>
          <c:dPt>
            <c:idx val="7"/>
            <c:marker>
              <c:symbol val="star"/>
              <c:size val="6"/>
              <c:spPr>
                <a:noFill/>
                <a:ln>
                  <a:solidFill>
                    <a:srgbClr val="993366"/>
                  </a:solidFill>
                  <a:prstDash val="solid"/>
                </a:ln>
              </c:spPr>
            </c:marker>
            <c:bubble3D val="0"/>
          </c:dPt>
          <c:dPt>
            <c:idx val="9"/>
            <c:marker>
              <c:symbol val="star"/>
              <c:size val="6"/>
              <c:spPr>
                <a:noFill/>
                <a:ln>
                  <a:solidFill>
                    <a:srgbClr val="993366"/>
                  </a:solidFill>
                  <a:prstDash val="solid"/>
                </a:ln>
              </c:spPr>
            </c:marker>
            <c:bubble3D val="0"/>
          </c:dPt>
          <c:xVal>
            <c:numRef>
              <c:f>Characteristic!$AH$89:$AH$98</c:f>
              <c:numCache>
                <c:formatCode>0.000</c:formatCode>
                <c:ptCount val="10"/>
                <c:pt idx="0">
                  <c:v>-15.102847001909556</c:v>
                </c:pt>
                <c:pt idx="1">
                  <c:v>-16</c:v>
                </c:pt>
                <c:pt idx="2">
                  <c:v>-17.681575338917117</c:v>
                </c:pt>
                <c:pt idx="3">
                  <c:v>-20.45045877156539</c:v>
                </c:pt>
                <c:pt idx="4">
                  <c:v>-28.540022205776552</c:v>
                </c:pt>
                <c:pt idx="5">
                  <c:v>-17.887451800956072</c:v>
                </c:pt>
                <c:pt idx="6">
                  <c:v>-8.6389709284518919</c:v>
                </c:pt>
                <c:pt idx="7">
                  <c:v>-8.6005421534585125E-15</c:v>
                </c:pt>
                <c:pt idx="8">
                  <c:v>10.375310211689564</c:v>
                </c:pt>
                <c:pt idx="9">
                  <c:v>21.823198401653944</c:v>
                </c:pt>
              </c:numCache>
            </c:numRef>
          </c:xVal>
          <c:yVal>
            <c:numRef>
              <c:f>Characteristic!$AI$89:$AI$98</c:f>
              <c:numCache>
                <c:formatCode>0.000</c:formatCode>
                <c:ptCount val="10"/>
                <c:pt idx="0">
                  <c:v>3.3482205710362734</c:v>
                </c:pt>
                <c:pt idx="1">
                  <c:v>1.960237527853792E-15</c:v>
                </c:pt>
                <c:pt idx="2">
                  <c:v>-6.2757246015935459</c:v>
                </c:pt>
                <c:pt idx="3">
                  <c:v>-16.609338252472586</c:v>
                </c:pt>
                <c:pt idx="4">
                  <c:v>-46.79999999999999</c:v>
                </c:pt>
                <c:pt idx="5">
                  <c:v>-46.8</c:v>
                </c:pt>
                <c:pt idx="6">
                  <c:v>-46.8</c:v>
                </c:pt>
                <c:pt idx="7">
                  <c:v>-46.8</c:v>
                </c:pt>
                <c:pt idx="8">
                  <c:v>-46.8</c:v>
                </c:pt>
                <c:pt idx="9">
                  <c:v>-46.8</c:v>
                </c:pt>
              </c:numCache>
            </c:numRef>
          </c:yVal>
          <c:smooth val="0"/>
        </c:ser>
        <c:ser>
          <c:idx val="17"/>
          <c:order val="16"/>
          <c:tx>
            <c:v>Max Load</c:v>
          </c:tx>
          <c:spPr>
            <a:ln w="12700">
              <a:solidFill>
                <a:srgbClr val="339933"/>
              </a:solidFill>
              <a:prstDash val="lgDashDotDot"/>
            </a:ln>
          </c:spPr>
          <c:marker>
            <c:symbol val="none"/>
          </c:marker>
          <c:xVal>
            <c:numRef>
              <c:f>Characteristic!$AF$201:$AF$225</c:f>
              <c:numCache>
                <c:formatCode>0.000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xVal>
          <c:yVal>
            <c:numRef>
              <c:f>Characteristic!$AG$201:$AG$225</c:f>
              <c:numCache>
                <c:formatCode>0.000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0"/>
        </c:ser>
        <c:ser>
          <c:idx val="1"/>
          <c:order val="17"/>
          <c:tx>
            <c:v>SOTF</c:v>
          </c:tx>
          <c:spPr>
            <a:ln w="28575">
              <a:noFill/>
            </a:ln>
          </c:spPr>
          <c:marker>
            <c:symbol val="diamond"/>
            <c:size val="5"/>
            <c:spPr>
              <a:solidFill>
                <a:srgbClr val="FF0000"/>
              </a:solidFill>
              <a:ln>
                <a:solidFill>
                  <a:srgbClr val="000000"/>
                </a:solidFill>
                <a:prstDash val="solid"/>
              </a:ln>
            </c:spPr>
          </c:marker>
          <c:dLbls>
            <c:dLbl>
              <c:idx val="3"/>
              <c:layout>
                <c:manualLayout>
                  <c:x val="-4.1472147598194918E-2"/>
                  <c:y val="-2.2794428664702691E-2"/>
                </c:manualLayout>
              </c:layout>
              <c:tx>
                <c:rich>
                  <a:bodyPr/>
                  <a:lstStyle/>
                  <a:p>
                    <a:pPr>
                      <a:defRPr sz="800" b="0" i="0" u="none" strike="noStrike" baseline="0">
                        <a:solidFill>
                          <a:srgbClr val="FF0000"/>
                        </a:solidFill>
                        <a:latin typeface="Arial"/>
                        <a:ea typeface="Arial"/>
                        <a:cs typeface="Arial"/>
                      </a:defRPr>
                    </a:pPr>
                    <a:r>
                      <a:rPr lang="en-US"/>
                      <a:t>SOTF</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Characteristic!$AH$99:$AH$110</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Characteristic!$AI$99:$AI$110</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0"/>
        </c:ser>
        <c:ser>
          <c:idx val="18"/>
          <c:order val="18"/>
          <c:tx>
            <c:v>Flt_Plot</c:v>
          </c:tx>
          <c:spPr>
            <a:ln w="28575">
              <a:noFill/>
            </a:ln>
          </c:spPr>
          <c:marker>
            <c:symbol val="star"/>
            <c:size val="3"/>
            <c:spPr>
              <a:solidFill>
                <a:srgbClr val="FF0000"/>
              </a:solidFill>
              <a:ln>
                <a:solidFill>
                  <a:srgbClr val="000000"/>
                </a:solidFill>
                <a:prstDash val="solid"/>
              </a:ln>
            </c:spPr>
          </c:marker>
          <c:xVal>
            <c:numRef>
              <c:f>Settings!$E$68:$E$68</c:f>
              <c:numCache>
                <c:formatCode>0.000</c:formatCode>
                <c:ptCount val="1"/>
                <c:pt idx="0">
                  <c:v>#N/A</c:v>
                </c:pt>
              </c:numCache>
            </c:numRef>
          </c:xVal>
          <c:yVal>
            <c:numRef>
              <c:f>Settings!$F$68:$F$68</c:f>
              <c:numCache>
                <c:formatCode>0.000</c:formatCode>
                <c:ptCount val="1"/>
                <c:pt idx="0">
                  <c:v>#N/A</c:v>
                </c:pt>
              </c:numCache>
            </c:numRef>
          </c:yVal>
          <c:smooth val="0"/>
        </c:ser>
        <c:ser>
          <c:idx val="19"/>
          <c:order val="19"/>
          <c:tx>
            <c:v>Flt_model</c:v>
          </c:tx>
          <c:spPr>
            <a:ln w="12700">
              <a:solidFill>
                <a:srgbClr val="999933"/>
              </a:solidFill>
              <a:prstDash val="solid"/>
            </a:ln>
          </c:spPr>
          <c:marker>
            <c:symbol val="star"/>
            <c:size val="6"/>
            <c:spPr>
              <a:noFill/>
              <a:ln>
                <a:solidFill>
                  <a:srgbClr val="FF0000"/>
                </a:solidFill>
                <a:prstDash val="solid"/>
              </a:ln>
            </c:spPr>
          </c:marker>
          <c:xVal>
            <c:numRef>
              <c:f>Settings!$E$67:$E$67</c:f>
              <c:numCache>
                <c:formatCode>0.000</c:formatCode>
                <c:ptCount val="1"/>
                <c:pt idx="0">
                  <c:v>3.3342494468261874</c:v>
                </c:pt>
              </c:numCache>
            </c:numRef>
          </c:xVal>
          <c:yVal>
            <c:numRef>
              <c:f>Settings!$F$67:$F$67</c:f>
              <c:numCache>
                <c:formatCode>0.000</c:formatCode>
                <c:ptCount val="1"/>
                <c:pt idx="0">
                  <c:v>15.686410340050353</c:v>
                </c:pt>
              </c:numCache>
            </c:numRef>
          </c:yVal>
          <c:smooth val="0"/>
        </c:ser>
        <c:ser>
          <c:idx val="20"/>
          <c:order val="20"/>
          <c:tx>
            <c:v>PSB_F</c:v>
          </c:tx>
          <c:spPr>
            <a:ln w="12700">
              <a:solidFill>
                <a:srgbClr val="FF0000"/>
              </a:solidFill>
              <a:prstDash val="sysDash"/>
            </a:ln>
          </c:spPr>
          <c:marker>
            <c:symbol val="none"/>
          </c:marker>
          <c:dPt>
            <c:idx val="5"/>
            <c:bubble3D val="0"/>
            <c:spPr>
              <a:ln w="28575">
                <a:noFill/>
              </a:ln>
            </c:spPr>
          </c:dPt>
          <c:dLbls>
            <c:dLbl>
              <c:idx val="2"/>
              <c:layout/>
              <c:tx>
                <c:rich>
                  <a:bodyPr/>
                  <a:lstStyle/>
                  <a:p>
                    <a:pPr>
                      <a:defRPr sz="1075" b="0" i="0" u="none" strike="noStrike" baseline="0">
                        <a:solidFill>
                          <a:srgbClr val="969696"/>
                        </a:solidFill>
                        <a:latin typeface="Arial"/>
                        <a:ea typeface="Arial"/>
                        <a:cs typeface="Arial"/>
                      </a:defRPr>
                    </a:pPr>
                    <a:r>
                      <a:rPr lang="en-US"/>
                      <a:t>PSB</a:t>
                    </a:r>
                  </a:p>
                </c:rich>
              </c:tx>
              <c:spPr>
                <a:noFill/>
                <a:ln w="25400">
                  <a:noFill/>
                </a:ln>
              </c:spP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Characteristic!$AH$136:$AH$145</c:f>
              <c:numCache>
                <c:formatCode>0.000</c:formatCode>
                <c:ptCount val="10"/>
                <c:pt idx="0">
                  <c:v>62.225166970057209</c:v>
                </c:pt>
                <c:pt idx="1">
                  <c:v>70</c:v>
                </c:pt>
                <c:pt idx="2">
                  <c:v>85.809002353436242</c:v>
                </c:pt>
                <c:pt idx="3">
                  <c:v>3.614187941980429E-15</c:v>
                </c:pt>
                <c:pt idx="4">
                  <c:v>-27.512151831144905</c:v>
                </c:pt>
                <c:pt idx="5">
                  <c:v>-26.036560587524381</c:v>
                </c:pt>
                <c:pt idx="6">
                  <c:v>-36</c:v>
                </c:pt>
                <c:pt idx="7">
                  <c:v>-55.715701579082008</c:v>
                </c:pt>
                <c:pt idx="8">
                  <c:v>-1.3521963496826438E-14</c:v>
                </c:pt>
                <c:pt idx="9">
                  <c:v>64.45381055986546</c:v>
                </c:pt>
              </c:numCache>
            </c:numRef>
          </c:xVal>
          <c:yVal>
            <c:numRef>
              <c:f>Characteristic!$AI$136:$AI$145</c:f>
              <c:numCache>
                <c:formatCode>0.000</c:formatCode>
                <c:ptCount val="10"/>
                <c:pt idx="0">
                  <c:v>-29.016071888111146</c:v>
                </c:pt>
                <c:pt idx="1">
                  <c:v>0</c:v>
                </c:pt>
                <c:pt idx="2">
                  <c:v>59.000000000000007</c:v>
                </c:pt>
                <c:pt idx="3">
                  <c:v>59</c:v>
                </c:pt>
                <c:pt idx="4">
                  <c:v>58.999999999999993</c:v>
                </c:pt>
                <c:pt idx="5">
                  <c:v>37.184062105493233</c:v>
                </c:pt>
                <c:pt idx="6">
                  <c:v>4.410534437671032E-15</c:v>
                </c:pt>
                <c:pt idx="7">
                  <c:v>-73.58</c:v>
                </c:pt>
                <c:pt idx="8">
                  <c:v>-73.58</c:v>
                </c:pt>
                <c:pt idx="9">
                  <c:v>-73.58</c:v>
                </c:pt>
              </c:numCache>
            </c:numRef>
          </c:yVal>
          <c:smooth val="0"/>
        </c:ser>
        <c:dLbls>
          <c:showLegendKey val="0"/>
          <c:showVal val="0"/>
          <c:showCatName val="0"/>
          <c:showSerName val="0"/>
          <c:showPercent val="0"/>
          <c:showBubbleSize val="0"/>
        </c:dLbls>
        <c:axId val="-762677440"/>
        <c:axId val="-762680160"/>
      </c:scatterChart>
      <c:valAx>
        <c:axId val="-762677440"/>
        <c:scaling>
          <c:orientation val="minMax"/>
        </c:scaling>
        <c:delete val="0"/>
        <c:axPos val="b"/>
        <c:majorGridlines>
          <c:spPr>
            <a:ln w="3175">
              <a:solidFill>
                <a:srgbClr val="969696"/>
              </a:solidFill>
              <a:prstDash val="sysDash"/>
            </a:ln>
          </c:spPr>
        </c:majorGridlines>
        <c:numFmt formatCode="0.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762680160"/>
        <c:crosses val="autoZero"/>
        <c:crossBetween val="midCat"/>
      </c:valAx>
      <c:valAx>
        <c:axId val="-762680160"/>
        <c:scaling>
          <c:orientation val="minMax"/>
        </c:scaling>
        <c:delete val="0"/>
        <c:axPos val="l"/>
        <c:majorGridlines>
          <c:spPr>
            <a:ln w="3175">
              <a:solidFill>
                <a:srgbClr val="969696"/>
              </a:solidFill>
              <a:prstDash val="sysDash"/>
            </a:ln>
          </c:spPr>
        </c:majorGridlines>
        <c:title>
          <c:tx>
            <c:rich>
              <a:bodyPr/>
              <a:lstStyle/>
              <a:p>
                <a:pPr>
                  <a:defRPr sz="1075" b="1" i="0" u="none" strike="noStrike" baseline="0">
                    <a:solidFill>
                      <a:srgbClr val="000000"/>
                    </a:solidFill>
                    <a:latin typeface="Arial"/>
                    <a:ea typeface="Arial"/>
                    <a:cs typeface="Arial"/>
                  </a:defRPr>
                </a:pPr>
                <a:r>
                  <a:rPr lang="en-GB"/>
                  <a:t>Phase-to-Phase</a:t>
                </a:r>
              </a:p>
            </c:rich>
          </c:tx>
          <c:layout>
            <c:manualLayout>
              <c:xMode val="edge"/>
              <c:yMode val="edge"/>
              <c:x val="4.8991354466858789E-2"/>
              <c:y val="0.3773272757149011"/>
            </c:manualLayout>
          </c:layout>
          <c:overlay val="0"/>
          <c:spPr>
            <a:noFill/>
            <a:ln w="25400">
              <a:noFill/>
            </a:ln>
          </c:spPr>
        </c:title>
        <c:numFmt formatCode="0.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762677440"/>
        <c:crosses val="autoZero"/>
        <c:crossBetween val="midCat"/>
      </c:valAx>
      <c:spPr>
        <a:solidFill>
          <a:srgbClr val="E3E3E3"/>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6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49261127901359"/>
          <c:y val="2.8813559322033899E-2"/>
          <c:w val="0.86865734947626327"/>
          <c:h val="0.88983050847457623"/>
        </c:manualLayout>
      </c:layout>
      <c:scatterChart>
        <c:scatterStyle val="lineMarker"/>
        <c:varyColors val="0"/>
        <c:ser>
          <c:idx val="0"/>
          <c:order val="0"/>
          <c:tx>
            <c:v>Z1</c:v>
          </c:tx>
          <c:spPr>
            <a:ln w="12700">
              <a:solidFill>
                <a:srgbClr val="00FF00"/>
              </a:solidFill>
              <a:prstDash val="solid"/>
            </a:ln>
          </c:spPr>
          <c:marker>
            <c:symbol val="triangle"/>
            <c:size val="3"/>
            <c:spPr>
              <a:solidFill>
                <a:srgbClr val="00FF00"/>
              </a:solidFill>
              <a:ln>
                <a:solidFill>
                  <a:srgbClr val="000000"/>
                </a:solidFill>
                <a:prstDash val="solid"/>
              </a:ln>
            </c:spPr>
          </c:marker>
          <c:dLbls>
            <c:dLbl>
              <c:idx val="4"/>
              <c:layout>
                <c:manualLayout>
                  <c:x val="-6.9626641449509075E-3"/>
                  <c:y val="-5.4675336823654013E-3"/>
                </c:manualLayout>
              </c:layout>
              <c:tx>
                <c:rich>
                  <a:bodyPr/>
                  <a:lstStyle/>
                  <a:p>
                    <a:pPr>
                      <a:defRPr sz="800" b="0" i="0" u="none" strike="noStrike" baseline="0">
                        <a:solidFill>
                          <a:srgbClr val="000000"/>
                        </a:solidFill>
                        <a:latin typeface="Arial"/>
                        <a:ea typeface="Arial"/>
                        <a:cs typeface="Arial"/>
                      </a:defRPr>
                    </a:pPr>
                    <a:r>
                      <a:rPr lang="en-US"/>
                      <a:t>ZG1</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Characteristic!$AL$5:$AL$15</c:f>
              <c:numCache>
                <c:formatCode>0.000</c:formatCode>
                <c:ptCount val="11"/>
                <c:pt idx="0">
                  <c:v>57.86940528215321</c:v>
                </c:pt>
                <c:pt idx="1">
                  <c:v>61.449708739019499</c:v>
                </c:pt>
                <c:pt idx="2">
                  <c:v>65.099999999999994</c:v>
                </c:pt>
                <c:pt idx="3">
                  <c:v>66.662742455865924</c:v>
                </c:pt>
                <c:pt idx="4">
                  <c:v>68.328284029656061</c:v>
                </c:pt>
                <c:pt idx="5">
                  <c:v>69.004376090706245</c:v>
                </c:pt>
                <c:pt idx="6">
                  <c:v>46.002917393804161</c:v>
                </c:pt>
                <c:pt idx="7">
                  <c:v>23.00145869690208</c:v>
                </c:pt>
                <c:pt idx="8">
                  <c:v>8.946115694306403E-16</c:v>
                </c:pt>
                <c:pt idx="9">
                  <c:v>-3.2376584125258452</c:v>
                </c:pt>
                <c:pt idx="10">
                  <c:v>-6.8100192140500173</c:v>
                </c:pt>
              </c:numCache>
            </c:numRef>
          </c:xVal>
          <c:yVal>
            <c:numRef>
              <c:f>Characteristic!$AM$5:$AM$15</c:f>
              <c:numCache>
                <c:formatCode>0.000</c:formatCode>
                <c:ptCount val="11"/>
                <c:pt idx="0">
                  <c:v>-26.98494685594337</c:v>
                </c:pt>
                <c:pt idx="1">
                  <c:v>-13.623072448403844</c:v>
                </c:pt>
                <c:pt idx="2">
                  <c:v>0</c:v>
                </c:pt>
                <c:pt idx="3">
                  <c:v>5.8322342444365818</c:v>
                </c:pt>
                <c:pt idx="4">
                  <c:v>12.048120019939679</c:v>
                </c:pt>
                <c:pt idx="5">
                  <c:v>14.571329942372932</c:v>
                </c:pt>
                <c:pt idx="6">
                  <c:v>14.604133333333333</c:v>
                </c:pt>
                <c:pt idx="7">
                  <c:v>14.604133333333333</c:v>
                </c:pt>
                <c:pt idx="8">
                  <c:v>14.604133333333333</c:v>
                </c:pt>
                <c:pt idx="9">
                  <c:v>14.604133333333333</c:v>
                </c:pt>
                <c:pt idx="10">
                  <c:v>14.604133333333333</c:v>
                </c:pt>
              </c:numCache>
            </c:numRef>
          </c:yVal>
          <c:smooth val="0"/>
        </c:ser>
        <c:ser>
          <c:idx val="3"/>
          <c:order val="1"/>
          <c:tx>
            <c:v>Z1B</c:v>
          </c:tx>
          <c:spPr>
            <a:ln w="12700">
              <a:solidFill>
                <a:srgbClr val="000000"/>
              </a:solidFill>
              <a:prstDash val="sysDash"/>
            </a:ln>
          </c:spPr>
          <c:marker>
            <c:symbol val="triangle"/>
            <c:size val="3"/>
            <c:spPr>
              <a:solidFill>
                <a:srgbClr val="000000"/>
              </a:solidFill>
              <a:ln>
                <a:solidFill>
                  <a:srgbClr val="808080"/>
                </a:solidFill>
                <a:prstDash val="solid"/>
              </a:ln>
            </c:spPr>
          </c:marker>
          <c:dLbls>
            <c:dLbl>
              <c:idx val="6"/>
              <c:layout>
                <c:manualLayout>
                  <c:x val="-6.8268772227944247E-3"/>
                  <c:y val="-1.5654168621285894E-2"/>
                </c:manualLayout>
              </c:layout>
              <c:spPr>
                <a:noFill/>
                <a:ln w="25400">
                  <a:noFill/>
                </a:ln>
              </c:spPr>
              <c:txPr>
                <a:bodyPr/>
                <a:lstStyle/>
                <a:p>
                  <a:pPr>
                    <a:defRPr sz="800" b="0" i="0" u="none" strike="noStrike" baseline="0">
                      <a:solidFill>
                        <a:srgbClr val="FF00FF"/>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strRef>
              <c:f>Characteristic!$AL$16:$AL$26</c:f>
              <c:strCache>
                <c:ptCount val="11"/>
                <c:pt idx="0">
                  <c:v>0.000</c:v>
                </c:pt>
                <c:pt idx="1">
                  <c:v>0.000</c:v>
                </c:pt>
                <c:pt idx="2">
                  <c:v>0.000</c:v>
                </c:pt>
                <c:pt idx="3">
                  <c:v>0.000</c:v>
                </c:pt>
                <c:pt idx="4">
                  <c:v>0.000</c:v>
                </c:pt>
                <c:pt idx="5">
                  <c:v>0.000</c:v>
                </c:pt>
                <c:pt idx="6">
                  <c:v>0.000</c:v>
                </c:pt>
                <c:pt idx="7">
                  <c:v>0.000</c:v>
                </c:pt>
                <c:pt idx="8">
                  <c:v>0.000</c:v>
                </c:pt>
                <c:pt idx="9">
                  <c:v>0.000</c:v>
                </c:pt>
                <c:pt idx="10">
                  <c:v>No Overreach</c:v>
                </c:pt>
              </c:strCache>
            </c:strRef>
          </c:xVal>
          <c:yVal>
            <c:numRef>
              <c:f>Characteristic!$AM$16:$AM$26</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ser>
          <c:idx val="4"/>
          <c:order val="2"/>
          <c:tx>
            <c:v>Z2</c:v>
          </c:tx>
          <c:spPr>
            <a:ln w="12700">
              <a:solidFill>
                <a:srgbClr val="969696"/>
              </a:solidFill>
              <a:prstDash val="solid"/>
            </a:ln>
          </c:spPr>
          <c:marker>
            <c:symbol val="triangle"/>
            <c:size val="3"/>
            <c:spPr>
              <a:solidFill>
                <a:srgbClr val="969696"/>
              </a:solidFill>
              <a:ln>
                <a:solidFill>
                  <a:srgbClr val="969696"/>
                </a:solidFill>
                <a:prstDash val="solid"/>
              </a:ln>
            </c:spPr>
          </c:marker>
          <c:dLbls>
            <c:dLbl>
              <c:idx val="4"/>
              <c:layout>
                <c:manualLayout>
                  <c:x val="-3.2937368596153815E-2"/>
                  <c:y val="-2.3171196298884138E-2"/>
                </c:manualLayout>
              </c:layout>
              <c:tx>
                <c:rich>
                  <a:bodyPr/>
                  <a:lstStyle/>
                  <a:p>
                    <a:pPr>
                      <a:defRPr sz="800" b="0" i="0" u="none" strike="noStrike" baseline="0">
                        <a:solidFill>
                          <a:srgbClr val="808080"/>
                        </a:solidFill>
                        <a:latin typeface="Arial"/>
                        <a:ea typeface="Arial"/>
                        <a:cs typeface="Arial"/>
                      </a:defRPr>
                    </a:pPr>
                    <a:r>
                      <a:rPr lang="en-US"/>
                      <a:t>ZG2</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Characteristic!$AL$27:$AL$37</c:f>
              <c:numCache>
                <c:formatCode>0.000</c:formatCode>
                <c:ptCount val="11"/>
                <c:pt idx="0">
                  <c:v>88.893095671510295</c:v>
                </c:pt>
                <c:pt idx="1">
                  <c:v>94.392793761934726</c:v>
                </c:pt>
                <c:pt idx="2">
                  <c:v>100</c:v>
                </c:pt>
                <c:pt idx="3">
                  <c:v>102.15423450248937</c:v>
                </c:pt>
                <c:pt idx="4">
                  <c:v>104.43198732193534</c:v>
                </c:pt>
                <c:pt idx="5">
                  <c:v>105.45674957730083</c:v>
                </c:pt>
                <c:pt idx="6">
                  <c:v>88.209928649680265</c:v>
                </c:pt>
                <c:pt idx="7">
                  <c:v>16.198946384818104</c:v>
                </c:pt>
                <c:pt idx="8">
                  <c:v>1.2474992465543364E-15</c:v>
                </c:pt>
                <c:pt idx="9">
                  <c:v>-4.514782245435117</c:v>
                </c:pt>
                <c:pt idx="10">
                  <c:v>-9.4962932839721219</c:v>
                </c:pt>
              </c:numCache>
            </c:numRef>
          </c:xVal>
          <c:yVal>
            <c:numRef>
              <c:f>Characteristic!$AM$27:$AM$37</c:f>
              <c:numCache>
                <c:formatCode>0.000</c:formatCode>
                <c:ptCount val="11"/>
                <c:pt idx="0">
                  <c:v>-41.451531268730214</c:v>
                </c:pt>
                <c:pt idx="1">
                  <c:v>-20.92637856897672</c:v>
                </c:pt>
                <c:pt idx="2">
                  <c:v>0</c:v>
                </c:pt>
                <c:pt idx="3">
                  <c:v>8.0397126147082414</c:v>
                </c:pt>
                <c:pt idx="4">
                  <c:v>16.540401863963798</c:v>
                </c:pt>
                <c:pt idx="5">
                  <c:v>20.364866666666668</c:v>
                </c:pt>
                <c:pt idx="6">
                  <c:v>20.364866666666668</c:v>
                </c:pt>
                <c:pt idx="7">
                  <c:v>20.364866666666668</c:v>
                </c:pt>
                <c:pt idx="8">
                  <c:v>20.364866666666668</c:v>
                </c:pt>
                <c:pt idx="9">
                  <c:v>20.364866666666668</c:v>
                </c:pt>
                <c:pt idx="10">
                  <c:v>20.364866666666668</c:v>
                </c:pt>
              </c:numCache>
            </c:numRef>
          </c:yVal>
          <c:smooth val="0"/>
        </c:ser>
        <c:ser>
          <c:idx val="5"/>
          <c:order val="3"/>
          <c:tx>
            <c:v>Z3</c:v>
          </c:tx>
          <c:spPr>
            <a:ln w="12700">
              <a:solidFill>
                <a:srgbClr val="A6CAF0"/>
              </a:solidFill>
              <a:prstDash val="solid"/>
            </a:ln>
          </c:spPr>
          <c:marker>
            <c:symbol val="triangle"/>
            <c:size val="3"/>
            <c:spPr>
              <a:solidFill>
                <a:srgbClr val="A6CAF0"/>
              </a:solidFill>
              <a:ln>
                <a:solidFill>
                  <a:srgbClr val="969696"/>
                </a:solidFill>
                <a:prstDash val="solid"/>
              </a:ln>
            </c:spPr>
          </c:marker>
          <c:dLbls>
            <c:dLbl>
              <c:idx val="4"/>
              <c:layout>
                <c:manualLayout>
                  <c:x val="-5.2160833885481093E-3"/>
                  <c:y val="-2.6798021983441098E-2"/>
                </c:manualLayout>
              </c:layout>
              <c:tx>
                <c:rich>
                  <a:bodyPr/>
                  <a:lstStyle/>
                  <a:p>
                    <a:pPr>
                      <a:defRPr sz="800" b="0" i="0" u="none" strike="noStrike" baseline="0">
                        <a:solidFill>
                          <a:srgbClr val="A6CAF0"/>
                        </a:solidFill>
                        <a:latin typeface="Arial"/>
                        <a:ea typeface="Arial"/>
                        <a:cs typeface="Arial"/>
                      </a:defRPr>
                    </a:pPr>
                    <a:r>
                      <a:rPr lang="en-US"/>
                      <a:t>ZG3</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Characteristic!$AL$38:$AL$48</c:f>
              <c:numCache>
                <c:formatCode>0.000</c:formatCode>
                <c:ptCount val="11"/>
                <c:pt idx="0">
                  <c:v>88.893095671510295</c:v>
                </c:pt>
                <c:pt idx="1">
                  <c:v>94.392793761934726</c:v>
                </c:pt>
                <c:pt idx="2">
                  <c:v>100</c:v>
                </c:pt>
                <c:pt idx="3">
                  <c:v>103.40192583510084</c:v>
                </c:pt>
                <c:pt idx="4">
                  <c:v>107.15899647554116</c:v>
                </c:pt>
                <c:pt idx="5">
                  <c:v>110.07488963541022</c:v>
                </c:pt>
                <c:pt idx="6">
                  <c:v>84.450982698798526</c:v>
                </c:pt>
                <c:pt idx="7">
                  <c:v>24.417725504226397</c:v>
                </c:pt>
                <c:pt idx="8">
                  <c:v>2.3032790952282056E-15</c:v>
                </c:pt>
                <c:pt idx="9">
                  <c:v>-8.3357193153745381</c:v>
                </c:pt>
                <c:pt idx="10">
                  <c:v>-17.533167946627941</c:v>
                </c:pt>
              </c:numCache>
            </c:numRef>
          </c:xVal>
          <c:yVal>
            <c:numRef>
              <c:f>Characteristic!$AM$38:$AM$48</c:f>
              <c:numCache>
                <c:formatCode>0.000</c:formatCode>
                <c:ptCount val="11"/>
                <c:pt idx="0">
                  <c:v>-41.451531268730214</c:v>
                </c:pt>
                <c:pt idx="1">
                  <c:v>-20.92637856897672</c:v>
                </c:pt>
                <c:pt idx="2">
                  <c:v>0</c:v>
                </c:pt>
                <c:pt idx="3">
                  <c:v>12.696160060177563</c:v>
                </c:pt>
                <c:pt idx="4">
                  <c:v>26.717738577926117</c:v>
                </c:pt>
                <c:pt idx="5">
                  <c:v>37.600000000000009</c:v>
                </c:pt>
                <c:pt idx="6">
                  <c:v>37.6</c:v>
                </c:pt>
                <c:pt idx="7">
                  <c:v>37.6</c:v>
                </c:pt>
                <c:pt idx="8">
                  <c:v>37.6</c:v>
                </c:pt>
                <c:pt idx="9">
                  <c:v>37.6</c:v>
                </c:pt>
                <c:pt idx="10">
                  <c:v>37.6</c:v>
                </c:pt>
              </c:numCache>
            </c:numRef>
          </c:yVal>
          <c:smooth val="0"/>
        </c:ser>
        <c:ser>
          <c:idx val="6"/>
          <c:order val="4"/>
          <c:tx>
            <c:v>Z4</c:v>
          </c:tx>
          <c:spPr>
            <a:ln w="12700">
              <a:solidFill>
                <a:srgbClr val="CC9CCC"/>
              </a:solidFill>
              <a:prstDash val="solid"/>
            </a:ln>
          </c:spPr>
          <c:marker>
            <c:symbol val="triangle"/>
            <c:size val="3"/>
            <c:spPr>
              <a:solidFill>
                <a:srgbClr val="CC9CCC"/>
              </a:solidFill>
              <a:ln>
                <a:solidFill>
                  <a:srgbClr val="969696"/>
                </a:solidFill>
                <a:prstDash val="solid"/>
              </a:ln>
            </c:spPr>
          </c:marker>
          <c:dPt>
            <c:idx val="11"/>
            <c:bubble3D val="0"/>
            <c:spPr>
              <a:ln w="28575">
                <a:noFill/>
              </a:ln>
            </c:spPr>
          </c:dPt>
          <c:dLbls>
            <c:dLbl>
              <c:idx val="4"/>
              <c:layout>
                <c:manualLayout>
                  <c:x val="-2.7314635763581216E-2"/>
                  <c:y val="3.4295218286856208E-2"/>
                </c:manualLayout>
              </c:layout>
              <c:tx>
                <c:rich>
                  <a:bodyPr/>
                  <a:lstStyle/>
                  <a:p>
                    <a:pPr>
                      <a:defRPr sz="800" b="0" i="0" u="none" strike="noStrike" baseline="0">
                        <a:solidFill>
                          <a:srgbClr val="CC9CCC"/>
                        </a:solidFill>
                        <a:latin typeface="Arial"/>
                        <a:ea typeface="Arial"/>
                        <a:cs typeface="Arial"/>
                      </a:defRPr>
                    </a:pPr>
                    <a:r>
                      <a:rPr lang="en-US"/>
                      <a:t>ZGR1</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Characteristic!$AL$50:$AL$61</c:f>
              <c:numCache>
                <c:formatCode>0.000</c:formatCode>
                <c:ptCount val="12"/>
                <c:pt idx="0">
                  <c:v>-20.17873271743284</c:v>
                </c:pt>
                <c:pt idx="1">
                  <c:v>-21.427164183959185</c:v>
                </c:pt>
                <c:pt idx="2">
                  <c:v>-22.7</c:v>
                </c:pt>
                <c:pt idx="3">
                  <c:v>-24.070945258834261</c:v>
                </c:pt>
                <c:pt idx="4">
                  <c:v>-25.774912721335038</c:v>
                </c:pt>
                <c:pt idx="5">
                  <c:v>-26.15886680869589</c:v>
                </c:pt>
                <c:pt idx="6">
                  <c:v>-24.277671032334013</c:v>
                </c:pt>
                <c:pt idx="7">
                  <c:v>-7.7563094441537741</c:v>
                </c:pt>
                <c:pt idx="8">
                  <c:v>-2.3722549532395608E-15</c:v>
                </c:pt>
                <c:pt idx="9">
                  <c:v>6.7198265332223119</c:v>
                </c:pt>
                <c:pt idx="10">
                  <c:v>18.435486569698359</c:v>
                </c:pt>
                <c:pt idx="11">
                  <c:v>18.435486569698359</c:v>
                </c:pt>
              </c:numCache>
            </c:numRef>
          </c:xVal>
          <c:yVal>
            <c:numRef>
              <c:f>Characteristic!$AM$50:$AM$61</c:f>
              <c:numCache>
                <c:formatCode>0.000</c:formatCode>
                <c:ptCount val="12"/>
                <c:pt idx="0">
                  <c:v>9.4094975980017601</c:v>
                </c:pt>
                <c:pt idx="1">
                  <c:v>4.7502879351577132</c:v>
                </c:pt>
                <c:pt idx="2">
                  <c:v>2.7810869926425674E-15</c:v>
                </c:pt>
                <c:pt idx="3">
                  <c:v>-5.1164373603651354</c:v>
                </c:pt>
                <c:pt idx="4">
                  <c:v>-11.475730504862264</c:v>
                </c:pt>
                <c:pt idx="5">
                  <c:v>-12.908666666666658</c:v>
                </c:pt>
                <c:pt idx="6">
                  <c:v>-12.908666666666667</c:v>
                </c:pt>
                <c:pt idx="7">
                  <c:v>-12.908666666666667</c:v>
                </c:pt>
                <c:pt idx="8">
                  <c:v>-12.908666666666667</c:v>
                </c:pt>
                <c:pt idx="9">
                  <c:v>-12.908666666666667</c:v>
                </c:pt>
                <c:pt idx="10">
                  <c:v>-12.908666666666667</c:v>
                </c:pt>
                <c:pt idx="11">
                  <c:v>-12.908666666666667</c:v>
                </c:pt>
              </c:numCache>
            </c:numRef>
          </c:yVal>
          <c:smooth val="0"/>
        </c:ser>
        <c:ser>
          <c:idx val="7"/>
          <c:order val="5"/>
          <c:tx>
            <c:v>Z5</c:v>
          </c:tx>
          <c:spPr>
            <a:ln w="12700">
              <a:solidFill>
                <a:srgbClr val="FF00FF"/>
              </a:solidFill>
              <a:prstDash val="solid"/>
            </a:ln>
          </c:spPr>
          <c:marker>
            <c:symbol val="triangle"/>
            <c:size val="3"/>
            <c:spPr>
              <a:solidFill>
                <a:srgbClr val="969696"/>
              </a:solidFill>
              <a:ln>
                <a:solidFill>
                  <a:srgbClr val="424242"/>
                </a:solidFill>
                <a:prstDash val="solid"/>
              </a:ln>
            </c:spPr>
          </c:marker>
          <c:dLbls>
            <c:dLbl>
              <c:idx val="4"/>
              <c:layout>
                <c:manualLayout>
                  <c:x val="-2.116949675947467E-2"/>
                  <c:y val="2.9823547367629103E-2"/>
                </c:manualLayout>
              </c:layout>
              <c:tx>
                <c:rich>
                  <a:bodyPr/>
                  <a:lstStyle/>
                  <a:p>
                    <a:pPr>
                      <a:defRPr sz="800" b="0" i="0" u="none" strike="noStrike" baseline="0">
                        <a:solidFill>
                          <a:srgbClr val="808080"/>
                        </a:solidFill>
                        <a:latin typeface="Arial"/>
                        <a:ea typeface="Arial"/>
                        <a:cs typeface="Arial"/>
                      </a:defRPr>
                    </a:pPr>
                    <a:r>
                      <a:rPr lang="en-US"/>
                      <a:t>ZGR2</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Characteristic!$AL$62:$AL$73</c:f>
              <c:numCache>
                <c:formatCode>0.000</c:formatCode>
                <c:ptCount val="12"/>
                <c:pt idx="0">
                  <c:v>-20.17873271743284</c:v>
                </c:pt>
                <c:pt idx="1">
                  <c:v>-21.427164183959185</c:v>
                </c:pt>
                <c:pt idx="2">
                  <c:v>-22.7</c:v>
                </c:pt>
                <c:pt idx="3">
                  <c:v>-26.112590570060458</c:v>
                </c:pt>
                <c:pt idx="4">
                  <c:v>-34.548850509003159</c:v>
                </c:pt>
                <c:pt idx="5">
                  <c:v>-35.620510059028717</c:v>
                </c:pt>
                <c:pt idx="6">
                  <c:v>-32.524800682141787</c:v>
                </c:pt>
                <c:pt idx="7">
                  <c:v>-14.742333459936624</c:v>
                </c:pt>
                <c:pt idx="8">
                  <c:v>-8.8614987743540479E-15</c:v>
                </c:pt>
                <c:pt idx="9">
                  <c:v>20.640031366702477</c:v>
                </c:pt>
                <c:pt idx="10">
                  <c:v>50.539829980323717</c:v>
                </c:pt>
                <c:pt idx="11">
                  <c:v>38.104191304394426</c:v>
                </c:pt>
              </c:numCache>
            </c:numRef>
          </c:xVal>
          <c:yVal>
            <c:numRef>
              <c:f>Characteristic!$AM$62:$AM$73</c:f>
              <c:numCache>
                <c:formatCode>0.000</c:formatCode>
                <c:ptCount val="12"/>
                <c:pt idx="0">
                  <c:v>9.4094975980017601</c:v>
                </c:pt>
                <c:pt idx="1">
                  <c:v>4.7502879351577132</c:v>
                </c:pt>
                <c:pt idx="2">
                  <c:v>2.7810869926425674E-15</c:v>
                </c:pt>
                <c:pt idx="3">
                  <c:v>-12.735961392896092</c:v>
                </c:pt>
                <c:pt idx="4">
                  <c:v>-44.220512110888215</c:v>
                </c:pt>
                <c:pt idx="5">
                  <c:v>-48.220000000000006</c:v>
                </c:pt>
                <c:pt idx="6">
                  <c:v>-48.22</c:v>
                </c:pt>
                <c:pt idx="7">
                  <c:v>-48.22</c:v>
                </c:pt>
                <c:pt idx="8">
                  <c:v>-48.22</c:v>
                </c:pt>
                <c:pt idx="9">
                  <c:v>-48.22</c:v>
                </c:pt>
                <c:pt idx="10">
                  <c:v>-48.22</c:v>
                </c:pt>
                <c:pt idx="11">
                  <c:v>-26.680841988721873</c:v>
                </c:pt>
              </c:numCache>
            </c:numRef>
          </c:yVal>
          <c:smooth val="0"/>
        </c:ser>
        <c:ser>
          <c:idx val="2"/>
          <c:order val="6"/>
          <c:tx>
            <c:v>PTT</c:v>
          </c:tx>
          <c:spPr>
            <a:ln w="12700">
              <a:solidFill>
                <a:srgbClr val="FF0000"/>
              </a:solidFill>
              <a:prstDash val="solid"/>
            </a:ln>
          </c:spPr>
          <c:marker>
            <c:symbol val="none"/>
          </c:marker>
          <c:dPt>
            <c:idx val="7"/>
            <c:bubble3D val="0"/>
            <c:spPr>
              <a:ln w="28575">
                <a:noFill/>
              </a:ln>
            </c:spPr>
          </c:dPt>
          <c:dLbls>
            <c:dLbl>
              <c:idx val="5"/>
              <c:layout>
                <c:manualLayout>
                  <c:x val="-6.7650859581324427E-2"/>
                  <c:y val="-5.4846770958621588E-3"/>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Characteristic!$AL$74:$AL$84</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xVal>
          <c:yVal>
            <c:numRef>
              <c:f>Characteristic!$AM$74:$AM$84</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ser>
          <c:idx val="8"/>
          <c:order val="7"/>
          <c:tx>
            <c:v>SOTF_Isc</c:v>
          </c:tx>
          <c:spPr>
            <a:ln w="12700">
              <a:solidFill>
                <a:srgbClr val="FF0000"/>
              </a:solidFill>
              <a:prstDash val="sysDash"/>
            </a:ln>
          </c:spPr>
          <c:marker>
            <c:symbol val="none"/>
          </c:marker>
          <c:xVal>
            <c:numRef>
              <c:f>Characteristic!$AL$111:$AL$135</c:f>
              <c:numCache>
                <c:formatCode>0.000</c:formatCode>
                <c:ptCount val="25"/>
                <c:pt idx="0">
                  <c:v>10.968215537982047</c:v>
                </c:pt>
                <c:pt idx="1">
                  <c:v>10.594482656441906</c:v>
                </c:pt>
                <c:pt idx="2">
                  <c:v>9.4987532900756566</c:v>
                </c:pt>
                <c:pt idx="3">
                  <c:v>7.7556995844227625</c:v>
                </c:pt>
                <c:pt idx="4">
                  <c:v>5.4841077689910245</c:v>
                </c:pt>
                <c:pt idx="5">
                  <c:v>2.8387830720191443</c:v>
                </c:pt>
                <c:pt idx="6">
                  <c:v>6.718846159731712E-16</c:v>
                </c:pt>
                <c:pt idx="7">
                  <c:v>-2.8387830720191456</c:v>
                </c:pt>
                <c:pt idx="8">
                  <c:v>-5.4841077689910209</c:v>
                </c:pt>
                <c:pt idx="9">
                  <c:v>-7.7556995844227616</c:v>
                </c:pt>
                <c:pt idx="10">
                  <c:v>-9.4987532900756566</c:v>
                </c:pt>
                <c:pt idx="11">
                  <c:v>-10.594482656441906</c:v>
                </c:pt>
                <c:pt idx="12">
                  <c:v>-10.968215537982047</c:v>
                </c:pt>
                <c:pt idx="13">
                  <c:v>-10.594482656441906</c:v>
                </c:pt>
                <c:pt idx="14">
                  <c:v>-9.4987532900756566</c:v>
                </c:pt>
                <c:pt idx="15">
                  <c:v>-7.7556995844227634</c:v>
                </c:pt>
                <c:pt idx="16">
                  <c:v>-5.484107768991028</c:v>
                </c:pt>
                <c:pt idx="17">
                  <c:v>-2.8387830720191429</c:v>
                </c:pt>
                <c:pt idx="18">
                  <c:v>-2.0156538479195135E-15</c:v>
                </c:pt>
                <c:pt idx="19">
                  <c:v>2.8387830720191394</c:v>
                </c:pt>
                <c:pt idx="20">
                  <c:v>5.4841077689910245</c:v>
                </c:pt>
                <c:pt idx="21">
                  <c:v>7.7556995844227599</c:v>
                </c:pt>
                <c:pt idx="22">
                  <c:v>9.4987532900756531</c:v>
                </c:pt>
                <c:pt idx="23">
                  <c:v>10.594482656441906</c:v>
                </c:pt>
                <c:pt idx="24">
                  <c:v>10.968215537982047</c:v>
                </c:pt>
              </c:numCache>
            </c:numRef>
          </c:xVal>
          <c:yVal>
            <c:numRef>
              <c:f>Characteristic!$AM$111:$AM$135</c:f>
              <c:numCache>
                <c:formatCode>0.000</c:formatCode>
                <c:ptCount val="25"/>
                <c:pt idx="0">
                  <c:v>0</c:v>
                </c:pt>
                <c:pt idx="1">
                  <c:v>2.8387830720191443</c:v>
                </c:pt>
                <c:pt idx="2">
                  <c:v>5.4841077689910227</c:v>
                </c:pt>
                <c:pt idx="3">
                  <c:v>7.7556995844227616</c:v>
                </c:pt>
                <c:pt idx="4">
                  <c:v>9.4987532900756566</c:v>
                </c:pt>
                <c:pt idx="5">
                  <c:v>10.594482656441906</c:v>
                </c:pt>
                <c:pt idx="6">
                  <c:v>10.968215537982047</c:v>
                </c:pt>
                <c:pt idx="7">
                  <c:v>10.594482656441906</c:v>
                </c:pt>
                <c:pt idx="8">
                  <c:v>9.4987532900756566</c:v>
                </c:pt>
                <c:pt idx="9">
                  <c:v>7.7556995844227625</c:v>
                </c:pt>
                <c:pt idx="10">
                  <c:v>5.4841077689910227</c:v>
                </c:pt>
                <c:pt idx="11">
                  <c:v>2.8387830720191474</c:v>
                </c:pt>
                <c:pt idx="12">
                  <c:v>1.3437692319463424E-15</c:v>
                </c:pt>
                <c:pt idx="13">
                  <c:v>-2.8387830720191447</c:v>
                </c:pt>
                <c:pt idx="14">
                  <c:v>-5.4841077689910245</c:v>
                </c:pt>
                <c:pt idx="15">
                  <c:v>-7.7556995844227616</c:v>
                </c:pt>
                <c:pt idx="16">
                  <c:v>-9.4987532900756531</c:v>
                </c:pt>
                <c:pt idx="17">
                  <c:v>-10.594482656441906</c:v>
                </c:pt>
                <c:pt idx="18">
                  <c:v>-10.968215537982047</c:v>
                </c:pt>
                <c:pt idx="19">
                  <c:v>-10.594482656441908</c:v>
                </c:pt>
                <c:pt idx="20">
                  <c:v>-9.4987532900756566</c:v>
                </c:pt>
                <c:pt idx="21">
                  <c:v>-7.7556995844227634</c:v>
                </c:pt>
                <c:pt idx="22">
                  <c:v>-5.484107768991028</c:v>
                </c:pt>
                <c:pt idx="23">
                  <c:v>-2.8387830720191438</c:v>
                </c:pt>
                <c:pt idx="24">
                  <c:v>-2.6875384638926848E-15</c:v>
                </c:pt>
              </c:numCache>
            </c:numRef>
          </c:yVal>
          <c:smooth val="0"/>
        </c:ser>
        <c:ser>
          <c:idx val="10"/>
          <c:order val="8"/>
          <c:tx>
            <c:v>Fwd_Blinder</c:v>
          </c:tx>
          <c:spPr>
            <a:ln w="12700">
              <a:solidFill>
                <a:srgbClr val="808080"/>
              </a:solidFill>
              <a:prstDash val="lgDashDot"/>
            </a:ln>
          </c:spPr>
          <c:marker>
            <c:symbol val="none"/>
          </c:marker>
          <c:xVal>
            <c:numRef>
              <c:f>Characteristic!$AL$147:$AL$148</c:f>
              <c:numCache>
                <c:formatCode>General</c:formatCode>
                <c:ptCount val="2"/>
                <c:pt idx="0">
                  <c:v>85.794885668730288</c:v>
                </c:pt>
                <c:pt idx="1">
                  <c:v>-85.794885668730288</c:v>
                </c:pt>
              </c:numCache>
            </c:numRef>
          </c:xVal>
          <c:yVal>
            <c:numRef>
              <c:f>Characteristic!$AM$147:$AM$148</c:f>
              <c:numCache>
                <c:formatCode>General</c:formatCode>
                <c:ptCount val="2"/>
                <c:pt idx="0">
                  <c:v>-49.53370033593459</c:v>
                </c:pt>
                <c:pt idx="1">
                  <c:v>49.53370033593459</c:v>
                </c:pt>
              </c:numCache>
            </c:numRef>
          </c:yVal>
          <c:smooth val="0"/>
        </c:ser>
        <c:ser>
          <c:idx val="11"/>
          <c:order val="9"/>
          <c:tx>
            <c:v>Rev_Blinder</c:v>
          </c:tx>
          <c:spPr>
            <a:ln w="12700">
              <a:solidFill>
                <a:srgbClr val="808080"/>
              </a:solidFill>
              <a:prstDash val="lgDashDot"/>
            </a:ln>
          </c:spPr>
          <c:marker>
            <c:symbol val="none"/>
          </c:marker>
          <c:xVal>
            <c:numRef>
              <c:f>Characteristic!$AL$149:$AL$150</c:f>
              <c:numCache>
                <c:formatCode>General</c:formatCode>
                <c:ptCount val="2"/>
                <c:pt idx="0">
                  <c:v>0</c:v>
                </c:pt>
                <c:pt idx="1">
                  <c:v>-49.533700335934576</c:v>
                </c:pt>
              </c:numCache>
            </c:numRef>
          </c:xVal>
          <c:yVal>
            <c:numRef>
              <c:f>Characteristic!$AM$149:$AM$150</c:f>
              <c:numCache>
                <c:formatCode>General</c:formatCode>
                <c:ptCount val="2"/>
                <c:pt idx="0">
                  <c:v>0</c:v>
                </c:pt>
                <c:pt idx="1">
                  <c:v>85.794885668730288</c:v>
                </c:pt>
              </c:numCache>
            </c:numRef>
          </c:yVal>
          <c:smooth val="0"/>
        </c:ser>
        <c:ser>
          <c:idx val="13"/>
          <c:order val="10"/>
          <c:tx>
            <c:v>Max_Ze</c:v>
          </c:tx>
          <c:spPr>
            <a:ln w="12700">
              <a:solidFill>
                <a:srgbClr val="FF8080"/>
              </a:solidFill>
              <a:prstDash val="sysDash"/>
            </a:ln>
          </c:spPr>
          <c:marker>
            <c:symbol val="none"/>
          </c:marker>
          <c:xVal>
            <c:numRef>
              <c:f>Characteristic!$AL$201:$AL$225</c:f>
              <c:numCache>
                <c:formatCode>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xVal>
          <c:yVal>
            <c:numRef>
              <c:f>Characteristic!$AM$201:$AM$225</c:f>
              <c:numCache>
                <c:formatCode>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0"/>
        </c:ser>
        <c:ser>
          <c:idx val="14"/>
          <c:order val="11"/>
          <c:tx>
            <c:v>Fault</c:v>
          </c:tx>
          <c:spPr>
            <a:ln w="3175">
              <a:solidFill>
                <a:srgbClr val="FF0000"/>
              </a:solidFill>
              <a:prstDash val="solid"/>
            </a:ln>
          </c:spPr>
          <c:marker>
            <c:symbol val="circle"/>
            <c:size val="3"/>
            <c:spPr>
              <a:solidFill>
                <a:srgbClr val="FF0000"/>
              </a:solidFill>
              <a:ln w="9525">
                <a:noFill/>
              </a:ln>
            </c:spPr>
          </c:marker>
          <c:dPt>
            <c:idx val="1"/>
            <c:marker>
              <c:symbol val="none"/>
            </c:marker>
            <c:bubble3D val="0"/>
          </c:dPt>
          <c:xVal>
            <c:numRef>
              <c:f>Settings!$U$60:$U$61</c:f>
              <c:numCache>
                <c:formatCode>General</c:formatCode>
                <c:ptCount val="2"/>
              </c:numCache>
            </c:numRef>
          </c:xVal>
          <c:yVal>
            <c:numRef>
              <c:f>Settings!$V$60:$V$61</c:f>
              <c:numCache>
                <c:formatCode>General</c:formatCode>
                <c:ptCount val="2"/>
              </c:numCache>
            </c:numRef>
          </c:yVal>
          <c:smooth val="0"/>
        </c:ser>
        <c:ser>
          <c:idx val="15"/>
          <c:order val="12"/>
          <c:tx>
            <c:v>Fault2</c:v>
          </c:tx>
          <c:spPr>
            <a:ln w="12700">
              <a:solidFill>
                <a:srgbClr val="FF00FF"/>
              </a:solidFill>
              <a:prstDash val="lgDash"/>
            </a:ln>
          </c:spPr>
          <c:marker>
            <c:symbol val="star"/>
            <c:size val="3"/>
            <c:spPr>
              <a:noFill/>
              <a:ln>
                <a:solidFill>
                  <a:srgbClr val="FF00FF"/>
                </a:solidFill>
                <a:prstDash val="solid"/>
              </a:ln>
            </c:spPr>
          </c:marker>
          <c:xVal>
            <c:numRef>
              <c:f>Settings!$U$61:$U$62</c:f>
              <c:numCache>
                <c:formatCode>General</c:formatCode>
                <c:ptCount val="2"/>
              </c:numCache>
            </c:numRef>
          </c:xVal>
          <c:yVal>
            <c:numRef>
              <c:f>Settings!$V$61:$V$62</c:f>
              <c:numCache>
                <c:formatCode>General</c:formatCode>
                <c:ptCount val="2"/>
              </c:numCache>
            </c:numRef>
          </c:yVal>
          <c:smooth val="0"/>
        </c:ser>
        <c:ser>
          <c:idx val="16"/>
          <c:order val="13"/>
          <c:tx>
            <c:v>Z4</c:v>
          </c:tx>
          <c:spPr>
            <a:ln w="12700">
              <a:solidFill>
                <a:srgbClr val="993366"/>
              </a:solidFill>
              <a:prstDash val="solid"/>
            </a:ln>
          </c:spPr>
          <c:marker>
            <c:symbol val="none"/>
          </c:marker>
          <c:xVal>
            <c:numRef>
              <c:f>Characteristic!$AL$88:$AL$98</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xVal>
          <c:yVal>
            <c:numRef>
              <c:f>Characteristic!$AM$88:$AM$98</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ser>
          <c:idx val="17"/>
          <c:order val="14"/>
          <c:tx>
            <c:v>Load</c:v>
          </c:tx>
          <c:spPr>
            <a:ln w="12700">
              <a:solidFill>
                <a:srgbClr val="339933"/>
              </a:solidFill>
              <a:prstDash val="lgDashDotDot"/>
            </a:ln>
          </c:spPr>
          <c:marker>
            <c:symbol val="none"/>
          </c:marker>
          <c:xVal>
            <c:numRef>
              <c:f>Characteristic!$AJ$201:$AJ$225</c:f>
              <c:numCache>
                <c:formatCode>0.000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xVal>
          <c:yVal>
            <c:numRef>
              <c:f>Characteristic!$AK$201:$AK$225</c:f>
              <c:numCache>
                <c:formatCode>0.000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0"/>
        </c:ser>
        <c:ser>
          <c:idx val="1"/>
          <c:order val="15"/>
          <c:tx>
            <c:v>SOTF</c:v>
          </c:tx>
          <c:spPr>
            <a:ln w="28575">
              <a:noFill/>
            </a:ln>
          </c:spPr>
          <c:marker>
            <c:symbol val="diamond"/>
            <c:size val="5"/>
            <c:spPr>
              <a:solidFill>
                <a:srgbClr val="FF0000"/>
              </a:solidFill>
              <a:ln>
                <a:solidFill>
                  <a:srgbClr val="000000"/>
                </a:solidFill>
                <a:prstDash val="solid"/>
              </a:ln>
            </c:spPr>
          </c:marker>
          <c:dLbls>
            <c:dLbl>
              <c:idx val="3"/>
              <c:layout/>
              <c:tx>
                <c:rich>
                  <a:bodyPr/>
                  <a:lstStyle/>
                  <a:p>
                    <a:pPr>
                      <a:defRPr sz="800" b="0" i="0" u="none" strike="noStrike" baseline="0">
                        <a:solidFill>
                          <a:srgbClr val="FF0000"/>
                        </a:solidFill>
                        <a:latin typeface="Arial"/>
                        <a:ea typeface="Arial"/>
                        <a:cs typeface="Arial"/>
                      </a:defRPr>
                    </a:pPr>
                    <a:r>
                      <a:rPr lang="en-US"/>
                      <a:t>SOTF</a:t>
                    </a:r>
                  </a:p>
                </c:rich>
              </c:tx>
              <c:spPr>
                <a:noFill/>
                <a:ln w="25400">
                  <a:noFill/>
                </a:ln>
              </c:spPr>
              <c:showLegendKey val="0"/>
              <c:showVal val="0"/>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Characteristic!$AL$99:$AL$110</c:f>
              <c:numCache>
                <c:formatCode>0.000</c:formatCode>
                <c:ptCount val="12"/>
                <c:pt idx="0">
                  <c:v>57.86940528215321</c:v>
                </c:pt>
                <c:pt idx="1">
                  <c:v>65.099999999999994</c:v>
                </c:pt>
                <c:pt idx="2">
                  <c:v>68.328284029656061</c:v>
                </c:pt>
                <c:pt idx="3">
                  <c:v>69.004376090706245</c:v>
                </c:pt>
                <c:pt idx="4">
                  <c:v>8.946115694306403E-16</c:v>
                </c:pt>
                <c:pt idx="5">
                  <c:v>-6.8100192140500173</c:v>
                </c:pt>
                <c:pt idx="6">
                  <c:v>-9.9405791519695086</c:v>
                </c:pt>
                <c:pt idx="7">
                  <c:v>-10.968215537982047</c:v>
                </c:pt>
                <c:pt idx="8">
                  <c:v>-6.7527077598038332</c:v>
                </c:pt>
                <c:pt idx="9">
                  <c:v>-6.5170001373782167</c:v>
                </c:pt>
                <c:pt idx="10">
                  <c:v>-2.0156538479195135E-15</c:v>
                </c:pt>
                <c:pt idx="11">
                  <c:v>7.935688946857244</c:v>
                </c:pt>
              </c:numCache>
            </c:numRef>
          </c:xVal>
          <c:yVal>
            <c:numRef>
              <c:f>Characteristic!$AM$99:$AM$110</c:f>
              <c:numCache>
                <c:formatCode>0.000</c:formatCode>
                <c:ptCount val="12"/>
                <c:pt idx="0">
                  <c:v>-26.98494685594337</c:v>
                </c:pt>
                <c:pt idx="1">
                  <c:v>0</c:v>
                </c:pt>
                <c:pt idx="2">
                  <c:v>12.048120019939679</c:v>
                </c:pt>
                <c:pt idx="3">
                  <c:v>14.571329942372932</c:v>
                </c:pt>
                <c:pt idx="4">
                  <c:v>14.604133333333333</c:v>
                </c:pt>
                <c:pt idx="5">
                  <c:v>14.604133333333333</c:v>
                </c:pt>
                <c:pt idx="6">
                  <c:v>4.6353681850593036</c:v>
                </c:pt>
                <c:pt idx="7">
                  <c:v>1.3437692319463424E-15</c:v>
                </c:pt>
                <c:pt idx="8">
                  <c:v>-8.643071791806193</c:v>
                </c:pt>
                <c:pt idx="9">
                  <c:v>-8.8221574060454806</c:v>
                </c:pt>
                <c:pt idx="10">
                  <c:v>-10.968215537982047</c:v>
                </c:pt>
                <c:pt idx="11">
                  <c:v>-7.5714326931142013</c:v>
                </c:pt>
              </c:numCache>
            </c:numRef>
          </c:yVal>
          <c:smooth val="0"/>
        </c:ser>
        <c:ser>
          <c:idx val="18"/>
          <c:order val="16"/>
          <c:tx>
            <c:v>Fault</c:v>
          </c:tx>
          <c:spPr>
            <a:ln w="12700">
              <a:solidFill>
                <a:srgbClr val="339933"/>
              </a:solidFill>
              <a:prstDash val="solid"/>
            </a:ln>
          </c:spPr>
          <c:marker>
            <c:symbol val="star"/>
            <c:size val="3"/>
            <c:spPr>
              <a:solidFill>
                <a:srgbClr val="FF0000"/>
              </a:solidFill>
              <a:ln>
                <a:solidFill>
                  <a:srgbClr val="000000"/>
                </a:solidFill>
                <a:prstDash val="solid"/>
              </a:ln>
            </c:spPr>
          </c:marker>
          <c:xVal>
            <c:numRef>
              <c:f>Settings!$P$64:$P$64</c:f>
              <c:numCache>
                <c:formatCode>0.000</c:formatCode>
                <c:ptCount val="1"/>
                <c:pt idx="0">
                  <c:v>#N/A</c:v>
                </c:pt>
              </c:numCache>
            </c:numRef>
          </c:xVal>
          <c:yVal>
            <c:numRef>
              <c:f>Settings!$Q$64:$Q$64</c:f>
              <c:numCache>
                <c:formatCode>0.000</c:formatCode>
                <c:ptCount val="1"/>
                <c:pt idx="0">
                  <c:v>#N/A</c:v>
                </c:pt>
              </c:numCache>
            </c:numRef>
          </c:yVal>
          <c:smooth val="0"/>
        </c:ser>
        <c:ser>
          <c:idx val="19"/>
          <c:order val="17"/>
          <c:tx>
            <c:v>Flt-Model</c:v>
          </c:tx>
          <c:spPr>
            <a:ln w="12700">
              <a:solidFill>
                <a:srgbClr val="999933"/>
              </a:solidFill>
              <a:prstDash val="solid"/>
            </a:ln>
          </c:spPr>
          <c:marker>
            <c:symbol val="star"/>
            <c:size val="6"/>
            <c:spPr>
              <a:noFill/>
              <a:ln>
                <a:solidFill>
                  <a:srgbClr val="FF0000"/>
                </a:solidFill>
                <a:prstDash val="solid"/>
              </a:ln>
            </c:spPr>
          </c:marker>
          <c:xVal>
            <c:numRef>
              <c:f>Settings!$P$63</c:f>
              <c:numCache>
                <c:formatCode>0.000</c:formatCode>
                <c:ptCount val="1"/>
                <c:pt idx="0">
                  <c:v>43.600945384424811</c:v>
                </c:pt>
              </c:numCache>
            </c:numRef>
          </c:xVal>
          <c:yVal>
            <c:numRef>
              <c:f>Settings!$Q$63</c:f>
              <c:numCache>
                <c:formatCode>0.000</c:formatCode>
                <c:ptCount val="1"/>
                <c:pt idx="0">
                  <c:v>27.244894484999516</c:v>
                </c:pt>
              </c:numCache>
            </c:numRef>
          </c:yVal>
          <c:smooth val="0"/>
        </c:ser>
        <c:ser>
          <c:idx val="20"/>
          <c:order val="18"/>
          <c:tx>
            <c:v>PSB</c:v>
          </c:tx>
          <c:spPr>
            <a:ln w="12700">
              <a:solidFill>
                <a:srgbClr val="FF0000"/>
              </a:solidFill>
              <a:prstDash val="sysDash"/>
            </a:ln>
          </c:spPr>
          <c:marker>
            <c:symbol val="none"/>
          </c:marker>
          <c:dPt>
            <c:idx val="5"/>
            <c:bubble3D val="0"/>
            <c:spPr>
              <a:ln w="28575">
                <a:noFill/>
              </a:ln>
            </c:spPr>
          </c:dPt>
          <c:xVal>
            <c:numRef>
              <c:f>Characteristic!$AL$136:$AL$145</c:f>
              <c:numCache>
                <c:formatCode>0.000</c:formatCode>
                <c:ptCount val="10"/>
                <c:pt idx="0">
                  <c:v>0</c:v>
                </c:pt>
                <c:pt idx="1">
                  <c:v>0</c:v>
                </c:pt>
                <c:pt idx="2">
                  <c:v>0</c:v>
                </c:pt>
                <c:pt idx="3">
                  <c:v>0</c:v>
                </c:pt>
                <c:pt idx="4">
                  <c:v>0</c:v>
                </c:pt>
                <c:pt idx="5">
                  <c:v>0</c:v>
                </c:pt>
                <c:pt idx="6">
                  <c:v>0</c:v>
                </c:pt>
                <c:pt idx="7">
                  <c:v>0</c:v>
                </c:pt>
                <c:pt idx="8">
                  <c:v>0</c:v>
                </c:pt>
                <c:pt idx="9">
                  <c:v>0</c:v>
                </c:pt>
              </c:numCache>
            </c:numRef>
          </c:xVal>
          <c:yVal>
            <c:numRef>
              <c:f>Characteristic!$AM$136:$AM$145</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ser>
        <c:ser>
          <c:idx val="9"/>
          <c:order val="19"/>
          <c:tx>
            <c:v>DCEF</c:v>
          </c:tx>
          <c:spPr>
            <a:ln w="12700">
              <a:solidFill>
                <a:srgbClr val="008000"/>
              </a:solidFill>
              <a:prstDash val="solid"/>
            </a:ln>
          </c:spPr>
          <c:marker>
            <c:symbol val="none"/>
          </c:marker>
          <c:xVal>
            <c:numRef>
              <c:f>Characteristic!$AA$201:$AA$225</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xVal>
          <c:yVal>
            <c:numRef>
              <c:f>Characteristic!$AB$201:$AB$225</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0"/>
        </c:ser>
        <c:dLbls>
          <c:showLegendKey val="0"/>
          <c:showVal val="0"/>
          <c:showCatName val="0"/>
          <c:showSerName val="0"/>
          <c:showPercent val="0"/>
          <c:showBubbleSize val="0"/>
        </c:dLbls>
        <c:axId val="-762678528"/>
        <c:axId val="-762682336"/>
      </c:scatterChart>
      <c:valAx>
        <c:axId val="-762678528"/>
        <c:scaling>
          <c:orientation val="minMax"/>
        </c:scaling>
        <c:delete val="0"/>
        <c:axPos val="b"/>
        <c:majorGridlines>
          <c:spPr>
            <a:ln w="3175">
              <a:solidFill>
                <a:srgbClr val="969696"/>
              </a:solidFill>
              <a:prstDash val="sysDash"/>
            </a:ln>
          </c:spPr>
        </c:majorGridlines>
        <c:numFmt formatCode="0.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762682336"/>
        <c:crosses val="autoZero"/>
        <c:crossBetween val="midCat"/>
      </c:valAx>
      <c:valAx>
        <c:axId val="-762682336"/>
        <c:scaling>
          <c:orientation val="minMax"/>
        </c:scaling>
        <c:delete val="0"/>
        <c:axPos val="l"/>
        <c:majorGridlines>
          <c:spPr>
            <a:ln w="3175">
              <a:solidFill>
                <a:srgbClr val="969696"/>
              </a:solidFill>
              <a:prstDash val="sysDash"/>
            </a:ln>
          </c:spPr>
        </c:majorGridlines>
        <c:title>
          <c:tx>
            <c:rich>
              <a:bodyPr/>
              <a:lstStyle/>
              <a:p>
                <a:pPr>
                  <a:defRPr sz="1075" b="1" i="0" u="none" strike="noStrike" baseline="0">
                    <a:solidFill>
                      <a:srgbClr val="000000"/>
                    </a:solidFill>
                    <a:latin typeface="Arial"/>
                    <a:ea typeface="Arial"/>
                    <a:cs typeface="Arial"/>
                  </a:defRPr>
                </a:pPr>
                <a:r>
                  <a:rPr lang="en-GB"/>
                  <a:t>Phase-to-Earth</a:t>
                </a:r>
              </a:p>
            </c:rich>
          </c:tx>
          <c:layout>
            <c:manualLayout>
              <c:xMode val="edge"/>
              <c:yMode val="edge"/>
              <c:x val="4.3283582089552242E-2"/>
              <c:y val="0.38135593220338981"/>
            </c:manualLayout>
          </c:layout>
          <c:overlay val="0"/>
          <c:spPr>
            <a:noFill/>
            <a:ln w="25400">
              <a:noFill/>
            </a:ln>
          </c:spPr>
        </c:title>
        <c:numFmt formatCode="0.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762678528"/>
        <c:crosses val="autoZero"/>
        <c:crossBetween val="midCat"/>
      </c:valAx>
      <c:spPr>
        <a:solidFill>
          <a:srgbClr val="E3E3E3"/>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ctrlProps/ctrlProp1.xml><?xml version="1.0" encoding="utf-8"?>
<formControlPr xmlns="http://schemas.microsoft.com/office/spreadsheetml/2009/9/main" objectType="GBox"/>
</file>

<file path=xl/ctrlProps/ctrlProp10.xml><?xml version="1.0" encoding="utf-8"?>
<formControlPr xmlns="http://schemas.microsoft.com/office/spreadsheetml/2009/9/main" objectType="GBox"/>
</file>

<file path=xl/ctrlProps/ctrlProp11.xml><?xml version="1.0" encoding="utf-8"?>
<formControlPr xmlns="http://schemas.microsoft.com/office/spreadsheetml/2009/9/main" objectType="GBox"/>
</file>

<file path=xl/ctrlProps/ctrlProp12.xml><?xml version="1.0" encoding="utf-8"?>
<formControlPr xmlns="http://schemas.microsoft.com/office/spreadsheetml/2009/9/main" objectType="GBox"/>
</file>

<file path=xl/ctrlProps/ctrlProp13.xml><?xml version="1.0" encoding="utf-8"?>
<formControlPr xmlns="http://schemas.microsoft.com/office/spreadsheetml/2009/9/main" objectType="GBox"/>
</file>

<file path=xl/ctrlProps/ctrlProp14.xml><?xml version="1.0" encoding="utf-8"?>
<formControlPr xmlns="http://schemas.microsoft.com/office/spreadsheetml/2009/9/main" objectType="GBox"/>
</file>

<file path=xl/ctrlProps/ctrlProp2.xml><?xml version="1.0" encoding="utf-8"?>
<formControlPr xmlns="http://schemas.microsoft.com/office/spreadsheetml/2009/9/main" objectType="GBox"/>
</file>

<file path=xl/ctrlProps/ctrlProp3.xml><?xml version="1.0" encoding="utf-8"?>
<formControlPr xmlns="http://schemas.microsoft.com/office/spreadsheetml/2009/9/main" objectType="GBox"/>
</file>

<file path=xl/ctrlProps/ctrlProp4.xml><?xml version="1.0" encoding="utf-8"?>
<formControlPr xmlns="http://schemas.microsoft.com/office/spreadsheetml/2009/9/main" objectType="GBox"/>
</file>

<file path=xl/ctrlProps/ctrlProp5.xml><?xml version="1.0" encoding="utf-8"?>
<formControlPr xmlns="http://schemas.microsoft.com/office/spreadsheetml/2009/9/main" objectType="GBox"/>
</file>

<file path=xl/ctrlProps/ctrlProp6.xml><?xml version="1.0" encoding="utf-8"?>
<formControlPr xmlns="http://schemas.microsoft.com/office/spreadsheetml/2009/9/main" objectType="GBox"/>
</file>

<file path=xl/ctrlProps/ctrlProp7.xml><?xml version="1.0" encoding="utf-8"?>
<formControlPr xmlns="http://schemas.microsoft.com/office/spreadsheetml/2009/9/main" objectType="GBox"/>
</file>

<file path=xl/ctrlProps/ctrlProp8.xml><?xml version="1.0" encoding="utf-8"?>
<formControlPr xmlns="http://schemas.microsoft.com/office/spreadsheetml/2009/9/main" objectType="GBox"/>
</file>

<file path=xl/ctrlProps/ctrlProp9.xml><?xml version="1.0" encoding="utf-8"?>
<formControlPr xmlns="http://schemas.microsoft.com/office/spreadsheetml/2009/9/main" objectType="GBox"/>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6" Type="http://schemas.openxmlformats.org/officeDocument/2006/relationships/image" Target="../media/image33.emf"/><Relationship Id="rId21" Type="http://schemas.openxmlformats.org/officeDocument/2006/relationships/image" Target="../media/image28.emf"/><Relationship Id="rId42" Type="http://schemas.openxmlformats.org/officeDocument/2006/relationships/image" Target="../media/image49.emf"/><Relationship Id="rId47" Type="http://schemas.openxmlformats.org/officeDocument/2006/relationships/image" Target="../media/image62.emf"/><Relationship Id="rId63" Type="http://schemas.openxmlformats.org/officeDocument/2006/relationships/image" Target="../media/image55.emf"/><Relationship Id="rId68" Type="http://schemas.openxmlformats.org/officeDocument/2006/relationships/image" Target="../media/image53.emf"/><Relationship Id="rId2" Type="http://schemas.openxmlformats.org/officeDocument/2006/relationships/image" Target="../media/image6.emf"/><Relationship Id="rId16" Type="http://schemas.openxmlformats.org/officeDocument/2006/relationships/image" Target="../media/image23.emf"/><Relationship Id="rId29" Type="http://schemas.openxmlformats.org/officeDocument/2006/relationships/image" Target="../media/image36.emf"/><Relationship Id="rId11" Type="http://schemas.openxmlformats.org/officeDocument/2006/relationships/image" Target="../media/image18.emf"/><Relationship Id="rId24" Type="http://schemas.openxmlformats.org/officeDocument/2006/relationships/image" Target="../media/image31.emf"/><Relationship Id="rId32" Type="http://schemas.openxmlformats.org/officeDocument/2006/relationships/image" Target="../media/image39.emf"/><Relationship Id="rId37" Type="http://schemas.openxmlformats.org/officeDocument/2006/relationships/image" Target="../media/image44.emf"/><Relationship Id="rId40" Type="http://schemas.openxmlformats.org/officeDocument/2006/relationships/image" Target="../media/image47.emf"/><Relationship Id="rId45" Type="http://schemas.openxmlformats.org/officeDocument/2006/relationships/image" Target="../media/image60.emf"/><Relationship Id="rId53" Type="http://schemas.openxmlformats.org/officeDocument/2006/relationships/image" Target="../media/image68.emf"/><Relationship Id="rId58" Type="http://schemas.openxmlformats.org/officeDocument/2006/relationships/image" Target="../media/image73.emf"/><Relationship Id="rId66" Type="http://schemas.openxmlformats.org/officeDocument/2006/relationships/image" Target="../media/image51.emf"/><Relationship Id="rId74" Type="http://schemas.openxmlformats.org/officeDocument/2006/relationships/image" Target="../media/image5.emf"/><Relationship Id="rId5" Type="http://schemas.openxmlformats.org/officeDocument/2006/relationships/image" Target="../media/image9.emf"/><Relationship Id="rId61" Type="http://schemas.openxmlformats.org/officeDocument/2006/relationships/image" Target="../media/image76.emf"/><Relationship Id="rId19" Type="http://schemas.openxmlformats.org/officeDocument/2006/relationships/image" Target="../media/image26.emf"/><Relationship Id="rId14" Type="http://schemas.openxmlformats.org/officeDocument/2006/relationships/image" Target="../media/image21.emf"/><Relationship Id="rId22" Type="http://schemas.openxmlformats.org/officeDocument/2006/relationships/image" Target="../media/image29.emf"/><Relationship Id="rId27" Type="http://schemas.openxmlformats.org/officeDocument/2006/relationships/image" Target="../media/image34.emf"/><Relationship Id="rId30" Type="http://schemas.openxmlformats.org/officeDocument/2006/relationships/image" Target="../media/image37.emf"/><Relationship Id="rId35" Type="http://schemas.openxmlformats.org/officeDocument/2006/relationships/image" Target="../media/image42.emf"/><Relationship Id="rId43" Type="http://schemas.openxmlformats.org/officeDocument/2006/relationships/image" Target="../media/image50.emf"/><Relationship Id="rId48" Type="http://schemas.openxmlformats.org/officeDocument/2006/relationships/image" Target="../media/image63.emf"/><Relationship Id="rId56" Type="http://schemas.openxmlformats.org/officeDocument/2006/relationships/image" Target="../media/image71.emf"/><Relationship Id="rId64" Type="http://schemas.openxmlformats.org/officeDocument/2006/relationships/image" Target="../media/image56.emf"/><Relationship Id="rId69" Type="http://schemas.openxmlformats.org/officeDocument/2006/relationships/image" Target="../media/image54.emf"/><Relationship Id="rId8" Type="http://schemas.openxmlformats.org/officeDocument/2006/relationships/image" Target="../media/image15.emf"/><Relationship Id="rId51" Type="http://schemas.openxmlformats.org/officeDocument/2006/relationships/image" Target="../media/image66.emf"/><Relationship Id="rId72" Type="http://schemas.openxmlformats.org/officeDocument/2006/relationships/image" Target="../media/image12.emf"/><Relationship Id="rId3" Type="http://schemas.openxmlformats.org/officeDocument/2006/relationships/image" Target="../media/image7.emf"/><Relationship Id="rId12" Type="http://schemas.openxmlformats.org/officeDocument/2006/relationships/image" Target="../media/image19.emf"/><Relationship Id="rId17" Type="http://schemas.openxmlformats.org/officeDocument/2006/relationships/image" Target="../media/image24.emf"/><Relationship Id="rId25" Type="http://schemas.openxmlformats.org/officeDocument/2006/relationships/image" Target="../media/image32.emf"/><Relationship Id="rId33" Type="http://schemas.openxmlformats.org/officeDocument/2006/relationships/image" Target="../media/image40.emf"/><Relationship Id="rId38" Type="http://schemas.openxmlformats.org/officeDocument/2006/relationships/image" Target="../media/image45.emf"/><Relationship Id="rId46" Type="http://schemas.openxmlformats.org/officeDocument/2006/relationships/image" Target="../media/image61.emf"/><Relationship Id="rId59" Type="http://schemas.openxmlformats.org/officeDocument/2006/relationships/image" Target="../media/image74.emf"/><Relationship Id="rId67" Type="http://schemas.openxmlformats.org/officeDocument/2006/relationships/image" Target="../media/image52.emf"/><Relationship Id="rId20" Type="http://schemas.openxmlformats.org/officeDocument/2006/relationships/image" Target="../media/image27.emf"/><Relationship Id="rId41" Type="http://schemas.openxmlformats.org/officeDocument/2006/relationships/image" Target="../media/image48.emf"/><Relationship Id="rId54" Type="http://schemas.openxmlformats.org/officeDocument/2006/relationships/image" Target="../media/image69.emf"/><Relationship Id="rId62" Type="http://schemas.openxmlformats.org/officeDocument/2006/relationships/image" Target="../media/image58.emf"/><Relationship Id="rId70" Type="http://schemas.openxmlformats.org/officeDocument/2006/relationships/image" Target="../media/image10.emf"/><Relationship Id="rId75" Type="http://schemas.openxmlformats.org/officeDocument/2006/relationships/image" Target="../media/image3.emf"/><Relationship Id="rId1" Type="http://schemas.openxmlformats.org/officeDocument/2006/relationships/image" Target="../media/image1.emf"/><Relationship Id="rId6" Type="http://schemas.openxmlformats.org/officeDocument/2006/relationships/image" Target="../media/image13.emf"/><Relationship Id="rId15" Type="http://schemas.openxmlformats.org/officeDocument/2006/relationships/image" Target="../media/image22.emf"/><Relationship Id="rId23" Type="http://schemas.openxmlformats.org/officeDocument/2006/relationships/image" Target="../media/image30.emf"/><Relationship Id="rId28" Type="http://schemas.openxmlformats.org/officeDocument/2006/relationships/image" Target="../media/image35.emf"/><Relationship Id="rId36" Type="http://schemas.openxmlformats.org/officeDocument/2006/relationships/image" Target="../media/image43.emf"/><Relationship Id="rId49" Type="http://schemas.openxmlformats.org/officeDocument/2006/relationships/image" Target="../media/image64.emf"/><Relationship Id="rId57" Type="http://schemas.openxmlformats.org/officeDocument/2006/relationships/image" Target="../media/image72.emf"/><Relationship Id="rId10" Type="http://schemas.openxmlformats.org/officeDocument/2006/relationships/image" Target="../media/image17.emf"/><Relationship Id="rId31" Type="http://schemas.openxmlformats.org/officeDocument/2006/relationships/image" Target="../media/image38.emf"/><Relationship Id="rId44" Type="http://schemas.openxmlformats.org/officeDocument/2006/relationships/image" Target="../media/image59.emf"/><Relationship Id="rId52" Type="http://schemas.openxmlformats.org/officeDocument/2006/relationships/image" Target="../media/image67.emf"/><Relationship Id="rId60" Type="http://schemas.openxmlformats.org/officeDocument/2006/relationships/image" Target="../media/image75.emf"/><Relationship Id="rId65" Type="http://schemas.openxmlformats.org/officeDocument/2006/relationships/image" Target="../media/image57.emf"/><Relationship Id="rId73" Type="http://schemas.openxmlformats.org/officeDocument/2006/relationships/image" Target="../media/image2.emf"/><Relationship Id="rId4" Type="http://schemas.openxmlformats.org/officeDocument/2006/relationships/image" Target="../media/image8.emf"/><Relationship Id="rId9" Type="http://schemas.openxmlformats.org/officeDocument/2006/relationships/image" Target="../media/image16.emf"/><Relationship Id="rId13" Type="http://schemas.openxmlformats.org/officeDocument/2006/relationships/image" Target="../media/image20.emf"/><Relationship Id="rId18" Type="http://schemas.openxmlformats.org/officeDocument/2006/relationships/image" Target="../media/image25.emf"/><Relationship Id="rId39" Type="http://schemas.openxmlformats.org/officeDocument/2006/relationships/image" Target="../media/image46.emf"/><Relationship Id="rId34" Type="http://schemas.openxmlformats.org/officeDocument/2006/relationships/image" Target="../media/image41.emf"/><Relationship Id="rId50" Type="http://schemas.openxmlformats.org/officeDocument/2006/relationships/image" Target="../media/image65.emf"/><Relationship Id="rId55" Type="http://schemas.openxmlformats.org/officeDocument/2006/relationships/image" Target="../media/image70.emf"/><Relationship Id="rId76" Type="http://schemas.openxmlformats.org/officeDocument/2006/relationships/image" Target="../media/image4.emf"/><Relationship Id="rId7" Type="http://schemas.openxmlformats.org/officeDocument/2006/relationships/image" Target="../media/image14.emf"/><Relationship Id="rId71" Type="http://schemas.openxmlformats.org/officeDocument/2006/relationships/image" Target="../media/image1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84.emf"/><Relationship Id="rId13" Type="http://schemas.openxmlformats.org/officeDocument/2006/relationships/image" Target="../media/image89.emf"/><Relationship Id="rId18" Type="http://schemas.openxmlformats.org/officeDocument/2006/relationships/image" Target="../media/image94.emf"/><Relationship Id="rId3" Type="http://schemas.openxmlformats.org/officeDocument/2006/relationships/image" Target="../media/image79.emf"/><Relationship Id="rId21" Type="http://schemas.openxmlformats.org/officeDocument/2006/relationships/image" Target="../media/image97.emf"/><Relationship Id="rId7" Type="http://schemas.openxmlformats.org/officeDocument/2006/relationships/image" Target="../media/image83.emf"/><Relationship Id="rId12" Type="http://schemas.openxmlformats.org/officeDocument/2006/relationships/image" Target="../media/image88.emf"/><Relationship Id="rId17" Type="http://schemas.openxmlformats.org/officeDocument/2006/relationships/image" Target="../media/image93.emf"/><Relationship Id="rId2" Type="http://schemas.openxmlformats.org/officeDocument/2006/relationships/image" Target="../media/image78.emf"/><Relationship Id="rId16" Type="http://schemas.openxmlformats.org/officeDocument/2006/relationships/image" Target="../media/image92.emf"/><Relationship Id="rId20" Type="http://schemas.openxmlformats.org/officeDocument/2006/relationships/image" Target="../media/image96.emf"/><Relationship Id="rId1" Type="http://schemas.openxmlformats.org/officeDocument/2006/relationships/image" Target="../media/image77.emf"/><Relationship Id="rId6" Type="http://schemas.openxmlformats.org/officeDocument/2006/relationships/image" Target="../media/image82.emf"/><Relationship Id="rId11" Type="http://schemas.openxmlformats.org/officeDocument/2006/relationships/image" Target="../media/image87.emf"/><Relationship Id="rId5" Type="http://schemas.openxmlformats.org/officeDocument/2006/relationships/image" Target="../media/image81.emf"/><Relationship Id="rId15" Type="http://schemas.openxmlformats.org/officeDocument/2006/relationships/image" Target="../media/image91.emf"/><Relationship Id="rId10" Type="http://schemas.openxmlformats.org/officeDocument/2006/relationships/image" Target="../media/image86.emf"/><Relationship Id="rId19" Type="http://schemas.openxmlformats.org/officeDocument/2006/relationships/image" Target="../media/image95.emf"/><Relationship Id="rId4" Type="http://schemas.openxmlformats.org/officeDocument/2006/relationships/image" Target="../media/image80.emf"/><Relationship Id="rId9" Type="http://schemas.openxmlformats.org/officeDocument/2006/relationships/image" Target="../media/image85.emf"/><Relationship Id="rId14" Type="http://schemas.openxmlformats.org/officeDocument/2006/relationships/image" Target="../media/image90.emf"/><Relationship Id="rId22" Type="http://schemas.openxmlformats.org/officeDocument/2006/relationships/image" Target="../media/image98.emf"/></Relationships>
</file>

<file path=xl/drawings/drawing1.xml><?xml version="1.0" encoding="utf-8"?>
<xdr:wsDr xmlns:xdr="http://schemas.openxmlformats.org/drawingml/2006/spreadsheetDrawing" xmlns:a="http://schemas.openxmlformats.org/drawingml/2006/main">
  <xdr:twoCellAnchor>
    <xdr:from>
      <xdr:col>1</xdr:col>
      <xdr:colOff>0</xdr:colOff>
      <xdr:row>34</xdr:row>
      <xdr:rowOff>152400</xdr:rowOff>
    </xdr:from>
    <xdr:to>
      <xdr:col>10</xdr:col>
      <xdr:colOff>180975</xdr:colOff>
      <xdr:row>68</xdr:row>
      <xdr:rowOff>152400</xdr:rowOff>
    </xdr:to>
    <xdr:graphicFrame macro="">
      <xdr:nvGraphicFramePr>
        <xdr:cNvPr id="687693" name="Chart 1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35</xdr:row>
      <xdr:rowOff>0</xdr:rowOff>
    </xdr:from>
    <xdr:to>
      <xdr:col>23</xdr:col>
      <xdr:colOff>409575</xdr:colOff>
      <xdr:row>68</xdr:row>
      <xdr:rowOff>152400</xdr:rowOff>
    </xdr:to>
    <xdr:graphicFrame macro="">
      <xdr:nvGraphicFramePr>
        <xdr:cNvPr id="687694" name="Chart 1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19050</xdr:colOff>
      <xdr:row>87</xdr:row>
      <xdr:rowOff>19050</xdr:rowOff>
    </xdr:from>
    <xdr:to>
      <xdr:col>54</xdr:col>
      <xdr:colOff>123825</xdr:colOff>
      <xdr:row>98</xdr:row>
      <xdr:rowOff>19050</xdr:rowOff>
    </xdr:to>
    <xdr:sp macro="" textlink="">
      <xdr:nvSpPr>
        <xdr:cNvPr id="1400" name="Text Box 376"/>
        <xdr:cNvSpPr txBox="1">
          <a:spLocks noChangeArrowheads="1"/>
        </xdr:cNvSpPr>
      </xdr:nvSpPr>
      <xdr:spPr bwMode="auto">
        <a:xfrm>
          <a:off x="14630400" y="15268575"/>
          <a:ext cx="8048625" cy="1828800"/>
        </a:xfrm>
        <a:prstGeom prst="rect">
          <a:avLst/>
        </a:prstGeom>
        <a:solidFill>
          <a:srgbClr val="FF9933">
            <a:alpha val="50000"/>
          </a:srgbClr>
        </a:solidFill>
        <a:ln w="9525">
          <a:solidFill>
            <a:srgbClr val="000000"/>
          </a:solidFill>
          <a:miter lim="800000"/>
          <a:headEnd/>
          <a:tailEnd/>
        </a:ln>
      </xdr:spPr>
      <xdr:txBody>
        <a:bodyPr vertOverflow="clip" wrap="square" lIns="91440" tIns="73152" rIns="91440" bIns="0" anchor="t" upright="1"/>
        <a:lstStyle/>
        <a:p>
          <a:pPr algn="ctr" rtl="0">
            <a:defRPr sz="1000"/>
          </a:pPr>
          <a:endParaRPr lang="en-IE" sz="4800" b="0" i="0" u="none" strike="noStrike" baseline="0">
            <a:solidFill>
              <a:srgbClr val="000000"/>
            </a:solidFill>
            <a:latin typeface="Arial"/>
            <a:cs typeface="Arial"/>
          </a:endParaRPr>
        </a:p>
        <a:p>
          <a:pPr algn="ctr" rtl="0">
            <a:defRPr sz="1000"/>
          </a:pPr>
          <a:r>
            <a:rPr lang="en-IE" sz="4800" b="0" i="0" u="none" strike="noStrike" baseline="0">
              <a:solidFill>
                <a:srgbClr val="000000"/>
              </a:solidFill>
              <a:latin typeface="Arial"/>
              <a:cs typeface="Arial"/>
            </a:rPr>
            <a:t>Not defined</a:t>
          </a:r>
        </a:p>
      </xdr:txBody>
    </xdr:sp>
    <xdr:clientData/>
  </xdr:twoCellAnchor>
  <mc:AlternateContent xmlns:mc="http://schemas.openxmlformats.org/markup-compatibility/2006">
    <mc:Choice xmlns:a14="http://schemas.microsoft.com/office/drawing/2010/main" Requires="a14">
      <xdr:twoCellAnchor editAs="oneCell">
        <xdr:from>
          <xdr:col>5</xdr:col>
          <xdr:colOff>542925</xdr:colOff>
          <xdr:row>6</xdr:row>
          <xdr:rowOff>47625</xdr:rowOff>
        </xdr:from>
        <xdr:to>
          <xdr:col>23</xdr:col>
          <xdr:colOff>409575</xdr:colOff>
          <xdr:row>25</xdr:row>
          <xdr:rowOff>123825</xdr:rowOff>
        </xdr:to>
        <xdr:sp macro="" textlink="">
          <xdr:nvSpPr>
            <xdr:cNvPr id="1404" name="Group Box 380" hidden="1">
              <a:extLst>
                <a:ext uri="{63B3BB69-23CF-44E3-9099-C40C66FF867C}">
                  <a14:compatExt spid="_x0000_s140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Trip/Com(Elem))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0</xdr:colOff>
          <xdr:row>94</xdr:row>
          <xdr:rowOff>0</xdr:rowOff>
        </xdr:from>
        <xdr:to>
          <xdr:col>42</xdr:col>
          <xdr:colOff>600075</xdr:colOff>
          <xdr:row>95</xdr:row>
          <xdr:rowOff>57150</xdr:rowOff>
        </xdr:to>
        <xdr:sp macro="" textlink="">
          <xdr:nvSpPr>
            <xdr:cNvPr id="1104" name="CheckBox1" hidden="1">
              <a:extLst>
                <a:ext uri="{63B3BB69-23CF-44E3-9099-C40C66FF867C}">
                  <a14:compatExt spid="_x0000_s11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390525</xdr:colOff>
          <xdr:row>1</xdr:row>
          <xdr:rowOff>57150</xdr:rowOff>
        </xdr:from>
        <xdr:to>
          <xdr:col>6</xdr:col>
          <xdr:colOff>371475</xdr:colOff>
          <xdr:row>4</xdr:row>
          <xdr:rowOff>104775</xdr:rowOff>
        </xdr:to>
        <xdr:grpSp>
          <xdr:nvGrpSpPr>
            <xdr:cNvPr id="687696" name="Group 261"/>
            <xdr:cNvGrpSpPr>
              <a:grpSpLocks/>
            </xdr:cNvGrpSpPr>
          </xdr:nvGrpSpPr>
          <xdr:grpSpPr bwMode="auto">
            <a:xfrm>
              <a:off x="3895725" y="304800"/>
              <a:ext cx="895350" cy="523875"/>
              <a:chOff x="261" y="7"/>
              <a:chExt cx="115" cy="39"/>
            </a:xfrm>
          </xdr:grpSpPr>
          <xdr:sp macro="" textlink="">
            <xdr:nvSpPr>
              <xdr:cNvPr id="1074" name="TextBox5" hidden="1">
                <a:extLst>
                  <a:ext uri="{63B3BB69-23CF-44E3-9099-C40C66FF867C}">
                    <a14:compatExt spid="_x0000_s1074"/>
                  </a:ext>
                </a:extLst>
              </xdr:cNvPr>
              <xdr:cNvSpPr/>
            </xdr:nvSpPr>
            <xdr:spPr bwMode="auto">
              <a:xfrm>
                <a:off x="261" y="7"/>
                <a:ext cx="115" cy="39"/>
              </a:xfrm>
              <a:prstGeom prst="rect">
                <a:avLst/>
              </a:prstGeom>
              <a:noFill/>
              <a:ln>
                <a:noFill/>
              </a:ln>
              <a:extLst>
                <a:ext uri="{91240B29-F687-4F45-9708-019B960494DF}">
                  <a14:hiddenLine w="9525">
                    <a:noFill/>
                    <a:miter lim="800000"/>
                    <a:headEnd/>
                    <a:tailEnd/>
                  </a14:hiddenLine>
                </a:ext>
              </a:extLst>
            </xdr:spPr>
          </xdr:sp>
          <xdr:grpSp>
            <xdr:nvGrpSpPr>
              <xdr:cNvPr id="687701" name="Group 72"/>
              <xdr:cNvGrpSpPr>
                <a:grpSpLocks/>
              </xdr:cNvGrpSpPr>
            </xdr:nvGrpSpPr>
            <xdr:grpSpPr bwMode="auto">
              <a:xfrm>
                <a:off x="305" y="27"/>
                <a:ext cx="71" cy="16"/>
                <a:chOff x="254" y="27"/>
                <a:chExt cx="54" cy="16"/>
              </a:xfrm>
            </xdr:grpSpPr>
            <xdr:sp macro="" textlink="">
              <xdr:nvSpPr>
                <xdr:cNvPr id="1062" name="TextBox1" hidden="1">
                  <a:extLst>
                    <a:ext uri="{63B3BB69-23CF-44E3-9099-C40C66FF867C}">
                      <a14:compatExt spid="_x0000_s1062"/>
                    </a:ext>
                  </a:extLst>
                </xdr:cNvPr>
                <xdr:cNvSpPr/>
              </xdr:nvSpPr>
              <xdr:spPr bwMode="auto">
                <a:xfrm>
                  <a:off x="254" y="27"/>
                  <a:ext cx="31" cy="15"/>
                </a:xfrm>
                <a:prstGeom prst="rect">
                  <a:avLst/>
                </a:prstGeom>
                <a:noFill/>
                <a:ln>
                  <a:noFill/>
                </a:ln>
                <a:extLst>
                  <a:ext uri="{91240B29-F687-4F45-9708-019B960494DF}">
                    <a14:hiddenLine w="9525">
                      <a:noFill/>
                      <a:miter lim="800000"/>
                      <a:headEnd/>
                      <a:tailEnd/>
                    </a14:hiddenLine>
                  </a:ext>
                </a:extLst>
              </xdr:spPr>
            </xdr:sp>
            <xdr:sp macro="" textlink="">
              <xdr:nvSpPr>
                <xdr:cNvPr id="1064" name="SpinButton1" hidden="1">
                  <a:extLst>
                    <a:ext uri="{63B3BB69-23CF-44E3-9099-C40C66FF867C}">
                      <a14:compatExt spid="_x0000_s1064"/>
                    </a:ext>
                  </a:extLst>
                </xdr:cNvPr>
                <xdr:cNvSpPr/>
              </xdr:nvSpPr>
              <xdr:spPr bwMode="auto">
                <a:xfrm>
                  <a:off x="292" y="27"/>
                  <a:ext cx="16" cy="16"/>
                </a:xfrm>
                <a:prstGeom prst="rect">
                  <a:avLst/>
                </a:prstGeom>
                <a:noFill/>
                <a:ln>
                  <a:noFill/>
                </a:ln>
                <a:extLst>
                  <a:ext uri="{91240B29-F687-4F45-9708-019B960494DF}">
                    <a14:hiddenLine w="9525">
                      <a:noFill/>
                      <a:miter lim="800000"/>
                      <a:headEnd/>
                      <a:tailEnd/>
                    </a14:hiddenLine>
                  </a:ext>
                </a:extLst>
              </xdr:spPr>
            </xdr:sp>
          </xdr:grpSp>
          <xdr:sp macro="" textlink="">
            <xdr:nvSpPr>
              <xdr:cNvPr id="1080" name="ComboBox1" hidden="1">
                <a:extLst>
                  <a:ext uri="{63B3BB69-23CF-44E3-9099-C40C66FF867C}">
                    <a14:compatExt spid="_x0000_s1080"/>
                  </a:ext>
                </a:extLst>
              </xdr:cNvPr>
              <xdr:cNvSpPr/>
            </xdr:nvSpPr>
            <xdr:spPr bwMode="auto">
              <a:xfrm>
                <a:off x="265" y="10"/>
                <a:ext cx="101" cy="16"/>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0</xdr:colOff>
          <xdr:row>93</xdr:row>
          <xdr:rowOff>133350</xdr:rowOff>
        </xdr:from>
        <xdr:to>
          <xdr:col>42</xdr:col>
          <xdr:colOff>504825</xdr:colOff>
          <xdr:row>95</xdr:row>
          <xdr:rowOff>0</xdr:rowOff>
        </xdr:to>
        <xdr:sp macro="" textlink="">
          <xdr:nvSpPr>
            <xdr:cNvPr id="1099" name="ComboBox2"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9525</xdr:rowOff>
        </xdr:from>
        <xdr:to>
          <xdr:col>4</xdr:col>
          <xdr:colOff>476250</xdr:colOff>
          <xdr:row>8</xdr:row>
          <xdr:rowOff>190500</xdr:rowOff>
        </xdr:to>
        <xdr:sp macro="" textlink="">
          <xdr:nvSpPr>
            <xdr:cNvPr id="1133" name="ComboBox4" hidden="1">
              <a:extLst>
                <a:ext uri="{63B3BB69-23CF-44E3-9099-C40C66FF867C}">
                  <a14:compatExt spid="_x0000_s11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55</xdr:row>
          <xdr:rowOff>76200</xdr:rowOff>
        </xdr:from>
        <xdr:to>
          <xdr:col>1</xdr:col>
          <xdr:colOff>476250</xdr:colOff>
          <xdr:row>57</xdr:row>
          <xdr:rowOff>66675</xdr:rowOff>
        </xdr:to>
        <xdr:sp macro="" textlink="">
          <xdr:nvSpPr>
            <xdr:cNvPr id="1161" name="SpinButton2" hidden="1">
              <a:extLst>
                <a:ext uri="{63B3BB69-23CF-44E3-9099-C40C66FF867C}">
                  <a14:compatExt spid="_x0000_s11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55</xdr:row>
          <xdr:rowOff>104775</xdr:rowOff>
        </xdr:from>
        <xdr:to>
          <xdr:col>12</xdr:col>
          <xdr:colOff>95250</xdr:colOff>
          <xdr:row>57</xdr:row>
          <xdr:rowOff>104775</xdr:rowOff>
        </xdr:to>
        <xdr:sp macro="" textlink="">
          <xdr:nvSpPr>
            <xdr:cNvPr id="1166" name="SpinButton4" hidden="1">
              <a:extLst>
                <a:ext uri="{63B3BB69-23CF-44E3-9099-C40C66FF867C}">
                  <a14:compatExt spid="_x0000_s11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xdr:from>
          <xdr:col>12</xdr:col>
          <xdr:colOff>685800</xdr:colOff>
          <xdr:row>1</xdr:row>
          <xdr:rowOff>0</xdr:rowOff>
        </xdr:from>
        <xdr:to>
          <xdr:col>15</xdr:col>
          <xdr:colOff>685800</xdr:colOff>
          <xdr:row>4</xdr:row>
          <xdr:rowOff>133350</xdr:rowOff>
        </xdr:to>
        <xdr:grpSp>
          <xdr:nvGrpSpPr>
            <xdr:cNvPr id="687697" name="Group 260"/>
            <xdr:cNvGrpSpPr>
              <a:grpSpLocks/>
            </xdr:cNvGrpSpPr>
          </xdr:nvGrpSpPr>
          <xdr:grpSpPr bwMode="auto">
            <a:xfrm>
              <a:off x="7924800" y="247650"/>
              <a:ext cx="1409700" cy="609600"/>
              <a:chOff x="405" y="4"/>
              <a:chExt cx="136" cy="47"/>
            </a:xfrm>
          </xdr:grpSpPr>
          <xdr:sp macro="" textlink="">
            <xdr:nvSpPr>
              <xdr:cNvPr id="1199" name="TextBox6" hidden="1">
                <a:extLst>
                  <a:ext uri="{63B3BB69-23CF-44E3-9099-C40C66FF867C}">
                    <a14:compatExt spid="_x0000_s1199"/>
                  </a:ext>
                </a:extLst>
              </xdr:cNvPr>
              <xdr:cNvSpPr/>
            </xdr:nvSpPr>
            <xdr:spPr bwMode="auto">
              <a:xfrm>
                <a:off x="405" y="4"/>
                <a:ext cx="136" cy="47"/>
              </a:xfrm>
              <a:prstGeom prst="rect">
                <a:avLst/>
              </a:prstGeom>
              <a:noFill/>
              <a:ln>
                <a:noFill/>
              </a:ln>
              <a:extLst>
                <a:ext uri="{91240B29-F687-4F45-9708-019B960494DF}">
                  <a14:hiddenLine w="9525">
                    <a:noFill/>
                    <a:miter lim="800000"/>
                    <a:headEnd/>
                    <a:tailEnd/>
                  </a14:hiddenLine>
                </a:ext>
              </a:extLst>
            </xdr:spPr>
          </xdr:sp>
          <xdr:sp macro="" textlink="">
            <xdr:nvSpPr>
              <xdr:cNvPr id="1200" name="OptionButton1" hidden="1">
                <a:extLst>
                  <a:ext uri="{63B3BB69-23CF-44E3-9099-C40C66FF867C}">
                    <a14:compatExt spid="_x0000_s1200"/>
                  </a:ext>
                </a:extLst>
              </xdr:cNvPr>
              <xdr:cNvSpPr/>
            </xdr:nvSpPr>
            <xdr:spPr bwMode="auto">
              <a:xfrm>
                <a:off x="453" y="9"/>
                <a:ext cx="80" cy="18"/>
              </a:xfrm>
              <a:prstGeom prst="rect">
                <a:avLst/>
              </a:prstGeom>
              <a:noFill/>
              <a:ln>
                <a:noFill/>
              </a:ln>
              <a:extLst>
                <a:ext uri="{91240B29-F687-4F45-9708-019B960494DF}">
                  <a14:hiddenLine w="9525">
                    <a:noFill/>
                    <a:miter lim="800000"/>
                    <a:headEnd/>
                    <a:tailEnd/>
                  </a14:hiddenLine>
                </a:ext>
              </a:extLst>
            </xdr:spPr>
          </xdr:sp>
          <xdr:sp macro="" textlink="">
            <xdr:nvSpPr>
              <xdr:cNvPr id="1201" name="OptionButton2" hidden="1">
                <a:extLst>
                  <a:ext uri="{63B3BB69-23CF-44E3-9099-C40C66FF867C}">
                    <a14:compatExt spid="_x0000_s1201"/>
                  </a:ext>
                </a:extLst>
              </xdr:cNvPr>
              <xdr:cNvSpPr/>
            </xdr:nvSpPr>
            <xdr:spPr bwMode="auto">
              <a:xfrm>
                <a:off x="453" y="29"/>
                <a:ext cx="80" cy="19"/>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104775</xdr:colOff>
          <xdr:row>36</xdr:row>
          <xdr:rowOff>28575</xdr:rowOff>
        </xdr:from>
        <xdr:to>
          <xdr:col>1</xdr:col>
          <xdr:colOff>600075</xdr:colOff>
          <xdr:row>37</xdr:row>
          <xdr:rowOff>38100</xdr:rowOff>
        </xdr:to>
        <xdr:sp macro="" textlink="">
          <xdr:nvSpPr>
            <xdr:cNvPr id="1221" name="Label3" hidden="1">
              <a:extLst>
                <a:ext uri="{63B3BB69-23CF-44E3-9099-C40C66FF867C}">
                  <a14:compatExt spid="_x0000_s12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123825</xdr:colOff>
          <xdr:row>37</xdr:row>
          <xdr:rowOff>104775</xdr:rowOff>
        </xdr:from>
        <xdr:to>
          <xdr:col>2</xdr:col>
          <xdr:colOff>95250</xdr:colOff>
          <xdr:row>38</xdr:row>
          <xdr:rowOff>152400</xdr:rowOff>
        </xdr:to>
        <xdr:sp macro="" textlink="">
          <xdr:nvSpPr>
            <xdr:cNvPr id="1217" name="CheckBox10" hidden="1">
              <a:extLst>
                <a:ext uri="{63B3BB69-23CF-44E3-9099-C40C66FF867C}">
                  <a14:compatExt spid="_x0000_s12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57</xdr:row>
          <xdr:rowOff>142875</xdr:rowOff>
        </xdr:from>
        <xdr:to>
          <xdr:col>1</xdr:col>
          <xdr:colOff>647700</xdr:colOff>
          <xdr:row>59</xdr:row>
          <xdr:rowOff>9525</xdr:rowOff>
        </xdr:to>
        <xdr:sp macro="" textlink="">
          <xdr:nvSpPr>
            <xdr:cNvPr id="1218" name="CheckBox11" hidden="1">
              <a:extLst>
                <a:ext uri="{63B3BB69-23CF-44E3-9099-C40C66FF867C}">
                  <a14:compatExt spid="_x0000_s12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123825</xdr:colOff>
          <xdr:row>43</xdr:row>
          <xdr:rowOff>142875</xdr:rowOff>
        </xdr:from>
        <xdr:to>
          <xdr:col>1</xdr:col>
          <xdr:colOff>657225</xdr:colOff>
          <xdr:row>45</xdr:row>
          <xdr:rowOff>28575</xdr:rowOff>
        </xdr:to>
        <xdr:sp macro="" textlink="">
          <xdr:nvSpPr>
            <xdr:cNvPr id="1219" name="CheckBox12" hidden="1">
              <a:extLst>
                <a:ext uri="{63B3BB69-23CF-44E3-9099-C40C66FF867C}">
                  <a14:compatExt spid="_x0000_s12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123825</xdr:colOff>
          <xdr:row>42</xdr:row>
          <xdr:rowOff>104775</xdr:rowOff>
        </xdr:from>
        <xdr:to>
          <xdr:col>1</xdr:col>
          <xdr:colOff>657225</xdr:colOff>
          <xdr:row>43</xdr:row>
          <xdr:rowOff>152400</xdr:rowOff>
        </xdr:to>
        <xdr:sp macro="" textlink="">
          <xdr:nvSpPr>
            <xdr:cNvPr id="1220" name="CheckBox13" hidden="1">
              <a:extLst>
                <a:ext uri="{63B3BB69-23CF-44E3-9099-C40C66FF867C}">
                  <a14:compatExt spid="_x0000_s12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123825</xdr:colOff>
          <xdr:row>41</xdr:row>
          <xdr:rowOff>76200</xdr:rowOff>
        </xdr:from>
        <xdr:to>
          <xdr:col>1</xdr:col>
          <xdr:colOff>657225</xdr:colOff>
          <xdr:row>42</xdr:row>
          <xdr:rowOff>123825</xdr:rowOff>
        </xdr:to>
        <xdr:sp macro="" textlink="">
          <xdr:nvSpPr>
            <xdr:cNvPr id="1222" name="CheckBox14" hidden="1">
              <a:extLst>
                <a:ext uri="{63B3BB69-23CF-44E3-9099-C40C66FF867C}">
                  <a14:compatExt spid="_x0000_s12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257175</xdr:colOff>
          <xdr:row>35</xdr:row>
          <xdr:rowOff>123825</xdr:rowOff>
        </xdr:from>
        <xdr:to>
          <xdr:col>12</xdr:col>
          <xdr:colOff>123825</xdr:colOff>
          <xdr:row>36</xdr:row>
          <xdr:rowOff>133350</xdr:rowOff>
        </xdr:to>
        <xdr:sp macro="" textlink="">
          <xdr:nvSpPr>
            <xdr:cNvPr id="1213" name="Label2" hidden="1">
              <a:extLst>
                <a:ext uri="{63B3BB69-23CF-44E3-9099-C40C66FF867C}">
                  <a14:compatExt spid="_x0000_s12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1</xdr:row>
          <xdr:rowOff>123825</xdr:rowOff>
        </xdr:from>
        <xdr:to>
          <xdr:col>12</xdr:col>
          <xdr:colOff>552450</xdr:colOff>
          <xdr:row>4</xdr:row>
          <xdr:rowOff>19050</xdr:rowOff>
        </xdr:to>
        <xdr:sp macro="" textlink="">
          <xdr:nvSpPr>
            <xdr:cNvPr id="1269" name="CheckBox2" hidden="1">
              <a:extLst>
                <a:ext uri="{63B3BB69-23CF-44E3-9099-C40C66FF867C}">
                  <a14:compatExt spid="_x0000_s12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123825</xdr:colOff>
          <xdr:row>40</xdr:row>
          <xdr:rowOff>47625</xdr:rowOff>
        </xdr:from>
        <xdr:to>
          <xdr:col>1</xdr:col>
          <xdr:colOff>657225</xdr:colOff>
          <xdr:row>41</xdr:row>
          <xdr:rowOff>85725</xdr:rowOff>
        </xdr:to>
        <xdr:sp macro="" textlink="">
          <xdr:nvSpPr>
            <xdr:cNvPr id="1338" name="CheckBox19" hidden="1">
              <a:extLst>
                <a:ext uri="{63B3BB69-23CF-44E3-9099-C40C66FF867C}">
                  <a14:compatExt spid="_x0000_s13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36</xdr:row>
          <xdr:rowOff>114300</xdr:rowOff>
        </xdr:from>
        <xdr:to>
          <xdr:col>12</xdr:col>
          <xdr:colOff>676275</xdr:colOff>
          <xdr:row>38</xdr:row>
          <xdr:rowOff>9525</xdr:rowOff>
        </xdr:to>
        <xdr:sp macro="" textlink="">
          <xdr:nvSpPr>
            <xdr:cNvPr id="1208" name="CheckBox6" hidden="1">
              <a:extLst>
                <a:ext uri="{63B3BB69-23CF-44E3-9099-C40C66FF867C}">
                  <a14:compatExt spid="_x0000_s12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43</xdr:row>
          <xdr:rowOff>57150</xdr:rowOff>
        </xdr:from>
        <xdr:to>
          <xdr:col>12</xdr:col>
          <xdr:colOff>247650</xdr:colOff>
          <xdr:row>44</xdr:row>
          <xdr:rowOff>104775</xdr:rowOff>
        </xdr:to>
        <xdr:sp macro="" textlink="">
          <xdr:nvSpPr>
            <xdr:cNvPr id="1209" name="CheckBox7" hidden="1">
              <a:extLst>
                <a:ext uri="{63B3BB69-23CF-44E3-9099-C40C66FF867C}">
                  <a14:compatExt spid="_x0000_s12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41</xdr:row>
          <xdr:rowOff>152400</xdr:rowOff>
        </xdr:from>
        <xdr:to>
          <xdr:col>12</xdr:col>
          <xdr:colOff>247650</xdr:colOff>
          <xdr:row>43</xdr:row>
          <xdr:rowOff>38100</xdr:rowOff>
        </xdr:to>
        <xdr:sp macro="" textlink="">
          <xdr:nvSpPr>
            <xdr:cNvPr id="1210" name="CheckBox8" hidden="1">
              <a:extLst>
                <a:ext uri="{63B3BB69-23CF-44E3-9099-C40C66FF867C}">
                  <a14:compatExt spid="_x0000_s12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40</xdr:row>
          <xdr:rowOff>104775</xdr:rowOff>
        </xdr:from>
        <xdr:to>
          <xdr:col>12</xdr:col>
          <xdr:colOff>247650</xdr:colOff>
          <xdr:row>41</xdr:row>
          <xdr:rowOff>142875</xdr:rowOff>
        </xdr:to>
        <xdr:sp macro="" textlink="">
          <xdr:nvSpPr>
            <xdr:cNvPr id="1211" name="CheckBox9" hidden="1">
              <a:extLst>
                <a:ext uri="{63B3BB69-23CF-44E3-9099-C40C66FF867C}">
                  <a14:compatExt spid="_x0000_s12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39</xdr:row>
          <xdr:rowOff>47625</xdr:rowOff>
        </xdr:from>
        <xdr:to>
          <xdr:col>12</xdr:col>
          <xdr:colOff>247650</xdr:colOff>
          <xdr:row>40</xdr:row>
          <xdr:rowOff>85725</xdr:rowOff>
        </xdr:to>
        <xdr:sp macro="" textlink="">
          <xdr:nvSpPr>
            <xdr:cNvPr id="1344" name="CheckBox15" hidden="1">
              <a:extLst>
                <a:ext uri="{63B3BB69-23CF-44E3-9099-C40C66FF867C}">
                  <a14:compatExt spid="_x0000_s13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37</xdr:row>
          <xdr:rowOff>152400</xdr:rowOff>
        </xdr:from>
        <xdr:to>
          <xdr:col>12</xdr:col>
          <xdr:colOff>523875</xdr:colOff>
          <xdr:row>39</xdr:row>
          <xdr:rowOff>38100</xdr:rowOff>
        </xdr:to>
        <xdr:sp macro="" textlink="">
          <xdr:nvSpPr>
            <xdr:cNvPr id="1345" name="CheckBox20" hidden="1">
              <a:extLst>
                <a:ext uri="{63B3BB69-23CF-44E3-9099-C40C66FF867C}">
                  <a14:compatExt spid="_x0000_s13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123825</xdr:colOff>
          <xdr:row>39</xdr:row>
          <xdr:rowOff>9525</xdr:rowOff>
        </xdr:from>
        <xdr:to>
          <xdr:col>1</xdr:col>
          <xdr:colOff>657225</xdr:colOff>
          <xdr:row>40</xdr:row>
          <xdr:rowOff>57150</xdr:rowOff>
        </xdr:to>
        <xdr:sp macro="" textlink="">
          <xdr:nvSpPr>
            <xdr:cNvPr id="1348" name="CheckBox22" hidden="1">
              <a:extLst>
                <a:ext uri="{63B3BB69-23CF-44E3-9099-C40C66FF867C}">
                  <a14:compatExt spid="_x0000_s13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2</xdr:col>
          <xdr:colOff>762000</xdr:colOff>
          <xdr:row>10</xdr:row>
          <xdr:rowOff>0</xdr:rowOff>
        </xdr:to>
        <xdr:sp macro="" textlink="">
          <xdr:nvSpPr>
            <xdr:cNvPr id="1371" name="ComboBox5" hidden="1">
              <a:extLst>
                <a:ext uri="{63B3BB69-23CF-44E3-9099-C40C66FF867C}">
                  <a14:compatExt spid="_x0000_s13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xdr:row>
          <xdr:rowOff>47625</xdr:rowOff>
        </xdr:from>
        <xdr:to>
          <xdr:col>3</xdr:col>
          <xdr:colOff>142875</xdr:colOff>
          <xdr:row>5</xdr:row>
          <xdr:rowOff>85725</xdr:rowOff>
        </xdr:to>
        <xdr:sp macro="" textlink="">
          <xdr:nvSpPr>
            <xdr:cNvPr id="1402" name="Group Box 378" hidden="1">
              <a:extLst>
                <a:ext uri="{63B3BB69-23CF-44E3-9099-C40C66FF867C}">
                  <a14:compatExt spid="_x0000_s140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Parameter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6</xdr:row>
          <xdr:rowOff>76200</xdr:rowOff>
        </xdr:from>
        <xdr:to>
          <xdr:col>5</xdr:col>
          <xdr:colOff>304800</xdr:colOff>
          <xdr:row>21</xdr:row>
          <xdr:rowOff>104775</xdr:rowOff>
        </xdr:to>
        <xdr:sp macro="" textlink="">
          <xdr:nvSpPr>
            <xdr:cNvPr id="1403" name="Group Box 379" hidden="1">
              <a:extLst>
                <a:ext uri="{63B3BB69-23CF-44E3-9099-C40C66FF867C}">
                  <a14:compatExt spid="_x0000_s140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Trip/Com(Sw)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2</xdr:col>
          <xdr:colOff>762000</xdr:colOff>
          <xdr:row>18</xdr:row>
          <xdr:rowOff>0</xdr:rowOff>
        </xdr:to>
        <xdr:sp macro="" textlink="">
          <xdr:nvSpPr>
            <xdr:cNvPr id="1408" name="ZR1BT" hidden="1">
              <a:extLst>
                <a:ext uri="{63B3BB69-23CF-44E3-9099-C40C66FF867C}">
                  <a14:compatExt spid="_x0000_s14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9525</xdr:rowOff>
        </xdr:from>
        <xdr:to>
          <xdr:col>2</xdr:col>
          <xdr:colOff>762000</xdr:colOff>
          <xdr:row>19</xdr:row>
          <xdr:rowOff>9525</xdr:rowOff>
        </xdr:to>
        <xdr:sp macro="" textlink="">
          <xdr:nvSpPr>
            <xdr:cNvPr id="1409" name="ZR2BT" hidden="1">
              <a:extLst>
                <a:ext uri="{63B3BB69-23CF-44E3-9099-C40C66FF867C}">
                  <a14:compatExt spid="_x0000_s14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9525</xdr:rowOff>
        </xdr:from>
        <xdr:to>
          <xdr:col>2</xdr:col>
          <xdr:colOff>762000</xdr:colOff>
          <xdr:row>20</xdr:row>
          <xdr:rowOff>9525</xdr:rowOff>
        </xdr:to>
        <xdr:sp macro="" textlink="">
          <xdr:nvSpPr>
            <xdr:cNvPr id="1418" name="ComboBox6" hidden="1">
              <a:extLst>
                <a:ext uri="{63B3BB69-23CF-44E3-9099-C40C66FF867C}">
                  <a14:compatExt spid="_x0000_s14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866775</xdr:colOff>
          <xdr:row>7</xdr:row>
          <xdr:rowOff>38100</xdr:rowOff>
        </xdr:from>
        <xdr:to>
          <xdr:col>8</xdr:col>
          <xdr:colOff>66675</xdr:colOff>
          <xdr:row>22</xdr:row>
          <xdr:rowOff>104775</xdr:rowOff>
        </xdr:to>
        <xdr:sp macro="" textlink="">
          <xdr:nvSpPr>
            <xdr:cNvPr id="1449" name="Group Box 425" hidden="1">
              <a:extLst>
                <a:ext uri="{63B3BB69-23CF-44E3-9099-C40C66FF867C}">
                  <a14:compatExt spid="_x0000_s14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123825</xdr:colOff>
          <xdr:row>7</xdr:row>
          <xdr:rowOff>38100</xdr:rowOff>
        </xdr:from>
        <xdr:to>
          <xdr:col>11</xdr:col>
          <xdr:colOff>66675</xdr:colOff>
          <xdr:row>22</xdr:row>
          <xdr:rowOff>104775</xdr:rowOff>
        </xdr:to>
        <xdr:sp macro="" textlink="">
          <xdr:nvSpPr>
            <xdr:cNvPr id="1450" name="Group Box 426" hidden="1">
              <a:extLst>
                <a:ext uri="{63B3BB69-23CF-44E3-9099-C40C66FF867C}">
                  <a14:compatExt spid="_x0000_s14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123825</xdr:colOff>
          <xdr:row>7</xdr:row>
          <xdr:rowOff>38100</xdr:rowOff>
        </xdr:from>
        <xdr:to>
          <xdr:col>14</xdr:col>
          <xdr:colOff>76200</xdr:colOff>
          <xdr:row>22</xdr:row>
          <xdr:rowOff>114300</xdr:rowOff>
        </xdr:to>
        <xdr:sp macro="" textlink="">
          <xdr:nvSpPr>
            <xdr:cNvPr id="1451" name="Group Box 427" hidden="1">
              <a:extLst>
                <a:ext uri="{63B3BB69-23CF-44E3-9099-C40C66FF867C}">
                  <a14:compatExt spid="_x0000_s145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123825</xdr:colOff>
          <xdr:row>7</xdr:row>
          <xdr:rowOff>28575</xdr:rowOff>
        </xdr:from>
        <xdr:to>
          <xdr:col>17</xdr:col>
          <xdr:colOff>66675</xdr:colOff>
          <xdr:row>17</xdr:row>
          <xdr:rowOff>85725</xdr:rowOff>
        </xdr:to>
        <xdr:sp macro="" textlink="">
          <xdr:nvSpPr>
            <xdr:cNvPr id="1452" name="Group Box 428" hidden="1">
              <a:extLst>
                <a:ext uri="{63B3BB69-23CF-44E3-9099-C40C66FF867C}">
                  <a14:compatExt spid="_x0000_s145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152400</xdr:colOff>
          <xdr:row>17</xdr:row>
          <xdr:rowOff>104775</xdr:rowOff>
        </xdr:from>
        <xdr:to>
          <xdr:col>20</xdr:col>
          <xdr:colOff>76200</xdr:colOff>
          <xdr:row>24</xdr:row>
          <xdr:rowOff>114300</xdr:rowOff>
        </xdr:to>
        <xdr:sp macro="" textlink="">
          <xdr:nvSpPr>
            <xdr:cNvPr id="1453" name="Group Box 429" hidden="1">
              <a:extLst>
                <a:ext uri="{63B3BB69-23CF-44E3-9099-C40C66FF867C}">
                  <a14:compatExt spid="_x0000_s14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8</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66675</xdr:colOff>
          <xdr:row>1</xdr:row>
          <xdr:rowOff>142875</xdr:rowOff>
        </xdr:from>
        <xdr:to>
          <xdr:col>18</xdr:col>
          <xdr:colOff>76200</xdr:colOff>
          <xdr:row>2</xdr:row>
          <xdr:rowOff>142875</xdr:rowOff>
        </xdr:to>
        <xdr:sp macro="" textlink="">
          <xdr:nvSpPr>
            <xdr:cNvPr id="1454" name="OptionButton3" hidden="1">
              <a:extLst>
                <a:ext uri="{63B3BB69-23CF-44E3-9099-C40C66FF867C}">
                  <a14:compatExt spid="_x0000_s14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18</xdr:col>
          <xdr:colOff>161925</xdr:colOff>
          <xdr:row>1</xdr:row>
          <xdr:rowOff>142875</xdr:rowOff>
        </xdr:from>
        <xdr:to>
          <xdr:col>18</xdr:col>
          <xdr:colOff>685800</xdr:colOff>
          <xdr:row>2</xdr:row>
          <xdr:rowOff>142875</xdr:rowOff>
        </xdr:to>
        <xdr:sp macro="" textlink="">
          <xdr:nvSpPr>
            <xdr:cNvPr id="1455" name="OptionButton4" hidden="1">
              <a:extLst>
                <a:ext uri="{63B3BB69-23CF-44E3-9099-C40C66FF867C}">
                  <a14:compatExt spid="_x0000_s14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9525</xdr:rowOff>
        </xdr:from>
        <xdr:to>
          <xdr:col>5</xdr:col>
          <xdr:colOff>9525</xdr:colOff>
          <xdr:row>10</xdr:row>
          <xdr:rowOff>9525</xdr:rowOff>
        </xdr:to>
        <xdr:sp macro="" textlink="">
          <xdr:nvSpPr>
            <xdr:cNvPr id="1527" name="ComboBox8" hidden="1">
              <a:extLst>
                <a:ext uri="{63B3BB69-23CF-44E3-9099-C40C66FF867C}">
                  <a14:compatExt spid="_x0000_s15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19050</xdr:rowOff>
        </xdr:from>
        <xdr:to>
          <xdr:col>2</xdr:col>
          <xdr:colOff>762000</xdr:colOff>
          <xdr:row>10</xdr:row>
          <xdr:rowOff>19050</xdr:rowOff>
        </xdr:to>
        <xdr:sp macro="" textlink="">
          <xdr:nvSpPr>
            <xdr:cNvPr id="1528" name="ComboBox9" hidden="1">
              <a:extLst>
                <a:ext uri="{63B3BB69-23CF-44E3-9099-C40C66FF867C}">
                  <a14:compatExt spid="_x0000_s15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123825</xdr:colOff>
          <xdr:row>18</xdr:row>
          <xdr:rowOff>123825</xdr:rowOff>
        </xdr:from>
        <xdr:to>
          <xdr:col>17</xdr:col>
          <xdr:colOff>66675</xdr:colOff>
          <xdr:row>20</xdr:row>
          <xdr:rowOff>114300</xdr:rowOff>
        </xdr:to>
        <xdr:sp macro="" textlink="">
          <xdr:nvSpPr>
            <xdr:cNvPr id="1535" name="Group Box 511" hidden="1">
              <a:extLst>
                <a:ext uri="{63B3BB69-23CF-44E3-9099-C40C66FF867C}">
                  <a14:compatExt spid="_x0000_s153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190500</xdr:colOff>
          <xdr:row>7</xdr:row>
          <xdr:rowOff>28575</xdr:rowOff>
        </xdr:from>
        <xdr:to>
          <xdr:col>23</xdr:col>
          <xdr:colOff>76200</xdr:colOff>
          <xdr:row>16</xdr:row>
          <xdr:rowOff>104775</xdr:rowOff>
        </xdr:to>
        <xdr:sp macro="" textlink="">
          <xdr:nvSpPr>
            <xdr:cNvPr id="1536" name="Group Box 512" hidden="1">
              <a:extLst>
                <a:ext uri="{63B3BB69-23CF-44E3-9099-C40C66FF867C}">
                  <a14:compatExt spid="_x0000_s153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9525</xdr:rowOff>
        </xdr:from>
        <xdr:to>
          <xdr:col>5</xdr:col>
          <xdr:colOff>9525</xdr:colOff>
          <xdr:row>15</xdr:row>
          <xdr:rowOff>9525</xdr:rowOff>
        </xdr:to>
        <xdr:sp macro="" textlink="">
          <xdr:nvSpPr>
            <xdr:cNvPr id="1542" name="ComboBox10" hidden="1">
              <a:extLst>
                <a:ext uri="{63B3BB69-23CF-44E3-9099-C40C66FF867C}">
                  <a14:compatExt spid="_x0000_s15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123825</xdr:colOff>
          <xdr:row>7</xdr:row>
          <xdr:rowOff>28575</xdr:rowOff>
        </xdr:from>
        <xdr:to>
          <xdr:col>20</xdr:col>
          <xdr:colOff>76200</xdr:colOff>
          <xdr:row>16</xdr:row>
          <xdr:rowOff>104775</xdr:rowOff>
        </xdr:to>
        <xdr:sp macro="" textlink="">
          <xdr:nvSpPr>
            <xdr:cNvPr id="1543" name="Group Box 519" hidden="1">
              <a:extLst>
                <a:ext uri="{63B3BB69-23CF-44E3-9099-C40C66FF867C}">
                  <a14:compatExt spid="_x0000_s154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7</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123825</xdr:colOff>
          <xdr:row>46</xdr:row>
          <xdr:rowOff>47625</xdr:rowOff>
        </xdr:from>
        <xdr:to>
          <xdr:col>1</xdr:col>
          <xdr:colOff>657225</xdr:colOff>
          <xdr:row>47</xdr:row>
          <xdr:rowOff>95250</xdr:rowOff>
        </xdr:to>
        <xdr:sp macro="" textlink="">
          <xdr:nvSpPr>
            <xdr:cNvPr id="1545" name="CheckBox3" hidden="1">
              <a:extLst>
                <a:ext uri="{63B3BB69-23CF-44E3-9099-C40C66FF867C}">
                  <a14:compatExt spid="_x0000_s15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190500</xdr:rowOff>
        </xdr:from>
        <xdr:to>
          <xdr:col>5</xdr:col>
          <xdr:colOff>9525</xdr:colOff>
          <xdr:row>16</xdr:row>
          <xdr:rowOff>190500</xdr:rowOff>
        </xdr:to>
        <xdr:sp macro="" textlink="">
          <xdr:nvSpPr>
            <xdr:cNvPr id="1546" name="ComboBox11" hidden="1">
              <a:extLst>
                <a:ext uri="{63B3BB69-23CF-44E3-9099-C40C66FF867C}">
                  <a14:compatExt spid="_x0000_s15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9525</xdr:rowOff>
        </xdr:from>
        <xdr:to>
          <xdr:col>5</xdr:col>
          <xdr:colOff>9525</xdr:colOff>
          <xdr:row>18</xdr:row>
          <xdr:rowOff>9525</xdr:rowOff>
        </xdr:to>
        <xdr:sp macro="" textlink="">
          <xdr:nvSpPr>
            <xdr:cNvPr id="1549" name="ComboBox12" hidden="1">
              <a:extLst>
                <a:ext uri="{63B3BB69-23CF-44E3-9099-C40C66FF867C}">
                  <a14:compatExt spid="_x0000_s15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44</xdr:row>
          <xdr:rowOff>95250</xdr:rowOff>
        </xdr:from>
        <xdr:to>
          <xdr:col>12</xdr:col>
          <xdr:colOff>247650</xdr:colOff>
          <xdr:row>45</xdr:row>
          <xdr:rowOff>142875</xdr:rowOff>
        </xdr:to>
        <xdr:sp macro="" textlink="">
          <xdr:nvSpPr>
            <xdr:cNvPr id="1552" name="CheckBox5" hidden="1">
              <a:extLst>
                <a:ext uri="{63B3BB69-23CF-44E3-9099-C40C66FF867C}">
                  <a14:compatExt spid="_x0000_s15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9525</xdr:rowOff>
        </xdr:from>
        <xdr:to>
          <xdr:col>2</xdr:col>
          <xdr:colOff>762000</xdr:colOff>
          <xdr:row>13</xdr:row>
          <xdr:rowOff>9525</xdr:rowOff>
        </xdr:to>
        <xdr:sp macro="" textlink="">
          <xdr:nvSpPr>
            <xdr:cNvPr id="1557" name="ComboBox13" hidden="1">
              <a:extLst>
                <a:ext uri="{63B3BB69-23CF-44E3-9099-C40C66FF867C}">
                  <a14:compatExt spid="_x0000_s15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19050</xdr:rowOff>
        </xdr:from>
        <xdr:to>
          <xdr:col>2</xdr:col>
          <xdr:colOff>762000</xdr:colOff>
          <xdr:row>14</xdr:row>
          <xdr:rowOff>19050</xdr:rowOff>
        </xdr:to>
        <xdr:sp macro="" textlink="">
          <xdr:nvSpPr>
            <xdr:cNvPr id="1558" name="ComboBox14" hidden="1">
              <a:extLst>
                <a:ext uri="{63B3BB69-23CF-44E3-9099-C40C66FF867C}">
                  <a14:compatExt spid="_x0000_s15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19050</xdr:rowOff>
        </xdr:from>
        <xdr:to>
          <xdr:col>2</xdr:col>
          <xdr:colOff>762000</xdr:colOff>
          <xdr:row>15</xdr:row>
          <xdr:rowOff>19050</xdr:rowOff>
        </xdr:to>
        <xdr:sp macro="" textlink="">
          <xdr:nvSpPr>
            <xdr:cNvPr id="1559" name="ComboBox15" hidden="1">
              <a:extLst>
                <a:ext uri="{63B3BB69-23CF-44E3-9099-C40C66FF867C}">
                  <a14:compatExt spid="_x0000_s15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19050</xdr:rowOff>
        </xdr:from>
        <xdr:to>
          <xdr:col>2</xdr:col>
          <xdr:colOff>762000</xdr:colOff>
          <xdr:row>16</xdr:row>
          <xdr:rowOff>19050</xdr:rowOff>
        </xdr:to>
        <xdr:sp macro="" textlink="">
          <xdr:nvSpPr>
            <xdr:cNvPr id="1560" name="ComboBox16" hidden="1">
              <a:extLst>
                <a:ext uri="{63B3BB69-23CF-44E3-9099-C40C66FF867C}">
                  <a14:compatExt spid="_x0000_s15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19050</xdr:rowOff>
        </xdr:from>
        <xdr:to>
          <xdr:col>2</xdr:col>
          <xdr:colOff>762000</xdr:colOff>
          <xdr:row>17</xdr:row>
          <xdr:rowOff>19050</xdr:rowOff>
        </xdr:to>
        <xdr:sp macro="" textlink="">
          <xdr:nvSpPr>
            <xdr:cNvPr id="1561" name="ComboBox17" hidden="1">
              <a:extLst>
                <a:ext uri="{63B3BB69-23CF-44E3-9099-C40C66FF867C}">
                  <a14:compatExt spid="_x0000_s15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142875</xdr:colOff>
          <xdr:row>21</xdr:row>
          <xdr:rowOff>104775</xdr:rowOff>
        </xdr:from>
        <xdr:to>
          <xdr:col>17</xdr:col>
          <xdr:colOff>104775</xdr:colOff>
          <xdr:row>24</xdr:row>
          <xdr:rowOff>114300</xdr:rowOff>
        </xdr:to>
        <xdr:sp macro="" textlink="">
          <xdr:nvSpPr>
            <xdr:cNvPr id="1563" name="Group Box 539" hidden="1">
              <a:extLst>
                <a:ext uri="{63B3BB69-23CF-44E3-9099-C40C66FF867C}">
                  <a14:compatExt spid="_x0000_s156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6</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123825</xdr:colOff>
          <xdr:row>45</xdr:row>
          <xdr:rowOff>9525</xdr:rowOff>
        </xdr:from>
        <xdr:to>
          <xdr:col>1</xdr:col>
          <xdr:colOff>657225</xdr:colOff>
          <xdr:row>46</xdr:row>
          <xdr:rowOff>57150</xdr:rowOff>
        </xdr:to>
        <xdr:sp macro="" textlink="">
          <xdr:nvSpPr>
            <xdr:cNvPr id="1568" name="CheckBox4" hidden="1">
              <a:extLst>
                <a:ext uri="{63B3BB69-23CF-44E3-9099-C40C66FF867C}">
                  <a14:compatExt spid="_x0000_s15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304800</xdr:colOff>
          <xdr:row>58</xdr:row>
          <xdr:rowOff>9525</xdr:rowOff>
        </xdr:from>
        <xdr:to>
          <xdr:col>12</xdr:col>
          <xdr:colOff>209550</xdr:colOff>
          <xdr:row>59</xdr:row>
          <xdr:rowOff>57150</xdr:rowOff>
        </xdr:to>
        <xdr:sp macro="" textlink="">
          <xdr:nvSpPr>
            <xdr:cNvPr id="1569" name="CheckBox16" hidden="1">
              <a:extLst>
                <a:ext uri="{63B3BB69-23CF-44E3-9099-C40C66FF867C}">
                  <a14:compatExt spid="_x0000_s15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60</xdr:row>
          <xdr:rowOff>38100</xdr:rowOff>
        </xdr:from>
        <xdr:to>
          <xdr:col>1</xdr:col>
          <xdr:colOff>895350</xdr:colOff>
          <xdr:row>62</xdr:row>
          <xdr:rowOff>95250</xdr:rowOff>
        </xdr:to>
        <xdr:sp macro="" textlink="">
          <xdr:nvSpPr>
            <xdr:cNvPr id="1570" name="CheckBox17" hidden="1">
              <a:extLst>
                <a:ext uri="{63B3BB69-23CF-44E3-9099-C40C66FF867C}">
                  <a14:compatExt spid="_x0000_s15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304800</xdr:colOff>
          <xdr:row>60</xdr:row>
          <xdr:rowOff>76200</xdr:rowOff>
        </xdr:from>
        <xdr:to>
          <xdr:col>12</xdr:col>
          <xdr:colOff>504825</xdr:colOff>
          <xdr:row>62</xdr:row>
          <xdr:rowOff>152400</xdr:rowOff>
        </xdr:to>
        <xdr:sp macro="" textlink="">
          <xdr:nvSpPr>
            <xdr:cNvPr id="1571" name="CheckBox18" hidden="1">
              <a:extLst>
                <a:ext uri="{63B3BB69-23CF-44E3-9099-C40C66FF867C}">
                  <a14:compatExt spid="_x0000_s15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17</xdr:col>
          <xdr:colOff>38100</xdr:colOff>
          <xdr:row>66</xdr:row>
          <xdr:rowOff>104775</xdr:rowOff>
        </xdr:from>
        <xdr:to>
          <xdr:col>21</xdr:col>
          <xdr:colOff>85725</xdr:colOff>
          <xdr:row>68</xdr:row>
          <xdr:rowOff>142875</xdr:rowOff>
        </xdr:to>
        <xdr:grpSp>
          <xdr:nvGrpSpPr>
            <xdr:cNvPr id="687698" name="Group 611"/>
            <xdr:cNvGrpSpPr>
              <a:grpSpLocks/>
            </xdr:cNvGrpSpPr>
          </xdr:nvGrpSpPr>
          <xdr:grpSpPr bwMode="auto">
            <a:xfrm>
              <a:off x="9915525" y="11830050"/>
              <a:ext cx="1695450" cy="381000"/>
              <a:chOff x="605" y="1232"/>
              <a:chExt cx="178" cy="40"/>
            </a:xfrm>
          </xdr:grpSpPr>
          <xdr:sp macro="" textlink="">
            <xdr:nvSpPr>
              <xdr:cNvPr id="1589" name="OptionButton8" hidden="1">
                <a:extLst>
                  <a:ext uri="{63B3BB69-23CF-44E3-9099-C40C66FF867C}">
                    <a14:compatExt spid="_x0000_s1589"/>
                  </a:ext>
                </a:extLst>
              </xdr:cNvPr>
              <xdr:cNvSpPr/>
            </xdr:nvSpPr>
            <xdr:spPr bwMode="auto">
              <a:xfrm>
                <a:off x="605" y="1254"/>
                <a:ext cx="57" cy="18"/>
              </a:xfrm>
              <a:prstGeom prst="rect">
                <a:avLst/>
              </a:prstGeom>
              <a:noFill/>
              <a:ln>
                <a:noFill/>
              </a:ln>
              <a:extLst>
                <a:ext uri="{91240B29-F687-4F45-9708-019B960494DF}">
                  <a14:hiddenLine w="9525">
                    <a:noFill/>
                    <a:miter lim="800000"/>
                    <a:headEnd/>
                    <a:tailEnd/>
                  </a14:hiddenLine>
                </a:ext>
              </a:extLst>
            </xdr:spPr>
          </xdr:sp>
          <xdr:sp macro="" textlink="">
            <xdr:nvSpPr>
              <xdr:cNvPr id="1590" name="OptionButton9" hidden="1">
                <a:extLst>
                  <a:ext uri="{63B3BB69-23CF-44E3-9099-C40C66FF867C}">
                    <a14:compatExt spid="_x0000_s1590"/>
                  </a:ext>
                </a:extLst>
              </xdr:cNvPr>
              <xdr:cNvSpPr/>
            </xdr:nvSpPr>
            <xdr:spPr bwMode="auto">
              <a:xfrm>
                <a:off x="665" y="1254"/>
                <a:ext cx="57" cy="18"/>
              </a:xfrm>
              <a:prstGeom prst="rect">
                <a:avLst/>
              </a:prstGeom>
              <a:noFill/>
              <a:ln>
                <a:noFill/>
              </a:ln>
              <a:extLst>
                <a:ext uri="{91240B29-F687-4F45-9708-019B960494DF}">
                  <a14:hiddenLine w="9525">
                    <a:noFill/>
                    <a:miter lim="800000"/>
                    <a:headEnd/>
                    <a:tailEnd/>
                  </a14:hiddenLine>
                </a:ext>
              </a:extLst>
            </xdr:spPr>
          </xdr:sp>
          <xdr:sp macro="" textlink="">
            <xdr:nvSpPr>
              <xdr:cNvPr id="1591" name="OptionButton10" hidden="1">
                <a:extLst>
                  <a:ext uri="{63B3BB69-23CF-44E3-9099-C40C66FF867C}">
                    <a14:compatExt spid="_x0000_s1591"/>
                  </a:ext>
                </a:extLst>
              </xdr:cNvPr>
              <xdr:cNvSpPr/>
            </xdr:nvSpPr>
            <xdr:spPr bwMode="auto">
              <a:xfrm>
                <a:off x="726" y="1254"/>
                <a:ext cx="57" cy="18"/>
              </a:xfrm>
              <a:prstGeom prst="rect">
                <a:avLst/>
              </a:prstGeom>
              <a:noFill/>
              <a:ln>
                <a:noFill/>
              </a:ln>
              <a:extLst>
                <a:ext uri="{91240B29-F687-4F45-9708-019B960494DF}">
                  <a14:hiddenLine w="9525">
                    <a:noFill/>
                    <a:miter lim="800000"/>
                    <a:headEnd/>
                    <a:tailEnd/>
                  </a14:hiddenLine>
                </a:ext>
              </a:extLst>
            </xdr:spPr>
          </xdr:sp>
          <xdr:sp macro="" textlink="">
            <xdr:nvSpPr>
              <xdr:cNvPr id="1592" name="CheckBox21" hidden="1">
                <a:extLst>
                  <a:ext uri="{63B3BB69-23CF-44E3-9099-C40C66FF867C}">
                    <a14:compatExt spid="_x0000_s1592"/>
                  </a:ext>
                </a:extLst>
              </xdr:cNvPr>
              <xdr:cNvSpPr/>
            </xdr:nvSpPr>
            <xdr:spPr bwMode="auto">
              <a:xfrm>
                <a:off x="606" y="1232"/>
                <a:ext cx="122" cy="23"/>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66</xdr:row>
          <xdr:rowOff>114300</xdr:rowOff>
        </xdr:from>
        <xdr:to>
          <xdr:col>6</xdr:col>
          <xdr:colOff>28575</xdr:colOff>
          <xdr:row>69</xdr:row>
          <xdr:rowOff>0</xdr:rowOff>
        </xdr:to>
        <xdr:grpSp>
          <xdr:nvGrpSpPr>
            <xdr:cNvPr id="687699" name="Group 571"/>
            <xdr:cNvGrpSpPr>
              <a:grpSpLocks/>
            </xdr:cNvGrpSpPr>
          </xdr:nvGrpSpPr>
          <xdr:grpSpPr bwMode="auto">
            <a:xfrm>
              <a:off x="2752725" y="11839575"/>
              <a:ext cx="1695450" cy="390525"/>
              <a:chOff x="38" y="1151"/>
              <a:chExt cx="178" cy="39"/>
            </a:xfrm>
          </xdr:grpSpPr>
          <xdr:grpSp>
            <xdr:nvGrpSpPr>
              <xdr:cNvPr id="687700" name="Group 551"/>
              <xdr:cNvGrpSpPr>
                <a:grpSpLocks/>
              </xdr:cNvGrpSpPr>
            </xdr:nvGrpSpPr>
            <xdr:grpSpPr bwMode="auto">
              <a:xfrm>
                <a:off x="38" y="1173"/>
                <a:ext cx="178" cy="17"/>
                <a:chOff x="82" y="1986"/>
                <a:chExt cx="178" cy="17"/>
              </a:xfrm>
            </xdr:grpSpPr>
            <xdr:sp macro="" textlink="">
              <xdr:nvSpPr>
                <xdr:cNvPr id="1572" name="OptionButton5" hidden="1">
                  <a:extLst>
                    <a:ext uri="{63B3BB69-23CF-44E3-9099-C40C66FF867C}">
                      <a14:compatExt spid="_x0000_s1572"/>
                    </a:ext>
                  </a:extLst>
                </xdr:cNvPr>
                <xdr:cNvSpPr/>
              </xdr:nvSpPr>
              <xdr:spPr bwMode="auto">
                <a:xfrm>
                  <a:off x="82" y="1986"/>
                  <a:ext cx="57" cy="17"/>
                </a:xfrm>
                <a:prstGeom prst="rect">
                  <a:avLst/>
                </a:prstGeom>
                <a:noFill/>
                <a:ln>
                  <a:noFill/>
                </a:ln>
                <a:extLst>
                  <a:ext uri="{91240B29-F687-4F45-9708-019B960494DF}">
                    <a14:hiddenLine w="9525">
                      <a:noFill/>
                      <a:miter lim="800000"/>
                      <a:headEnd/>
                      <a:tailEnd/>
                    </a14:hiddenLine>
                  </a:ext>
                </a:extLst>
              </xdr:spPr>
            </xdr:sp>
            <xdr:sp macro="" textlink="">
              <xdr:nvSpPr>
                <xdr:cNvPr id="1573" name="OptionButton6" hidden="1">
                  <a:extLst>
                    <a:ext uri="{63B3BB69-23CF-44E3-9099-C40C66FF867C}">
                      <a14:compatExt spid="_x0000_s1573"/>
                    </a:ext>
                  </a:extLst>
                </xdr:cNvPr>
                <xdr:cNvSpPr/>
              </xdr:nvSpPr>
              <xdr:spPr bwMode="auto">
                <a:xfrm>
                  <a:off x="142" y="1986"/>
                  <a:ext cx="57" cy="17"/>
                </a:xfrm>
                <a:prstGeom prst="rect">
                  <a:avLst/>
                </a:prstGeom>
                <a:noFill/>
                <a:ln>
                  <a:noFill/>
                </a:ln>
                <a:extLst>
                  <a:ext uri="{91240B29-F687-4F45-9708-019B960494DF}">
                    <a14:hiddenLine w="9525">
                      <a:noFill/>
                      <a:miter lim="800000"/>
                      <a:headEnd/>
                      <a:tailEnd/>
                    </a14:hiddenLine>
                  </a:ext>
                </a:extLst>
              </xdr:spPr>
            </xdr:sp>
            <xdr:sp macro="" textlink="">
              <xdr:nvSpPr>
                <xdr:cNvPr id="1574" name="OptionButton7" hidden="1">
                  <a:extLst>
                    <a:ext uri="{63B3BB69-23CF-44E3-9099-C40C66FF867C}">
                      <a14:compatExt spid="_x0000_s1574"/>
                    </a:ext>
                  </a:extLst>
                </xdr:cNvPr>
                <xdr:cNvSpPr/>
              </xdr:nvSpPr>
              <xdr:spPr bwMode="auto">
                <a:xfrm>
                  <a:off x="203" y="1986"/>
                  <a:ext cx="57" cy="17"/>
                </a:xfrm>
                <a:prstGeom prst="rect">
                  <a:avLst/>
                </a:prstGeom>
                <a:noFill/>
                <a:ln>
                  <a:noFill/>
                </a:ln>
                <a:extLst>
                  <a:ext uri="{91240B29-F687-4F45-9708-019B960494DF}">
                    <a14:hiddenLine w="9525">
                      <a:noFill/>
                      <a:miter lim="800000"/>
                      <a:headEnd/>
                      <a:tailEnd/>
                    </a14:hiddenLine>
                  </a:ext>
                </a:extLst>
              </xdr:spPr>
            </xdr:sp>
          </xdr:grpSp>
          <xdr:sp macro="" textlink="">
            <xdr:nvSpPr>
              <xdr:cNvPr id="1594" name="CheckBox23" hidden="1">
                <a:extLst>
                  <a:ext uri="{63B3BB69-23CF-44E3-9099-C40C66FF867C}">
                    <a14:compatExt spid="_x0000_s1594"/>
                  </a:ext>
                </a:extLst>
              </xdr:cNvPr>
              <xdr:cNvSpPr/>
            </xdr:nvSpPr>
            <xdr:spPr bwMode="auto">
              <a:xfrm>
                <a:off x="41" y="1151"/>
                <a:ext cx="155" cy="22"/>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742950</xdr:colOff>
          <xdr:row>72</xdr:row>
          <xdr:rowOff>9525</xdr:rowOff>
        </xdr:from>
        <xdr:to>
          <xdr:col>2</xdr:col>
          <xdr:colOff>0</xdr:colOff>
          <xdr:row>73</xdr:row>
          <xdr:rowOff>0</xdr:rowOff>
        </xdr:to>
        <xdr:sp macro="" textlink="">
          <xdr:nvSpPr>
            <xdr:cNvPr id="1597" name="SpinButton3" hidden="1">
              <a:extLst>
                <a:ext uri="{63B3BB69-23CF-44E3-9099-C40C66FF867C}">
                  <a14:compatExt spid="_x0000_s15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742950</xdr:colOff>
          <xdr:row>70</xdr:row>
          <xdr:rowOff>161925</xdr:rowOff>
        </xdr:from>
        <xdr:to>
          <xdr:col>2</xdr:col>
          <xdr:colOff>0</xdr:colOff>
          <xdr:row>72</xdr:row>
          <xdr:rowOff>9525</xdr:rowOff>
        </xdr:to>
        <xdr:sp macro="" textlink="">
          <xdr:nvSpPr>
            <xdr:cNvPr id="1598" name="SpinButton5" hidden="1">
              <a:extLst>
                <a:ext uri="{63B3BB69-23CF-44E3-9099-C40C66FF867C}">
                  <a14:compatExt spid="_x0000_s15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733425</xdr:colOff>
          <xdr:row>73</xdr:row>
          <xdr:rowOff>0</xdr:rowOff>
        </xdr:from>
        <xdr:to>
          <xdr:col>2</xdr:col>
          <xdr:colOff>0</xdr:colOff>
          <xdr:row>75</xdr:row>
          <xdr:rowOff>0</xdr:rowOff>
        </xdr:to>
        <xdr:sp macro="" textlink="">
          <xdr:nvSpPr>
            <xdr:cNvPr id="1599" name="SpinButton6" hidden="1">
              <a:extLst>
                <a:ext uri="{63B3BB69-23CF-44E3-9099-C40C66FF867C}">
                  <a14:compatExt spid="_x0000_s15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695325</xdr:colOff>
          <xdr:row>72</xdr:row>
          <xdr:rowOff>9525</xdr:rowOff>
        </xdr:from>
        <xdr:to>
          <xdr:col>16</xdr:col>
          <xdr:colOff>76200</xdr:colOff>
          <xdr:row>73</xdr:row>
          <xdr:rowOff>0</xdr:rowOff>
        </xdr:to>
        <xdr:sp macro="" textlink="">
          <xdr:nvSpPr>
            <xdr:cNvPr id="1600" name="SpinButton7" hidden="1">
              <a:extLst>
                <a:ext uri="{63B3BB69-23CF-44E3-9099-C40C66FF867C}">
                  <a14:compatExt spid="_x0000_s16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695325</xdr:colOff>
          <xdr:row>70</xdr:row>
          <xdr:rowOff>161925</xdr:rowOff>
        </xdr:from>
        <xdr:to>
          <xdr:col>16</xdr:col>
          <xdr:colOff>76200</xdr:colOff>
          <xdr:row>72</xdr:row>
          <xdr:rowOff>9525</xdr:rowOff>
        </xdr:to>
        <xdr:sp macro="" textlink="">
          <xdr:nvSpPr>
            <xdr:cNvPr id="1601" name="SpinButton8" hidden="1">
              <a:extLst>
                <a:ext uri="{63B3BB69-23CF-44E3-9099-C40C66FF867C}">
                  <a14:compatExt spid="_x0000_s16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695325</xdr:colOff>
          <xdr:row>73</xdr:row>
          <xdr:rowOff>0</xdr:rowOff>
        </xdr:from>
        <xdr:to>
          <xdr:col>16</xdr:col>
          <xdr:colOff>85725</xdr:colOff>
          <xdr:row>75</xdr:row>
          <xdr:rowOff>0</xdr:rowOff>
        </xdr:to>
        <xdr:sp macro="" textlink="">
          <xdr:nvSpPr>
            <xdr:cNvPr id="1602" name="SpinButton9" hidden="1">
              <a:extLst>
                <a:ext uri="{63B3BB69-23CF-44E3-9099-C40C66FF867C}">
                  <a14:compatExt spid="_x0000_s16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28575</xdr:colOff>
          <xdr:row>76</xdr:row>
          <xdr:rowOff>9525</xdr:rowOff>
        </xdr:from>
        <xdr:to>
          <xdr:col>17</xdr:col>
          <xdr:colOff>19050</xdr:colOff>
          <xdr:row>78</xdr:row>
          <xdr:rowOff>9525</xdr:rowOff>
        </xdr:to>
        <xdr:sp macro="" textlink="">
          <xdr:nvSpPr>
            <xdr:cNvPr id="1603" name="CommandButton1" hidden="1">
              <a:extLst>
                <a:ext uri="{63B3BB69-23CF-44E3-9099-C40C66FF867C}">
                  <a14:compatExt spid="_x0000_s16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75</xdr:row>
          <xdr:rowOff>9525</xdr:rowOff>
        </xdr:from>
        <xdr:to>
          <xdr:col>2</xdr:col>
          <xdr:colOff>9525</xdr:colOff>
          <xdr:row>76</xdr:row>
          <xdr:rowOff>161925</xdr:rowOff>
        </xdr:to>
        <xdr:sp macro="" textlink="">
          <xdr:nvSpPr>
            <xdr:cNvPr id="1605" name="CommandButton2" hidden="1">
              <a:extLst>
                <a:ext uri="{63B3BB69-23CF-44E3-9099-C40C66FF867C}">
                  <a14:compatExt spid="_x0000_s16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75</xdr:row>
          <xdr:rowOff>9525</xdr:rowOff>
        </xdr:from>
        <xdr:to>
          <xdr:col>3</xdr:col>
          <xdr:colOff>0</xdr:colOff>
          <xdr:row>76</xdr:row>
          <xdr:rowOff>161925</xdr:rowOff>
        </xdr:to>
        <xdr:sp macro="" textlink="">
          <xdr:nvSpPr>
            <xdr:cNvPr id="1606" name="CommandButton4" hidden="1">
              <a:extLst>
                <a:ext uri="{63B3BB69-23CF-44E3-9099-C40C66FF867C}">
                  <a14:compatExt spid="_x0000_s16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438150</xdr:colOff>
          <xdr:row>67</xdr:row>
          <xdr:rowOff>9525</xdr:rowOff>
        </xdr:from>
        <xdr:to>
          <xdr:col>13</xdr:col>
          <xdr:colOff>66675</xdr:colOff>
          <xdr:row>68</xdr:row>
          <xdr:rowOff>57150</xdr:rowOff>
        </xdr:to>
        <xdr:sp macro="" textlink="">
          <xdr:nvSpPr>
            <xdr:cNvPr id="1607" name="CheckBox24" hidden="1">
              <a:extLst>
                <a:ext uri="{63B3BB69-23CF-44E3-9099-C40C66FF867C}">
                  <a14:compatExt spid="_x0000_s160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114300</xdr:colOff>
          <xdr:row>67</xdr:row>
          <xdr:rowOff>66675</xdr:rowOff>
        </xdr:from>
        <xdr:to>
          <xdr:col>2</xdr:col>
          <xdr:colOff>247650</xdr:colOff>
          <xdr:row>68</xdr:row>
          <xdr:rowOff>114300</xdr:rowOff>
        </xdr:to>
        <xdr:sp macro="" textlink="">
          <xdr:nvSpPr>
            <xdr:cNvPr id="1609" name="CheckBox25" hidden="1">
              <a:extLst>
                <a:ext uri="{63B3BB69-23CF-44E3-9099-C40C66FF867C}">
                  <a14:compatExt spid="_x0000_s16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895350</xdr:colOff>
          <xdr:row>22</xdr:row>
          <xdr:rowOff>190500</xdr:rowOff>
        </xdr:from>
        <xdr:to>
          <xdr:col>3</xdr:col>
          <xdr:colOff>180975</xdr:colOff>
          <xdr:row>24</xdr:row>
          <xdr:rowOff>19050</xdr:rowOff>
        </xdr:to>
        <xdr:sp macro="" textlink="">
          <xdr:nvSpPr>
            <xdr:cNvPr id="1617" name="ComboBox3" hidden="1">
              <a:extLst>
                <a:ext uri="{63B3BB69-23CF-44E3-9099-C40C66FF867C}">
                  <a14:compatExt spid="_x0000_s16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xdr:row>
          <xdr:rowOff>66675</xdr:rowOff>
        </xdr:from>
        <xdr:to>
          <xdr:col>5</xdr:col>
          <xdr:colOff>295275</xdr:colOff>
          <xdr:row>30</xdr:row>
          <xdr:rowOff>9525</xdr:rowOff>
        </xdr:to>
        <xdr:sp macro="" textlink="">
          <xdr:nvSpPr>
            <xdr:cNvPr id="1618" name="Group Box 594" hidden="1">
              <a:extLst>
                <a:ext uri="{63B3BB69-23CF-44E3-9099-C40C66FF867C}">
                  <a14:compatExt spid="_x0000_s161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ARC Switch/Element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66675</xdr:colOff>
          <xdr:row>59</xdr:row>
          <xdr:rowOff>19050</xdr:rowOff>
        </xdr:from>
        <xdr:to>
          <xdr:col>1</xdr:col>
          <xdr:colOff>600075</xdr:colOff>
          <xdr:row>60</xdr:row>
          <xdr:rowOff>85725</xdr:rowOff>
        </xdr:to>
        <xdr:sp macro="" textlink="">
          <xdr:nvSpPr>
            <xdr:cNvPr id="1619" name="CheckBox26" hidden="1">
              <a:extLst>
                <a:ext uri="{63B3BB69-23CF-44E3-9099-C40C66FF867C}">
                  <a14:compatExt spid="_x0000_s16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304800</xdr:colOff>
          <xdr:row>59</xdr:row>
          <xdr:rowOff>66675</xdr:rowOff>
        </xdr:from>
        <xdr:to>
          <xdr:col>12</xdr:col>
          <xdr:colOff>209550</xdr:colOff>
          <xdr:row>60</xdr:row>
          <xdr:rowOff>123825</xdr:rowOff>
        </xdr:to>
        <xdr:sp macro="" textlink="">
          <xdr:nvSpPr>
            <xdr:cNvPr id="1625" name="CheckBox27" hidden="1">
              <a:extLst>
                <a:ext uri="{63B3BB69-23CF-44E3-9099-C40C66FF867C}">
                  <a14:compatExt spid="_x0000_s16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xdr:row>
          <xdr:rowOff>0</xdr:rowOff>
        </xdr:from>
        <xdr:to>
          <xdr:col>2</xdr:col>
          <xdr:colOff>771525</xdr:colOff>
          <xdr:row>11</xdr:row>
          <xdr:rowOff>0</xdr:rowOff>
        </xdr:to>
        <xdr:sp macro="" textlink="">
          <xdr:nvSpPr>
            <xdr:cNvPr id="1627" name="ComboBox7" hidden="1">
              <a:extLst>
                <a:ext uri="{63B3BB69-23CF-44E3-9099-C40C66FF867C}">
                  <a14:compatExt spid="_x0000_s16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9525</xdr:rowOff>
        </xdr:from>
        <xdr:to>
          <xdr:col>5</xdr:col>
          <xdr:colOff>9525</xdr:colOff>
          <xdr:row>12</xdr:row>
          <xdr:rowOff>9525</xdr:rowOff>
        </xdr:to>
        <xdr:sp macro="" textlink="">
          <xdr:nvSpPr>
            <xdr:cNvPr id="1637" name="ComboBox18" hidden="1">
              <a:extLst>
                <a:ext uri="{63B3BB69-23CF-44E3-9099-C40C66FF867C}">
                  <a14:compatExt spid="_x0000_s16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9525</xdr:colOff>
          <xdr:row>13</xdr:row>
          <xdr:rowOff>0</xdr:rowOff>
        </xdr:to>
        <xdr:sp macro="" textlink="">
          <xdr:nvSpPr>
            <xdr:cNvPr id="1638" name="ComboBox19" hidden="1">
              <a:extLst>
                <a:ext uri="{63B3BB69-23CF-44E3-9099-C40C66FF867C}">
                  <a14:compatExt spid="_x0000_s16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9525</xdr:colOff>
          <xdr:row>11</xdr:row>
          <xdr:rowOff>0</xdr:rowOff>
        </xdr:to>
        <xdr:sp macro="" textlink="">
          <xdr:nvSpPr>
            <xdr:cNvPr id="1641" name="ComboBox20" hidden="1">
              <a:extLst>
                <a:ext uri="{63B3BB69-23CF-44E3-9099-C40C66FF867C}">
                  <a14:compatExt spid="_x0000_s16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5</xdr:col>
          <xdr:colOff>9525</xdr:colOff>
          <xdr:row>14</xdr:row>
          <xdr:rowOff>0</xdr:rowOff>
        </xdr:to>
        <xdr:sp macro="" textlink="">
          <xdr:nvSpPr>
            <xdr:cNvPr id="1642" name="ComboBox21" hidden="1">
              <a:extLst>
                <a:ext uri="{63B3BB69-23CF-44E3-9099-C40C66FF867C}">
                  <a14:compatExt spid="_x0000_s16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17</xdr:row>
          <xdr:rowOff>114300</xdr:rowOff>
        </xdr:from>
        <xdr:to>
          <xdr:col>23</xdr:col>
          <xdr:colOff>0</xdr:colOff>
          <xdr:row>24</xdr:row>
          <xdr:rowOff>114300</xdr:rowOff>
        </xdr:to>
        <xdr:sp macro="" textlink="">
          <xdr:nvSpPr>
            <xdr:cNvPr id="1646" name="Group Box 622" hidden="1">
              <a:extLst>
                <a:ext uri="{63B3BB69-23CF-44E3-9099-C40C66FF867C}">
                  <a14:compatExt spid="_x0000_s164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Page 12</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314325</xdr:colOff>
          <xdr:row>62</xdr:row>
          <xdr:rowOff>85725</xdr:rowOff>
        </xdr:from>
        <xdr:to>
          <xdr:col>12</xdr:col>
          <xdr:colOff>447675</xdr:colOff>
          <xdr:row>64</xdr:row>
          <xdr:rowOff>152400</xdr:rowOff>
        </xdr:to>
        <xdr:sp macro="" textlink="">
          <xdr:nvSpPr>
            <xdr:cNvPr id="1657" name="CheckBox28" hidden="1">
              <a:extLst>
                <a:ext uri="{63B3BB69-23CF-44E3-9099-C40C66FF867C}">
                  <a14:compatExt spid="_x0000_s16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76</xdr:row>
          <xdr:rowOff>152400</xdr:rowOff>
        </xdr:from>
        <xdr:to>
          <xdr:col>3</xdr:col>
          <xdr:colOff>0</xdr:colOff>
          <xdr:row>78</xdr:row>
          <xdr:rowOff>142875</xdr:rowOff>
        </xdr:to>
        <xdr:sp macro="" textlink="">
          <xdr:nvSpPr>
            <xdr:cNvPr id="1664" name="CommandButton3" hidden="1">
              <a:extLst>
                <a:ext uri="{63B3BB69-23CF-44E3-9099-C40C66FF867C}">
                  <a14:compatExt spid="_x0000_s16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0.51897</cdr:x>
      <cdr:y>0.48992</cdr:y>
    </cdr:from>
    <cdr:to>
      <cdr:x>0.53055</cdr:x>
      <cdr:y>0.51868</cdr:y>
    </cdr:to>
    <cdr:sp macro="" textlink="">
      <cdr:nvSpPr>
        <cdr:cNvPr id="259073" name="Text 1"/>
        <cdr:cNvSpPr txBox="1">
          <a:spLocks xmlns:a="http://schemas.openxmlformats.org/drawingml/2006/main" noChangeArrowheads="1"/>
        </cdr:cNvSpPr>
      </cdr:nvSpPr>
      <cdr:spPr bwMode="auto">
        <a:xfrm xmlns:a="http://schemas.openxmlformats.org/drawingml/2006/main">
          <a:off x="3438712" y="2765754"/>
          <a:ext cx="76664" cy="16214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3.xml><?xml version="1.0" encoding="utf-8"?>
<c:userShapes xmlns:c="http://schemas.openxmlformats.org/drawingml/2006/chart">
  <cdr:relSizeAnchor xmlns:cdr="http://schemas.openxmlformats.org/drawingml/2006/chartDrawing">
    <cdr:from>
      <cdr:x>0.52192</cdr:x>
      <cdr:y>0.48796</cdr:y>
    </cdr:from>
    <cdr:to>
      <cdr:x>0.53374</cdr:x>
      <cdr:y>0.51671</cdr:y>
    </cdr:to>
    <cdr:sp macro="" textlink="">
      <cdr:nvSpPr>
        <cdr:cNvPr id="286721" name="Text 1"/>
        <cdr:cNvSpPr txBox="1">
          <a:spLocks xmlns:a="http://schemas.openxmlformats.org/drawingml/2006/main" noChangeArrowheads="1"/>
        </cdr:cNvSpPr>
      </cdr:nvSpPr>
      <cdr:spPr bwMode="auto">
        <a:xfrm xmlns:a="http://schemas.openxmlformats.org/drawingml/2006/main">
          <a:off x="3338899" y="2750021"/>
          <a:ext cx="75552" cy="1618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79</xdr:col>
      <xdr:colOff>0</xdr:colOff>
      <xdr:row>4</xdr:row>
      <xdr:rowOff>0</xdr:rowOff>
    </xdr:from>
    <xdr:to>
      <xdr:col>79</xdr:col>
      <xdr:colOff>0</xdr:colOff>
      <xdr:row>10</xdr:row>
      <xdr:rowOff>0</xdr:rowOff>
    </xdr:to>
    <xdr:sp macro="" textlink="">
      <xdr:nvSpPr>
        <xdr:cNvPr id="740189" name="Line 85"/>
        <xdr:cNvSpPr>
          <a:spLocks noChangeShapeType="1"/>
        </xdr:cNvSpPr>
      </xdr:nvSpPr>
      <xdr:spPr bwMode="auto">
        <a:xfrm flipV="1">
          <a:off x="18230850" y="828675"/>
          <a:ext cx="0" cy="1028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78</xdr:col>
      <xdr:colOff>600075</xdr:colOff>
      <xdr:row>5</xdr:row>
      <xdr:rowOff>57150</xdr:rowOff>
    </xdr:from>
    <xdr:to>
      <xdr:col>83</xdr:col>
      <xdr:colOff>495300</xdr:colOff>
      <xdr:row>10</xdr:row>
      <xdr:rowOff>0</xdr:rowOff>
    </xdr:to>
    <xdr:grpSp>
      <xdr:nvGrpSpPr>
        <xdr:cNvPr id="740190" name="Group 96"/>
        <xdr:cNvGrpSpPr>
          <a:grpSpLocks/>
        </xdr:cNvGrpSpPr>
      </xdr:nvGrpSpPr>
      <xdr:grpSpPr bwMode="auto">
        <a:xfrm>
          <a:off x="42856439" y="1061605"/>
          <a:ext cx="2925906" cy="808759"/>
          <a:chOff x="2504" y="123"/>
          <a:chExt cx="309" cy="99"/>
        </a:xfrm>
      </xdr:grpSpPr>
      <xdr:sp macro="" textlink="">
        <xdr:nvSpPr>
          <xdr:cNvPr id="740207" name="Line 79"/>
          <xdr:cNvSpPr>
            <a:spLocks noChangeShapeType="1"/>
          </xdr:cNvSpPr>
        </xdr:nvSpPr>
        <xdr:spPr bwMode="auto">
          <a:xfrm flipV="1">
            <a:off x="2504" y="150"/>
            <a:ext cx="228" cy="71"/>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0208" name="Line 81"/>
          <xdr:cNvSpPr>
            <a:spLocks noChangeShapeType="1"/>
          </xdr:cNvSpPr>
        </xdr:nvSpPr>
        <xdr:spPr bwMode="auto">
          <a:xfrm flipH="1" flipV="1">
            <a:off x="2731" y="150"/>
            <a:ext cx="30" cy="72"/>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sp macro="" textlink="">
        <xdr:nvSpPr>
          <xdr:cNvPr id="740209" name="Line 87"/>
          <xdr:cNvSpPr>
            <a:spLocks noChangeShapeType="1"/>
          </xdr:cNvSpPr>
        </xdr:nvSpPr>
        <xdr:spPr bwMode="auto">
          <a:xfrm flipV="1">
            <a:off x="2732" y="123"/>
            <a:ext cx="81" cy="2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79</xdr:col>
      <xdr:colOff>0</xdr:colOff>
      <xdr:row>10</xdr:row>
      <xdr:rowOff>0</xdr:rowOff>
    </xdr:from>
    <xdr:to>
      <xdr:col>83</xdr:col>
      <xdr:colOff>9525</xdr:colOff>
      <xdr:row>10</xdr:row>
      <xdr:rowOff>0</xdr:rowOff>
    </xdr:to>
    <xdr:sp macro="" textlink="">
      <xdr:nvSpPr>
        <xdr:cNvPr id="740191" name="Line 78"/>
        <xdr:cNvSpPr>
          <a:spLocks noChangeShapeType="1"/>
        </xdr:cNvSpPr>
      </xdr:nvSpPr>
      <xdr:spPr bwMode="auto">
        <a:xfrm>
          <a:off x="18230850" y="1857375"/>
          <a:ext cx="2447925" cy="0"/>
        </a:xfrm>
        <a:prstGeom prst="line">
          <a:avLst/>
        </a:prstGeom>
        <a:noFill/>
        <a:ln w="28575">
          <a:solidFill>
            <a:srgbClr val="00FF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83</xdr:col>
      <xdr:colOff>0</xdr:colOff>
      <xdr:row>9</xdr:row>
      <xdr:rowOff>190500</xdr:rowOff>
    </xdr:from>
    <xdr:to>
      <xdr:col>84</xdr:col>
      <xdr:colOff>9525</xdr:colOff>
      <xdr:row>9</xdr:row>
      <xdr:rowOff>190500</xdr:rowOff>
    </xdr:to>
    <xdr:sp macro="" textlink="">
      <xdr:nvSpPr>
        <xdr:cNvPr id="740192" name="Line 84"/>
        <xdr:cNvSpPr>
          <a:spLocks noChangeShapeType="1"/>
        </xdr:cNvSpPr>
      </xdr:nvSpPr>
      <xdr:spPr bwMode="auto">
        <a:xfrm>
          <a:off x="20669250" y="1857375"/>
          <a:ext cx="619125" cy="0"/>
        </a:xfrm>
        <a:prstGeom prst="line">
          <a:avLst/>
        </a:prstGeom>
        <a:noFill/>
        <a:ln w="38100">
          <a:solidFill>
            <a:srgbClr val="008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84</xdr:col>
      <xdr:colOff>0</xdr:colOff>
      <xdr:row>9</xdr:row>
      <xdr:rowOff>190500</xdr:rowOff>
    </xdr:to>
    <xdr:sp macro="" textlink="">
      <xdr:nvSpPr>
        <xdr:cNvPr id="740193" name="Line 86"/>
        <xdr:cNvSpPr>
          <a:spLocks noChangeShapeType="1"/>
        </xdr:cNvSpPr>
      </xdr:nvSpPr>
      <xdr:spPr bwMode="auto">
        <a:xfrm flipV="1">
          <a:off x="18230850" y="828675"/>
          <a:ext cx="3048000" cy="10287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81</xdr:col>
      <xdr:colOff>600075</xdr:colOff>
      <xdr:row>4</xdr:row>
      <xdr:rowOff>0</xdr:rowOff>
    </xdr:from>
    <xdr:to>
      <xdr:col>84</xdr:col>
      <xdr:colOff>0</xdr:colOff>
      <xdr:row>16</xdr:row>
      <xdr:rowOff>0</xdr:rowOff>
    </xdr:to>
    <xdr:sp macro="" textlink="">
      <xdr:nvSpPr>
        <xdr:cNvPr id="740194" name="Line 80"/>
        <xdr:cNvSpPr>
          <a:spLocks noChangeShapeType="1"/>
        </xdr:cNvSpPr>
      </xdr:nvSpPr>
      <xdr:spPr bwMode="auto">
        <a:xfrm flipV="1">
          <a:off x="20050125" y="828675"/>
          <a:ext cx="1228725" cy="20574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600075</xdr:colOff>
      <xdr:row>2</xdr:row>
      <xdr:rowOff>133350</xdr:rowOff>
    </xdr:from>
    <xdr:to>
      <xdr:col>79</xdr:col>
      <xdr:colOff>0</xdr:colOff>
      <xdr:row>16</xdr:row>
      <xdr:rowOff>180975</xdr:rowOff>
    </xdr:to>
    <xdr:sp macro="" textlink="">
      <xdr:nvSpPr>
        <xdr:cNvPr id="740195" name="Line 82"/>
        <xdr:cNvSpPr>
          <a:spLocks noChangeShapeType="1"/>
        </xdr:cNvSpPr>
      </xdr:nvSpPr>
      <xdr:spPr bwMode="auto">
        <a:xfrm flipV="1">
          <a:off x="18221325" y="619125"/>
          <a:ext cx="9525" cy="2438400"/>
        </a:xfrm>
        <a:prstGeom prst="line">
          <a:avLst/>
        </a:prstGeom>
        <a:noFill/>
        <a:ln w="127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323850</xdr:colOff>
      <xdr:row>16</xdr:row>
      <xdr:rowOff>0</xdr:rowOff>
    </xdr:from>
    <xdr:to>
      <xdr:col>82</xdr:col>
      <xdr:colOff>0</xdr:colOff>
      <xdr:row>16</xdr:row>
      <xdr:rowOff>9525</xdr:rowOff>
    </xdr:to>
    <xdr:sp macro="" textlink="">
      <xdr:nvSpPr>
        <xdr:cNvPr id="740196" name="Line 88"/>
        <xdr:cNvSpPr>
          <a:spLocks noChangeShapeType="1"/>
        </xdr:cNvSpPr>
      </xdr:nvSpPr>
      <xdr:spPr bwMode="auto">
        <a:xfrm flipV="1">
          <a:off x="17945100" y="2886075"/>
          <a:ext cx="2114550" cy="95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10</xdr:row>
      <xdr:rowOff>9525</xdr:rowOff>
    </xdr:from>
    <xdr:to>
      <xdr:col>82</xdr:col>
      <xdr:colOff>0</xdr:colOff>
      <xdr:row>16</xdr:row>
      <xdr:rowOff>0</xdr:rowOff>
    </xdr:to>
    <xdr:sp macro="" textlink="">
      <xdr:nvSpPr>
        <xdr:cNvPr id="740197" name="Line 89"/>
        <xdr:cNvSpPr>
          <a:spLocks noChangeShapeType="1"/>
        </xdr:cNvSpPr>
      </xdr:nvSpPr>
      <xdr:spPr bwMode="auto">
        <a:xfrm>
          <a:off x="18230850" y="1866900"/>
          <a:ext cx="1828800" cy="1019175"/>
        </a:xfrm>
        <a:prstGeom prst="line">
          <a:avLst/>
        </a:prstGeom>
        <a:noFill/>
        <a:ln w="9525">
          <a:solidFill>
            <a:srgbClr val="FF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79</xdr:col>
      <xdr:colOff>9525</xdr:colOff>
      <xdr:row>10</xdr:row>
      <xdr:rowOff>9525</xdr:rowOff>
    </xdr:from>
    <xdr:to>
      <xdr:col>82</xdr:col>
      <xdr:colOff>219075</xdr:colOff>
      <xdr:row>12</xdr:row>
      <xdr:rowOff>19050</xdr:rowOff>
    </xdr:to>
    <xdr:sp macro="" textlink="">
      <xdr:nvSpPr>
        <xdr:cNvPr id="740198" name="Line 90"/>
        <xdr:cNvSpPr>
          <a:spLocks noChangeShapeType="1"/>
        </xdr:cNvSpPr>
      </xdr:nvSpPr>
      <xdr:spPr bwMode="auto">
        <a:xfrm>
          <a:off x="18240375" y="1866900"/>
          <a:ext cx="2038350" cy="3524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82</xdr:col>
      <xdr:colOff>0</xdr:colOff>
      <xdr:row>12</xdr:row>
      <xdr:rowOff>28575</xdr:rowOff>
    </xdr:from>
    <xdr:to>
      <xdr:col>82</xdr:col>
      <xdr:colOff>200025</xdr:colOff>
      <xdr:row>15</xdr:row>
      <xdr:rowOff>161925</xdr:rowOff>
    </xdr:to>
    <xdr:sp macro="" textlink="">
      <xdr:nvSpPr>
        <xdr:cNvPr id="740199" name="Line 91"/>
        <xdr:cNvSpPr>
          <a:spLocks noChangeShapeType="1"/>
        </xdr:cNvSpPr>
      </xdr:nvSpPr>
      <xdr:spPr bwMode="auto">
        <a:xfrm flipV="1">
          <a:off x="20059650" y="2228850"/>
          <a:ext cx="200025" cy="64770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219075</xdr:colOff>
      <xdr:row>12</xdr:row>
      <xdr:rowOff>19050</xdr:rowOff>
    </xdr:from>
    <xdr:to>
      <xdr:col>82</xdr:col>
      <xdr:colOff>371475</xdr:colOff>
      <xdr:row>12</xdr:row>
      <xdr:rowOff>47625</xdr:rowOff>
    </xdr:to>
    <xdr:sp macro="" textlink="">
      <xdr:nvSpPr>
        <xdr:cNvPr id="740200" name="Line 92"/>
        <xdr:cNvSpPr>
          <a:spLocks noChangeShapeType="1"/>
        </xdr:cNvSpPr>
      </xdr:nvSpPr>
      <xdr:spPr bwMode="auto">
        <a:xfrm>
          <a:off x="20278725" y="2219325"/>
          <a:ext cx="152400" cy="285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78</xdr:col>
      <xdr:colOff>47625</xdr:colOff>
      <xdr:row>3</xdr:row>
      <xdr:rowOff>76200</xdr:rowOff>
    </xdr:from>
    <xdr:to>
      <xdr:col>84</xdr:col>
      <xdr:colOff>0</xdr:colOff>
      <xdr:row>10</xdr:row>
      <xdr:rowOff>28575</xdr:rowOff>
    </xdr:to>
    <xdr:grpSp>
      <xdr:nvGrpSpPr>
        <xdr:cNvPr id="740201" name="Group 2193"/>
        <xdr:cNvGrpSpPr>
          <a:grpSpLocks/>
        </xdr:cNvGrpSpPr>
      </xdr:nvGrpSpPr>
      <xdr:grpSpPr bwMode="auto">
        <a:xfrm>
          <a:off x="42303989" y="734291"/>
          <a:ext cx="3589193" cy="1164648"/>
          <a:chOff x="1919" y="77"/>
          <a:chExt cx="379" cy="121"/>
        </a:xfrm>
      </xdr:grpSpPr>
      <xdr:sp macro="" textlink="">
        <xdr:nvSpPr>
          <xdr:cNvPr id="740205" name="Line 83"/>
          <xdr:cNvSpPr>
            <a:spLocks noChangeShapeType="1"/>
          </xdr:cNvSpPr>
        </xdr:nvSpPr>
        <xdr:spPr bwMode="auto">
          <a:xfrm>
            <a:off x="1926" y="87"/>
            <a:ext cx="37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0206" name="Line 108"/>
          <xdr:cNvSpPr>
            <a:spLocks noChangeShapeType="1"/>
          </xdr:cNvSpPr>
        </xdr:nvSpPr>
        <xdr:spPr bwMode="auto">
          <a:xfrm flipH="1" flipV="1">
            <a:off x="1919" y="77"/>
            <a:ext cx="58" cy="121"/>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6</xdr:col>
      <xdr:colOff>276225</xdr:colOff>
      <xdr:row>69</xdr:row>
      <xdr:rowOff>114300</xdr:rowOff>
    </xdr:from>
    <xdr:to>
      <xdr:col>14</xdr:col>
      <xdr:colOff>266700</xdr:colOff>
      <xdr:row>72</xdr:row>
      <xdr:rowOff>114300</xdr:rowOff>
    </xdr:to>
    <xdr:sp macro="" textlink="">
      <xdr:nvSpPr>
        <xdr:cNvPr id="186155" name="Text Box 811"/>
        <xdr:cNvSpPr txBox="1">
          <a:spLocks noChangeArrowheads="1"/>
        </xdr:cNvSpPr>
      </xdr:nvSpPr>
      <xdr:spPr bwMode="auto">
        <a:xfrm>
          <a:off x="3867150" y="12144375"/>
          <a:ext cx="2686050" cy="523875"/>
        </a:xfrm>
        <a:prstGeom prst="rect">
          <a:avLst/>
        </a:prstGeom>
        <a:solidFill>
          <a:srgbClr val="FF9933">
            <a:alpha val="50000"/>
          </a:srgbClr>
        </a:solidFill>
        <a:ln w="9525">
          <a:solidFill>
            <a:srgbClr val="000000"/>
          </a:solidFill>
          <a:miter lim="800000"/>
          <a:headEnd/>
          <a:tailEnd/>
        </a:ln>
      </xdr:spPr>
      <xdr:txBody>
        <a:bodyPr vertOverflow="clip" wrap="square" lIns="54864" tIns="45720" rIns="54864" bIns="0" anchor="t" upright="1"/>
        <a:lstStyle/>
        <a:p>
          <a:pPr algn="ctr" rtl="0">
            <a:defRPr sz="1000"/>
          </a:pPr>
          <a:r>
            <a:rPr lang="en-IE" sz="2600" b="0" i="0" u="none" strike="noStrike" baseline="0">
              <a:solidFill>
                <a:srgbClr val="000000"/>
              </a:solidFill>
              <a:latin typeface="Arial"/>
              <a:cs typeface="Arial"/>
            </a:rPr>
            <a:t>Not defined</a:t>
          </a:r>
        </a:p>
      </xdr:txBody>
    </xdr:sp>
    <xdr:clientData/>
  </xdr:twoCellAnchor>
  <xdr:twoCellAnchor editAs="oneCell">
    <xdr:from>
      <xdr:col>16</xdr:col>
      <xdr:colOff>38100</xdr:colOff>
      <xdr:row>47</xdr:row>
      <xdr:rowOff>180975</xdr:rowOff>
    </xdr:from>
    <xdr:to>
      <xdr:col>20</xdr:col>
      <xdr:colOff>142875</xdr:colOff>
      <xdr:row>61</xdr:row>
      <xdr:rowOff>38100</xdr:rowOff>
    </xdr:to>
    <xdr:sp macro="" textlink="">
      <xdr:nvSpPr>
        <xdr:cNvPr id="186157" name="Text Box 813"/>
        <xdr:cNvSpPr txBox="1">
          <a:spLocks noChangeArrowheads="1"/>
        </xdr:cNvSpPr>
      </xdr:nvSpPr>
      <xdr:spPr bwMode="auto">
        <a:xfrm>
          <a:off x="7219950" y="8382000"/>
          <a:ext cx="1304925" cy="2295525"/>
        </a:xfrm>
        <a:prstGeom prst="rect">
          <a:avLst/>
        </a:prstGeom>
        <a:solidFill>
          <a:srgbClr val="FF9933">
            <a:alpha val="64999"/>
          </a:srgbClr>
        </a:solidFill>
        <a:ln w="9525">
          <a:solidFill>
            <a:srgbClr val="000000"/>
          </a:solidFill>
          <a:miter lim="800000"/>
          <a:headEnd/>
          <a:tailEnd/>
        </a:ln>
      </xdr:spPr>
      <xdr:txBody>
        <a:bodyPr vertOverflow="clip" wrap="square" lIns="54864" tIns="45720" rIns="54864" bIns="0" anchor="t" upright="1"/>
        <a:lstStyle/>
        <a:p>
          <a:pPr algn="ctr" rtl="0">
            <a:defRPr sz="1000"/>
          </a:pPr>
          <a:endParaRPr lang="en-IE" sz="2600" b="0" i="0" u="none" strike="noStrike" baseline="0">
            <a:solidFill>
              <a:srgbClr val="000000"/>
            </a:solidFill>
            <a:latin typeface="Arial"/>
            <a:cs typeface="Arial"/>
          </a:endParaRPr>
        </a:p>
        <a:p>
          <a:pPr algn="ctr" rtl="0">
            <a:defRPr sz="1000"/>
          </a:pPr>
          <a:endParaRPr lang="en-IE" sz="2600" b="0" i="0" u="none" strike="noStrike" baseline="0">
            <a:solidFill>
              <a:srgbClr val="000000"/>
            </a:solidFill>
            <a:latin typeface="Arial"/>
            <a:cs typeface="Arial"/>
          </a:endParaRPr>
        </a:p>
        <a:p>
          <a:pPr algn="ctr" rtl="0">
            <a:defRPr sz="1000"/>
          </a:pPr>
          <a:r>
            <a:rPr lang="en-IE" sz="2600" b="0" i="0" u="none" strike="noStrike" baseline="0">
              <a:solidFill>
                <a:srgbClr val="000000"/>
              </a:solidFill>
              <a:latin typeface="Arial"/>
              <a:cs typeface="Arial"/>
            </a:rPr>
            <a:t>Not defined</a:t>
          </a:r>
        </a:p>
      </xdr:txBody>
    </xdr:sp>
    <xdr:clientData/>
  </xdr:twoCellAnchor>
  <xdr:twoCellAnchor editAs="oneCell">
    <xdr:from>
      <xdr:col>22</xdr:col>
      <xdr:colOff>104775</xdr:colOff>
      <xdr:row>1</xdr:row>
      <xdr:rowOff>152400</xdr:rowOff>
    </xdr:from>
    <xdr:to>
      <xdr:col>25</xdr:col>
      <xdr:colOff>142875</xdr:colOff>
      <xdr:row>45</xdr:row>
      <xdr:rowOff>161925</xdr:rowOff>
    </xdr:to>
    <xdr:sp macro="" textlink="">
      <xdr:nvSpPr>
        <xdr:cNvPr id="186349" name="Text Box 1005"/>
        <xdr:cNvSpPr txBox="1">
          <a:spLocks noChangeArrowheads="1"/>
        </xdr:cNvSpPr>
      </xdr:nvSpPr>
      <xdr:spPr bwMode="auto">
        <a:xfrm>
          <a:off x="9382125" y="466725"/>
          <a:ext cx="1085850" cy="7562850"/>
        </a:xfrm>
        <a:prstGeom prst="rect">
          <a:avLst/>
        </a:prstGeom>
        <a:solidFill>
          <a:srgbClr val="FF9933">
            <a:alpha val="64999"/>
          </a:srgbClr>
        </a:solidFill>
        <a:ln w="9525">
          <a:solidFill>
            <a:srgbClr val="000000"/>
          </a:solidFill>
          <a:miter lim="800000"/>
          <a:headEnd/>
          <a:tailEnd/>
        </a:ln>
      </xdr:spPr>
      <xdr:txBody>
        <a:bodyPr vertOverflow="clip" vert="vert270" wrap="square" lIns="54864" tIns="45720" rIns="0" bIns="0" anchor="t" upright="1"/>
        <a:lstStyle/>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endParaRPr lang="en-IE" sz="2600" b="0" i="0" u="none" strike="noStrike" baseline="0">
            <a:solidFill>
              <a:srgbClr val="000000"/>
            </a:solidFill>
            <a:latin typeface="Arial"/>
            <a:cs typeface="Arial"/>
          </a:endParaRPr>
        </a:p>
        <a:p>
          <a:pPr algn="r" rtl="0">
            <a:defRPr sz="1000"/>
          </a:pPr>
          <a:r>
            <a:rPr lang="en-IE" sz="3600" b="1" i="0" u="none" strike="noStrike" baseline="0">
              <a:solidFill>
                <a:srgbClr val="000000"/>
              </a:solidFill>
              <a:latin typeface="Arial"/>
              <a:cs typeface="Arial"/>
            </a:rPr>
            <a:t>Not defined</a:t>
          </a:r>
        </a:p>
      </xdr:txBody>
    </xdr:sp>
    <xdr:clientData/>
  </xdr:twoCellAnchor>
  <mc:AlternateContent xmlns:mc="http://schemas.openxmlformats.org/markup-compatibility/2006">
    <mc:Choice xmlns:a14="http://schemas.microsoft.com/office/drawing/2010/main" Requires="a14">
      <xdr:twoCellAnchor editAs="oneCell">
        <xdr:from>
          <xdr:col>1</xdr:col>
          <xdr:colOff>638175</xdr:colOff>
          <xdr:row>62</xdr:row>
          <xdr:rowOff>0</xdr:rowOff>
        </xdr:from>
        <xdr:to>
          <xdr:col>2</xdr:col>
          <xdr:colOff>66675</xdr:colOff>
          <xdr:row>63</xdr:row>
          <xdr:rowOff>9525</xdr:rowOff>
        </xdr:to>
        <xdr:sp macro="" textlink="">
          <xdr:nvSpPr>
            <xdr:cNvPr id="185345" name="SpinButton1" hidden="1">
              <a:extLst>
                <a:ext uri="{63B3BB69-23CF-44E3-9099-C40C66FF867C}">
                  <a14:compatExt spid="_x0000_s1853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62</xdr:row>
          <xdr:rowOff>9525</xdr:rowOff>
        </xdr:from>
        <xdr:to>
          <xdr:col>4</xdr:col>
          <xdr:colOff>171450</xdr:colOff>
          <xdr:row>63</xdr:row>
          <xdr:rowOff>9525</xdr:rowOff>
        </xdr:to>
        <xdr:sp macro="" textlink="">
          <xdr:nvSpPr>
            <xdr:cNvPr id="185346" name="SpinButton2" hidden="1">
              <a:extLst>
                <a:ext uri="{63B3BB69-23CF-44E3-9099-C40C66FF867C}">
                  <a14:compatExt spid="_x0000_s1853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48</xdr:row>
          <xdr:rowOff>0</xdr:rowOff>
        </xdr:from>
        <xdr:to>
          <xdr:col>2</xdr:col>
          <xdr:colOff>333375</xdr:colOff>
          <xdr:row>49</xdr:row>
          <xdr:rowOff>19050</xdr:rowOff>
        </xdr:to>
        <xdr:sp macro="" textlink="">
          <xdr:nvSpPr>
            <xdr:cNvPr id="185347" name="ComboBox1" hidden="1">
              <a:extLst>
                <a:ext uri="{63B3BB69-23CF-44E3-9099-C40C66FF867C}">
                  <a14:compatExt spid="_x0000_s1853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50</xdr:row>
          <xdr:rowOff>0</xdr:rowOff>
        </xdr:from>
        <xdr:to>
          <xdr:col>3</xdr:col>
          <xdr:colOff>9525</xdr:colOff>
          <xdr:row>51</xdr:row>
          <xdr:rowOff>19050</xdr:rowOff>
        </xdr:to>
        <xdr:sp macro="" textlink="">
          <xdr:nvSpPr>
            <xdr:cNvPr id="185362" name="CommandButton15" hidden="1">
              <a:extLst>
                <a:ext uri="{63B3BB69-23CF-44E3-9099-C40C66FF867C}">
                  <a14:compatExt spid="_x0000_s18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50</xdr:row>
          <xdr:rowOff>0</xdr:rowOff>
        </xdr:from>
        <xdr:to>
          <xdr:col>4</xdr:col>
          <xdr:colOff>9525</xdr:colOff>
          <xdr:row>51</xdr:row>
          <xdr:rowOff>19050</xdr:rowOff>
        </xdr:to>
        <xdr:sp macro="" textlink="">
          <xdr:nvSpPr>
            <xdr:cNvPr id="185363" name="CommandButton16" hidden="1">
              <a:extLst>
                <a:ext uri="{63B3BB69-23CF-44E3-9099-C40C66FF867C}">
                  <a14:compatExt spid="_x0000_s1853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65</xdr:row>
          <xdr:rowOff>0</xdr:rowOff>
        </xdr:from>
        <xdr:to>
          <xdr:col>2</xdr:col>
          <xdr:colOff>438150</xdr:colOff>
          <xdr:row>66</xdr:row>
          <xdr:rowOff>9525</xdr:rowOff>
        </xdr:to>
        <xdr:sp macro="" textlink="">
          <xdr:nvSpPr>
            <xdr:cNvPr id="185364" name="CommandButton17" hidden="1">
              <a:extLst>
                <a:ext uri="{63B3BB69-23CF-44E3-9099-C40C66FF867C}">
                  <a14:compatExt spid="_x0000_s18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161925</xdr:rowOff>
        </xdr:from>
        <xdr:to>
          <xdr:col>3</xdr:col>
          <xdr:colOff>438150</xdr:colOff>
          <xdr:row>66</xdr:row>
          <xdr:rowOff>0</xdr:rowOff>
        </xdr:to>
        <xdr:sp macro="" textlink="">
          <xdr:nvSpPr>
            <xdr:cNvPr id="185365" name="CommandButton18" hidden="1">
              <a:extLst>
                <a:ext uri="{63B3BB69-23CF-44E3-9099-C40C66FF867C}">
                  <a14:compatExt spid="_x0000_s18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48</xdr:row>
          <xdr:rowOff>114300</xdr:rowOff>
        </xdr:from>
        <xdr:to>
          <xdr:col>20</xdr:col>
          <xdr:colOff>28575</xdr:colOff>
          <xdr:row>50</xdr:row>
          <xdr:rowOff>57150</xdr:rowOff>
        </xdr:to>
        <xdr:sp macro="" textlink="">
          <xdr:nvSpPr>
            <xdr:cNvPr id="185392" name="CommandButton45" hidden="1">
              <a:extLst>
                <a:ext uri="{63B3BB69-23CF-44E3-9099-C40C66FF867C}">
                  <a14:compatExt spid="_x0000_s1853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71</xdr:row>
          <xdr:rowOff>0</xdr:rowOff>
        </xdr:from>
        <xdr:to>
          <xdr:col>9</xdr:col>
          <xdr:colOff>266700</xdr:colOff>
          <xdr:row>72</xdr:row>
          <xdr:rowOff>76200</xdr:rowOff>
        </xdr:to>
        <xdr:sp macro="" textlink="">
          <xdr:nvSpPr>
            <xdr:cNvPr id="185393" name="CommandButton46" hidden="1">
              <a:extLst>
                <a:ext uri="{63B3BB69-23CF-44E3-9099-C40C66FF867C}">
                  <a14:compatExt spid="_x0000_s1853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70</xdr:row>
          <xdr:rowOff>152400</xdr:rowOff>
        </xdr:from>
        <xdr:to>
          <xdr:col>13</xdr:col>
          <xdr:colOff>19050</xdr:colOff>
          <xdr:row>72</xdr:row>
          <xdr:rowOff>47625</xdr:rowOff>
        </xdr:to>
        <xdr:sp macro="" textlink="">
          <xdr:nvSpPr>
            <xdr:cNvPr id="185394" name="CommandButton47" hidden="1">
              <a:extLst>
                <a:ext uri="{63B3BB69-23CF-44E3-9099-C40C66FF867C}">
                  <a14:compatExt spid="_x0000_s1853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46</xdr:row>
          <xdr:rowOff>85725</xdr:rowOff>
        </xdr:from>
        <xdr:to>
          <xdr:col>15</xdr:col>
          <xdr:colOff>428625</xdr:colOff>
          <xdr:row>48</xdr:row>
          <xdr:rowOff>161925</xdr:rowOff>
        </xdr:to>
        <xdr:sp macro="" textlink="">
          <xdr:nvSpPr>
            <xdr:cNvPr id="185395" name="CommandButton48" hidden="1">
              <a:extLst>
                <a:ext uri="{63B3BB69-23CF-44E3-9099-C40C66FF867C}">
                  <a14:compatExt spid="_x0000_s185395"/>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123825</xdr:colOff>
          <xdr:row>9</xdr:row>
          <xdr:rowOff>0</xdr:rowOff>
        </xdr:from>
        <xdr:to>
          <xdr:col>30</xdr:col>
          <xdr:colOff>9525</xdr:colOff>
          <xdr:row>10</xdr:row>
          <xdr:rowOff>38100</xdr:rowOff>
        </xdr:to>
        <xdr:sp macro="" textlink="">
          <xdr:nvSpPr>
            <xdr:cNvPr id="185396" name="SpinButton3" hidden="1">
              <a:extLst>
                <a:ext uri="{63B3BB69-23CF-44E3-9099-C40C66FF867C}">
                  <a14:compatExt spid="_x0000_s1853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104775</xdr:colOff>
          <xdr:row>31</xdr:row>
          <xdr:rowOff>0</xdr:rowOff>
        </xdr:from>
        <xdr:to>
          <xdr:col>30</xdr:col>
          <xdr:colOff>19050</xdr:colOff>
          <xdr:row>32</xdr:row>
          <xdr:rowOff>47625</xdr:rowOff>
        </xdr:to>
        <xdr:sp macro="" textlink="">
          <xdr:nvSpPr>
            <xdr:cNvPr id="185397" name="SpinButton4" hidden="1">
              <a:extLst>
                <a:ext uri="{63B3BB69-23CF-44E3-9099-C40C66FF867C}">
                  <a14:compatExt spid="_x0000_s1853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609600</xdr:colOff>
          <xdr:row>71</xdr:row>
          <xdr:rowOff>0</xdr:rowOff>
        </xdr:from>
        <xdr:to>
          <xdr:col>2</xdr:col>
          <xdr:colOff>38100</xdr:colOff>
          <xdr:row>72</xdr:row>
          <xdr:rowOff>9525</xdr:rowOff>
        </xdr:to>
        <xdr:sp macro="" textlink="">
          <xdr:nvSpPr>
            <xdr:cNvPr id="185505" name="SpinButton5" hidden="1">
              <a:extLst>
                <a:ext uri="{63B3BB69-23CF-44E3-9099-C40C66FF867C}">
                  <a14:compatExt spid="_x0000_s1855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70</xdr:row>
          <xdr:rowOff>161925</xdr:rowOff>
        </xdr:from>
        <xdr:to>
          <xdr:col>4</xdr:col>
          <xdr:colOff>161925</xdr:colOff>
          <xdr:row>71</xdr:row>
          <xdr:rowOff>161925</xdr:rowOff>
        </xdr:to>
        <xdr:sp macro="" textlink="">
          <xdr:nvSpPr>
            <xdr:cNvPr id="185506" name="SpinButton6" hidden="1">
              <a:extLst>
                <a:ext uri="{63B3BB69-23CF-44E3-9099-C40C66FF867C}">
                  <a14:compatExt spid="_x0000_s1855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152400</xdr:colOff>
          <xdr:row>53</xdr:row>
          <xdr:rowOff>142875</xdr:rowOff>
        </xdr:from>
        <xdr:to>
          <xdr:col>9</xdr:col>
          <xdr:colOff>142875</xdr:colOff>
          <xdr:row>54</xdr:row>
          <xdr:rowOff>161925</xdr:rowOff>
        </xdr:to>
        <xdr:sp macro="" textlink="">
          <xdr:nvSpPr>
            <xdr:cNvPr id="185685" name="OptionButton4" hidden="1">
              <a:extLst>
                <a:ext uri="{63B3BB69-23CF-44E3-9099-C40C66FF867C}">
                  <a14:compatExt spid="_x0000_s1856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381000</xdr:colOff>
          <xdr:row>53</xdr:row>
          <xdr:rowOff>142875</xdr:rowOff>
        </xdr:from>
        <xdr:to>
          <xdr:col>11</xdr:col>
          <xdr:colOff>219075</xdr:colOff>
          <xdr:row>54</xdr:row>
          <xdr:rowOff>161925</xdr:rowOff>
        </xdr:to>
        <xdr:sp macro="" textlink="">
          <xdr:nvSpPr>
            <xdr:cNvPr id="185686" name="OptionButton5" hidden="1">
              <a:extLst>
                <a:ext uri="{63B3BB69-23CF-44E3-9099-C40C66FF867C}">
                  <a14:compatExt spid="_x0000_s1856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53</xdr:row>
          <xdr:rowOff>142875</xdr:rowOff>
        </xdr:from>
        <xdr:to>
          <xdr:col>13</xdr:col>
          <xdr:colOff>0</xdr:colOff>
          <xdr:row>54</xdr:row>
          <xdr:rowOff>161925</xdr:rowOff>
        </xdr:to>
        <xdr:sp macro="" textlink="">
          <xdr:nvSpPr>
            <xdr:cNvPr id="185687" name="OptionButton6" hidden="1">
              <a:extLst>
                <a:ext uri="{63B3BB69-23CF-44E3-9099-C40C66FF867C}">
                  <a14:compatExt spid="_x0000_s1856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54</xdr:row>
          <xdr:rowOff>142875</xdr:rowOff>
        </xdr:from>
        <xdr:to>
          <xdr:col>10</xdr:col>
          <xdr:colOff>19050</xdr:colOff>
          <xdr:row>56</xdr:row>
          <xdr:rowOff>38100</xdr:rowOff>
        </xdr:to>
        <xdr:sp macro="" textlink="">
          <xdr:nvSpPr>
            <xdr:cNvPr id="185688" name="CommandButton3" hidden="1">
              <a:extLst>
                <a:ext uri="{63B3BB69-23CF-44E3-9099-C40C66FF867C}">
                  <a14:compatExt spid="_x0000_s1856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142875</xdr:rowOff>
        </xdr:from>
        <xdr:to>
          <xdr:col>13</xdr:col>
          <xdr:colOff>9525</xdr:colOff>
          <xdr:row>56</xdr:row>
          <xdr:rowOff>38100</xdr:rowOff>
        </xdr:to>
        <xdr:sp macro="" textlink="">
          <xdr:nvSpPr>
            <xdr:cNvPr id="185689" name="CommandButton4" hidden="1">
              <a:extLst>
                <a:ext uri="{63B3BB69-23CF-44E3-9099-C40C66FF867C}">
                  <a14:compatExt spid="_x0000_s1856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123825</xdr:colOff>
          <xdr:row>60</xdr:row>
          <xdr:rowOff>133350</xdr:rowOff>
        </xdr:from>
        <xdr:to>
          <xdr:col>9</xdr:col>
          <xdr:colOff>114300</xdr:colOff>
          <xdr:row>61</xdr:row>
          <xdr:rowOff>133350</xdr:rowOff>
        </xdr:to>
        <xdr:sp macro="" textlink="">
          <xdr:nvSpPr>
            <xdr:cNvPr id="185696" name="OptionButton7" hidden="1">
              <a:extLst>
                <a:ext uri="{63B3BB69-23CF-44E3-9099-C40C66FF867C}">
                  <a14:compatExt spid="_x0000_s1856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361950</xdr:colOff>
          <xdr:row>60</xdr:row>
          <xdr:rowOff>133350</xdr:rowOff>
        </xdr:from>
        <xdr:to>
          <xdr:col>11</xdr:col>
          <xdr:colOff>200025</xdr:colOff>
          <xdr:row>61</xdr:row>
          <xdr:rowOff>133350</xdr:rowOff>
        </xdr:to>
        <xdr:sp macro="" textlink="">
          <xdr:nvSpPr>
            <xdr:cNvPr id="185697" name="OptionButton8" hidden="1">
              <a:extLst>
                <a:ext uri="{63B3BB69-23CF-44E3-9099-C40C66FF867C}">
                  <a14:compatExt spid="_x0000_s185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60</xdr:row>
          <xdr:rowOff>133350</xdr:rowOff>
        </xdr:from>
        <xdr:to>
          <xdr:col>12</xdr:col>
          <xdr:colOff>438150</xdr:colOff>
          <xdr:row>61</xdr:row>
          <xdr:rowOff>133350</xdr:rowOff>
        </xdr:to>
        <xdr:sp macro="" textlink="">
          <xdr:nvSpPr>
            <xdr:cNvPr id="185698" name="OptionButton9" hidden="1">
              <a:extLst>
                <a:ext uri="{63B3BB69-23CF-44E3-9099-C40C66FF867C}">
                  <a14:compatExt spid="_x0000_s1856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61</xdr:row>
          <xdr:rowOff>133350</xdr:rowOff>
        </xdr:from>
        <xdr:to>
          <xdr:col>10</xdr:col>
          <xdr:colOff>19050</xdr:colOff>
          <xdr:row>63</xdr:row>
          <xdr:rowOff>28575</xdr:rowOff>
        </xdr:to>
        <xdr:sp macro="" textlink="">
          <xdr:nvSpPr>
            <xdr:cNvPr id="185699" name="CommandButton5" hidden="1">
              <a:extLst>
                <a:ext uri="{63B3BB69-23CF-44E3-9099-C40C66FF867C}">
                  <a14:compatExt spid="_x0000_s1856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133350</xdr:rowOff>
        </xdr:from>
        <xdr:to>
          <xdr:col>13</xdr:col>
          <xdr:colOff>9525</xdr:colOff>
          <xdr:row>63</xdr:row>
          <xdr:rowOff>28575</xdr:rowOff>
        </xdr:to>
        <xdr:sp macro="" textlink="">
          <xdr:nvSpPr>
            <xdr:cNvPr id="185700" name="CommandButton6" hidden="1">
              <a:extLst>
                <a:ext uri="{63B3BB69-23CF-44E3-9099-C40C66FF867C}">
                  <a14:compatExt spid="_x0000_s1857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Calcls\7SA6-7SD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Characteristic"/>
      <sheetName val="7SD522"/>
      <sheetName val="EF calcs"/>
    </sheetNames>
    <sheetDataSet>
      <sheetData sheetId="0">
        <row r="10">
          <cell r="I10">
            <v>0.02</v>
          </cell>
          <cell r="T10">
            <v>1</v>
          </cell>
        </row>
        <row r="34">
          <cell r="Z34">
            <v>100</v>
          </cell>
        </row>
        <row r="38">
          <cell r="G38">
            <v>0</v>
          </cell>
          <cell r="K38">
            <v>2</v>
          </cell>
        </row>
      </sheetData>
      <sheetData sheetId="1" refreshError="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image" Target="../media/image57.emf"/><Relationship Id="rId21" Type="http://schemas.openxmlformats.org/officeDocument/2006/relationships/image" Target="../media/image9.emf"/><Relationship Id="rId42" Type="http://schemas.openxmlformats.org/officeDocument/2006/relationships/control" Target="../activeX/activeX20.xml"/><Relationship Id="rId63" Type="http://schemas.openxmlformats.org/officeDocument/2006/relationships/image" Target="../media/image30.emf"/><Relationship Id="rId84" Type="http://schemas.openxmlformats.org/officeDocument/2006/relationships/control" Target="../activeX/activeX41.xml"/><Relationship Id="rId138" Type="http://schemas.openxmlformats.org/officeDocument/2006/relationships/image" Target="../media/image66.emf"/><Relationship Id="rId159" Type="http://schemas.openxmlformats.org/officeDocument/2006/relationships/ctrlProp" Target="../ctrlProps/ctrlProp1.xml"/><Relationship Id="rId170" Type="http://schemas.openxmlformats.org/officeDocument/2006/relationships/ctrlProp" Target="../ctrlProps/ctrlProp12.xml"/><Relationship Id="rId107" Type="http://schemas.openxmlformats.org/officeDocument/2006/relationships/image" Target="../media/image52.emf"/><Relationship Id="rId11" Type="http://schemas.openxmlformats.org/officeDocument/2006/relationships/image" Target="../media/image4.emf"/><Relationship Id="rId32" Type="http://schemas.openxmlformats.org/officeDocument/2006/relationships/control" Target="../activeX/activeX15.xml"/><Relationship Id="rId53" Type="http://schemas.openxmlformats.org/officeDocument/2006/relationships/image" Target="../media/image25.emf"/><Relationship Id="rId74" Type="http://schemas.openxmlformats.org/officeDocument/2006/relationships/control" Target="../activeX/activeX36.xml"/><Relationship Id="rId128" Type="http://schemas.openxmlformats.org/officeDocument/2006/relationships/control" Target="../activeX/activeX64.xml"/><Relationship Id="rId149" Type="http://schemas.openxmlformats.org/officeDocument/2006/relationships/control" Target="../activeX/activeX75.xml"/><Relationship Id="rId5" Type="http://schemas.openxmlformats.org/officeDocument/2006/relationships/image" Target="../media/image1.emf"/><Relationship Id="rId95" Type="http://schemas.openxmlformats.org/officeDocument/2006/relationships/image" Target="../media/image46.emf"/><Relationship Id="rId160" Type="http://schemas.openxmlformats.org/officeDocument/2006/relationships/ctrlProp" Target="../ctrlProps/ctrlProp2.xml"/><Relationship Id="rId22" Type="http://schemas.openxmlformats.org/officeDocument/2006/relationships/control" Target="../activeX/activeX10.xml"/><Relationship Id="rId43" Type="http://schemas.openxmlformats.org/officeDocument/2006/relationships/image" Target="../media/image20.emf"/><Relationship Id="rId64" Type="http://schemas.openxmlformats.org/officeDocument/2006/relationships/control" Target="../activeX/activeX31.xml"/><Relationship Id="rId118" Type="http://schemas.openxmlformats.org/officeDocument/2006/relationships/control" Target="../activeX/activeX58.xml"/><Relationship Id="rId139" Type="http://schemas.openxmlformats.org/officeDocument/2006/relationships/control" Target="../activeX/activeX70.xml"/><Relationship Id="rId85" Type="http://schemas.openxmlformats.org/officeDocument/2006/relationships/image" Target="../media/image41.emf"/><Relationship Id="rId150" Type="http://schemas.openxmlformats.org/officeDocument/2006/relationships/image" Target="../media/image72.emf"/><Relationship Id="rId171" Type="http://schemas.openxmlformats.org/officeDocument/2006/relationships/ctrlProp" Target="../ctrlProps/ctrlProp13.xml"/><Relationship Id="rId12" Type="http://schemas.openxmlformats.org/officeDocument/2006/relationships/control" Target="../activeX/activeX5.xml"/><Relationship Id="rId33" Type="http://schemas.openxmlformats.org/officeDocument/2006/relationships/image" Target="../media/image15.emf"/><Relationship Id="rId108" Type="http://schemas.openxmlformats.org/officeDocument/2006/relationships/control" Target="../activeX/activeX53.xml"/><Relationship Id="rId129" Type="http://schemas.openxmlformats.org/officeDocument/2006/relationships/control" Target="../activeX/activeX65.xml"/><Relationship Id="rId54" Type="http://schemas.openxmlformats.org/officeDocument/2006/relationships/control" Target="../activeX/activeX26.xml"/><Relationship Id="rId75" Type="http://schemas.openxmlformats.org/officeDocument/2006/relationships/image" Target="../media/image36.emf"/><Relationship Id="rId96" Type="http://schemas.openxmlformats.org/officeDocument/2006/relationships/control" Target="../activeX/activeX47.xml"/><Relationship Id="rId140" Type="http://schemas.openxmlformats.org/officeDocument/2006/relationships/image" Target="../media/image67.emf"/><Relationship Id="rId161" Type="http://schemas.openxmlformats.org/officeDocument/2006/relationships/ctrlProp" Target="../ctrlProps/ctrlProp3.xml"/><Relationship Id="rId1" Type="http://schemas.openxmlformats.org/officeDocument/2006/relationships/printerSettings" Target="../printerSettings/printerSettings1.bin"/><Relationship Id="rId6" Type="http://schemas.openxmlformats.org/officeDocument/2006/relationships/control" Target="../activeX/activeX2.xml"/><Relationship Id="rId23" Type="http://schemas.openxmlformats.org/officeDocument/2006/relationships/image" Target="../media/image10.emf"/><Relationship Id="rId28" Type="http://schemas.openxmlformats.org/officeDocument/2006/relationships/control" Target="../activeX/activeX13.xml"/><Relationship Id="rId49" Type="http://schemas.openxmlformats.org/officeDocument/2006/relationships/image" Target="../media/image23.emf"/><Relationship Id="rId114" Type="http://schemas.openxmlformats.org/officeDocument/2006/relationships/control" Target="../activeX/activeX56.xml"/><Relationship Id="rId119" Type="http://schemas.openxmlformats.org/officeDocument/2006/relationships/image" Target="../media/image58.emf"/><Relationship Id="rId44" Type="http://schemas.openxmlformats.org/officeDocument/2006/relationships/control" Target="../activeX/activeX21.xml"/><Relationship Id="rId60" Type="http://schemas.openxmlformats.org/officeDocument/2006/relationships/control" Target="../activeX/activeX29.xml"/><Relationship Id="rId65" Type="http://schemas.openxmlformats.org/officeDocument/2006/relationships/image" Target="../media/image31.emf"/><Relationship Id="rId81" Type="http://schemas.openxmlformats.org/officeDocument/2006/relationships/image" Target="../media/image39.emf"/><Relationship Id="rId86" Type="http://schemas.openxmlformats.org/officeDocument/2006/relationships/control" Target="../activeX/activeX42.xml"/><Relationship Id="rId130" Type="http://schemas.openxmlformats.org/officeDocument/2006/relationships/image" Target="../media/image62.emf"/><Relationship Id="rId135" Type="http://schemas.openxmlformats.org/officeDocument/2006/relationships/control" Target="../activeX/activeX68.xml"/><Relationship Id="rId151" Type="http://schemas.openxmlformats.org/officeDocument/2006/relationships/control" Target="../activeX/activeX76.xml"/><Relationship Id="rId156" Type="http://schemas.openxmlformats.org/officeDocument/2006/relationships/image" Target="../media/image75.emf"/><Relationship Id="rId172" Type="http://schemas.openxmlformats.org/officeDocument/2006/relationships/ctrlProp" Target="../ctrlProps/ctrlProp14.xml"/><Relationship Id="rId13" Type="http://schemas.openxmlformats.org/officeDocument/2006/relationships/image" Target="../media/image5.emf"/><Relationship Id="rId18" Type="http://schemas.openxmlformats.org/officeDocument/2006/relationships/control" Target="../activeX/activeX8.xml"/><Relationship Id="rId39" Type="http://schemas.openxmlformats.org/officeDocument/2006/relationships/image" Target="../media/image18.emf"/><Relationship Id="rId109" Type="http://schemas.openxmlformats.org/officeDocument/2006/relationships/image" Target="../media/image53.emf"/><Relationship Id="rId34" Type="http://schemas.openxmlformats.org/officeDocument/2006/relationships/control" Target="../activeX/activeX16.xml"/><Relationship Id="rId50" Type="http://schemas.openxmlformats.org/officeDocument/2006/relationships/control" Target="../activeX/activeX24.xml"/><Relationship Id="rId55" Type="http://schemas.openxmlformats.org/officeDocument/2006/relationships/image" Target="../media/image26.emf"/><Relationship Id="rId76" Type="http://schemas.openxmlformats.org/officeDocument/2006/relationships/control" Target="../activeX/activeX37.xml"/><Relationship Id="rId97" Type="http://schemas.openxmlformats.org/officeDocument/2006/relationships/image" Target="../media/image47.emf"/><Relationship Id="rId104" Type="http://schemas.openxmlformats.org/officeDocument/2006/relationships/control" Target="../activeX/activeX51.xml"/><Relationship Id="rId120" Type="http://schemas.openxmlformats.org/officeDocument/2006/relationships/control" Target="../activeX/activeX59.xml"/><Relationship Id="rId125" Type="http://schemas.openxmlformats.org/officeDocument/2006/relationships/image" Target="../media/image61.emf"/><Relationship Id="rId141" Type="http://schemas.openxmlformats.org/officeDocument/2006/relationships/control" Target="../activeX/activeX71.xml"/><Relationship Id="rId146" Type="http://schemas.openxmlformats.org/officeDocument/2006/relationships/image" Target="../media/image70.emf"/><Relationship Id="rId167" Type="http://schemas.openxmlformats.org/officeDocument/2006/relationships/ctrlProp" Target="../ctrlProps/ctrlProp9.xml"/><Relationship Id="rId7" Type="http://schemas.openxmlformats.org/officeDocument/2006/relationships/image" Target="../media/image2.emf"/><Relationship Id="rId71" Type="http://schemas.openxmlformats.org/officeDocument/2006/relationships/image" Target="../media/image34.emf"/><Relationship Id="rId92" Type="http://schemas.openxmlformats.org/officeDocument/2006/relationships/control" Target="../activeX/activeX45.xml"/><Relationship Id="rId162" Type="http://schemas.openxmlformats.org/officeDocument/2006/relationships/ctrlProp" Target="../ctrlProps/ctrlProp4.xml"/><Relationship Id="rId2" Type="http://schemas.openxmlformats.org/officeDocument/2006/relationships/drawing" Target="../drawings/drawing1.xml"/><Relationship Id="rId29" Type="http://schemas.openxmlformats.org/officeDocument/2006/relationships/image" Target="../media/image13.emf"/><Relationship Id="rId24" Type="http://schemas.openxmlformats.org/officeDocument/2006/relationships/control" Target="../activeX/activeX11.xml"/><Relationship Id="rId40" Type="http://schemas.openxmlformats.org/officeDocument/2006/relationships/control" Target="../activeX/activeX19.xml"/><Relationship Id="rId45" Type="http://schemas.openxmlformats.org/officeDocument/2006/relationships/image" Target="../media/image21.emf"/><Relationship Id="rId66" Type="http://schemas.openxmlformats.org/officeDocument/2006/relationships/control" Target="../activeX/activeX32.xml"/><Relationship Id="rId87" Type="http://schemas.openxmlformats.org/officeDocument/2006/relationships/image" Target="../media/image42.emf"/><Relationship Id="rId110" Type="http://schemas.openxmlformats.org/officeDocument/2006/relationships/control" Target="../activeX/activeX54.xml"/><Relationship Id="rId115" Type="http://schemas.openxmlformats.org/officeDocument/2006/relationships/image" Target="../media/image56.emf"/><Relationship Id="rId131" Type="http://schemas.openxmlformats.org/officeDocument/2006/relationships/control" Target="../activeX/activeX66.xml"/><Relationship Id="rId136" Type="http://schemas.openxmlformats.org/officeDocument/2006/relationships/image" Target="../media/image65.emf"/><Relationship Id="rId157" Type="http://schemas.openxmlformats.org/officeDocument/2006/relationships/control" Target="../activeX/activeX79.xml"/><Relationship Id="rId61" Type="http://schemas.openxmlformats.org/officeDocument/2006/relationships/image" Target="../media/image29.emf"/><Relationship Id="rId82" Type="http://schemas.openxmlformats.org/officeDocument/2006/relationships/control" Target="../activeX/activeX40.xml"/><Relationship Id="rId152" Type="http://schemas.openxmlformats.org/officeDocument/2006/relationships/image" Target="../media/image73.emf"/><Relationship Id="rId173" Type="http://schemas.openxmlformats.org/officeDocument/2006/relationships/comments" Target="../comments1.xml"/><Relationship Id="rId19" Type="http://schemas.openxmlformats.org/officeDocument/2006/relationships/image" Target="../media/image8.emf"/><Relationship Id="rId14" Type="http://schemas.openxmlformats.org/officeDocument/2006/relationships/control" Target="../activeX/activeX6.xml"/><Relationship Id="rId30" Type="http://schemas.openxmlformats.org/officeDocument/2006/relationships/control" Target="../activeX/activeX14.xml"/><Relationship Id="rId35" Type="http://schemas.openxmlformats.org/officeDocument/2006/relationships/image" Target="../media/image16.emf"/><Relationship Id="rId56" Type="http://schemas.openxmlformats.org/officeDocument/2006/relationships/control" Target="../activeX/activeX27.xml"/><Relationship Id="rId77" Type="http://schemas.openxmlformats.org/officeDocument/2006/relationships/image" Target="../media/image37.emf"/><Relationship Id="rId100" Type="http://schemas.openxmlformats.org/officeDocument/2006/relationships/control" Target="../activeX/activeX49.xml"/><Relationship Id="rId105" Type="http://schemas.openxmlformats.org/officeDocument/2006/relationships/image" Target="../media/image51.emf"/><Relationship Id="rId126" Type="http://schemas.openxmlformats.org/officeDocument/2006/relationships/control" Target="../activeX/activeX62.xml"/><Relationship Id="rId147" Type="http://schemas.openxmlformats.org/officeDocument/2006/relationships/control" Target="../activeX/activeX74.xml"/><Relationship Id="rId168" Type="http://schemas.openxmlformats.org/officeDocument/2006/relationships/ctrlProp" Target="../ctrlProps/ctrlProp10.xml"/><Relationship Id="rId8" Type="http://schemas.openxmlformats.org/officeDocument/2006/relationships/control" Target="../activeX/activeX3.xml"/><Relationship Id="rId51" Type="http://schemas.openxmlformats.org/officeDocument/2006/relationships/image" Target="../media/image24.emf"/><Relationship Id="rId72" Type="http://schemas.openxmlformats.org/officeDocument/2006/relationships/control" Target="../activeX/activeX35.xml"/><Relationship Id="rId93" Type="http://schemas.openxmlformats.org/officeDocument/2006/relationships/image" Target="../media/image45.emf"/><Relationship Id="rId98" Type="http://schemas.openxmlformats.org/officeDocument/2006/relationships/control" Target="../activeX/activeX48.xml"/><Relationship Id="rId121" Type="http://schemas.openxmlformats.org/officeDocument/2006/relationships/image" Target="../media/image59.emf"/><Relationship Id="rId142" Type="http://schemas.openxmlformats.org/officeDocument/2006/relationships/image" Target="../media/image68.emf"/><Relationship Id="rId163" Type="http://schemas.openxmlformats.org/officeDocument/2006/relationships/ctrlProp" Target="../ctrlProps/ctrlProp5.xml"/><Relationship Id="rId3" Type="http://schemas.openxmlformats.org/officeDocument/2006/relationships/vmlDrawing" Target="../drawings/vmlDrawing1.vml"/><Relationship Id="rId25" Type="http://schemas.openxmlformats.org/officeDocument/2006/relationships/image" Target="../media/image11.emf"/><Relationship Id="rId46" Type="http://schemas.openxmlformats.org/officeDocument/2006/relationships/control" Target="../activeX/activeX22.xml"/><Relationship Id="rId67" Type="http://schemas.openxmlformats.org/officeDocument/2006/relationships/image" Target="../media/image32.emf"/><Relationship Id="rId116" Type="http://schemas.openxmlformats.org/officeDocument/2006/relationships/control" Target="../activeX/activeX57.xml"/><Relationship Id="rId137" Type="http://schemas.openxmlformats.org/officeDocument/2006/relationships/control" Target="../activeX/activeX69.xml"/><Relationship Id="rId158" Type="http://schemas.openxmlformats.org/officeDocument/2006/relationships/image" Target="../media/image76.emf"/><Relationship Id="rId20" Type="http://schemas.openxmlformats.org/officeDocument/2006/relationships/control" Target="../activeX/activeX9.xml"/><Relationship Id="rId41" Type="http://schemas.openxmlformats.org/officeDocument/2006/relationships/image" Target="../media/image19.emf"/><Relationship Id="rId62" Type="http://schemas.openxmlformats.org/officeDocument/2006/relationships/control" Target="../activeX/activeX30.xml"/><Relationship Id="rId83" Type="http://schemas.openxmlformats.org/officeDocument/2006/relationships/image" Target="../media/image40.emf"/><Relationship Id="rId88" Type="http://schemas.openxmlformats.org/officeDocument/2006/relationships/control" Target="../activeX/activeX43.xml"/><Relationship Id="rId111" Type="http://schemas.openxmlformats.org/officeDocument/2006/relationships/image" Target="../media/image54.emf"/><Relationship Id="rId132" Type="http://schemas.openxmlformats.org/officeDocument/2006/relationships/image" Target="../media/image63.emf"/><Relationship Id="rId153" Type="http://schemas.openxmlformats.org/officeDocument/2006/relationships/control" Target="../activeX/activeX77.xml"/><Relationship Id="rId15" Type="http://schemas.openxmlformats.org/officeDocument/2006/relationships/image" Target="../media/image6.emf"/><Relationship Id="rId36" Type="http://schemas.openxmlformats.org/officeDocument/2006/relationships/control" Target="../activeX/activeX17.xml"/><Relationship Id="rId57" Type="http://schemas.openxmlformats.org/officeDocument/2006/relationships/image" Target="../media/image27.emf"/><Relationship Id="rId106" Type="http://schemas.openxmlformats.org/officeDocument/2006/relationships/control" Target="../activeX/activeX52.xml"/><Relationship Id="rId127" Type="http://schemas.openxmlformats.org/officeDocument/2006/relationships/control" Target="../activeX/activeX63.xml"/><Relationship Id="rId10" Type="http://schemas.openxmlformats.org/officeDocument/2006/relationships/control" Target="../activeX/activeX4.xml"/><Relationship Id="rId31" Type="http://schemas.openxmlformats.org/officeDocument/2006/relationships/image" Target="../media/image14.emf"/><Relationship Id="rId52" Type="http://schemas.openxmlformats.org/officeDocument/2006/relationships/control" Target="../activeX/activeX25.xml"/><Relationship Id="rId73" Type="http://schemas.openxmlformats.org/officeDocument/2006/relationships/image" Target="../media/image35.emf"/><Relationship Id="rId78" Type="http://schemas.openxmlformats.org/officeDocument/2006/relationships/control" Target="../activeX/activeX38.xml"/><Relationship Id="rId94" Type="http://schemas.openxmlformats.org/officeDocument/2006/relationships/control" Target="../activeX/activeX46.xml"/><Relationship Id="rId99" Type="http://schemas.openxmlformats.org/officeDocument/2006/relationships/image" Target="../media/image48.emf"/><Relationship Id="rId101" Type="http://schemas.openxmlformats.org/officeDocument/2006/relationships/image" Target="../media/image49.emf"/><Relationship Id="rId122" Type="http://schemas.openxmlformats.org/officeDocument/2006/relationships/control" Target="../activeX/activeX60.xml"/><Relationship Id="rId143" Type="http://schemas.openxmlformats.org/officeDocument/2006/relationships/control" Target="../activeX/activeX72.xml"/><Relationship Id="rId148" Type="http://schemas.openxmlformats.org/officeDocument/2006/relationships/image" Target="../media/image71.emf"/><Relationship Id="rId164" Type="http://schemas.openxmlformats.org/officeDocument/2006/relationships/ctrlProp" Target="../ctrlProps/ctrlProp6.xml"/><Relationship Id="rId169" Type="http://schemas.openxmlformats.org/officeDocument/2006/relationships/ctrlProp" Target="../ctrlProps/ctrlProp11.xml"/><Relationship Id="rId4" Type="http://schemas.openxmlformats.org/officeDocument/2006/relationships/control" Target="../activeX/activeX1.xml"/><Relationship Id="rId9" Type="http://schemas.openxmlformats.org/officeDocument/2006/relationships/image" Target="../media/image3.emf"/><Relationship Id="rId26" Type="http://schemas.openxmlformats.org/officeDocument/2006/relationships/control" Target="../activeX/activeX12.xml"/><Relationship Id="rId47" Type="http://schemas.openxmlformats.org/officeDocument/2006/relationships/image" Target="../media/image22.emf"/><Relationship Id="rId68" Type="http://schemas.openxmlformats.org/officeDocument/2006/relationships/control" Target="../activeX/activeX33.xml"/><Relationship Id="rId89" Type="http://schemas.openxmlformats.org/officeDocument/2006/relationships/image" Target="../media/image43.emf"/><Relationship Id="rId112" Type="http://schemas.openxmlformats.org/officeDocument/2006/relationships/control" Target="../activeX/activeX55.xml"/><Relationship Id="rId133" Type="http://schemas.openxmlformats.org/officeDocument/2006/relationships/control" Target="../activeX/activeX67.xml"/><Relationship Id="rId154" Type="http://schemas.openxmlformats.org/officeDocument/2006/relationships/image" Target="../media/image74.emf"/><Relationship Id="rId16" Type="http://schemas.openxmlformats.org/officeDocument/2006/relationships/control" Target="../activeX/activeX7.xml"/><Relationship Id="rId37" Type="http://schemas.openxmlformats.org/officeDocument/2006/relationships/image" Target="../media/image17.emf"/><Relationship Id="rId58" Type="http://schemas.openxmlformats.org/officeDocument/2006/relationships/control" Target="../activeX/activeX28.xml"/><Relationship Id="rId79" Type="http://schemas.openxmlformats.org/officeDocument/2006/relationships/image" Target="../media/image38.emf"/><Relationship Id="rId102" Type="http://schemas.openxmlformats.org/officeDocument/2006/relationships/control" Target="../activeX/activeX50.xml"/><Relationship Id="rId123" Type="http://schemas.openxmlformats.org/officeDocument/2006/relationships/image" Target="../media/image60.emf"/><Relationship Id="rId144" Type="http://schemas.openxmlformats.org/officeDocument/2006/relationships/image" Target="../media/image69.emf"/><Relationship Id="rId90" Type="http://schemas.openxmlformats.org/officeDocument/2006/relationships/control" Target="../activeX/activeX44.xml"/><Relationship Id="rId165" Type="http://schemas.openxmlformats.org/officeDocument/2006/relationships/ctrlProp" Target="../ctrlProps/ctrlProp7.xml"/><Relationship Id="rId27" Type="http://schemas.openxmlformats.org/officeDocument/2006/relationships/image" Target="../media/image12.emf"/><Relationship Id="rId48" Type="http://schemas.openxmlformats.org/officeDocument/2006/relationships/control" Target="../activeX/activeX23.xml"/><Relationship Id="rId69" Type="http://schemas.openxmlformats.org/officeDocument/2006/relationships/image" Target="../media/image33.emf"/><Relationship Id="rId113" Type="http://schemas.openxmlformats.org/officeDocument/2006/relationships/image" Target="../media/image55.emf"/><Relationship Id="rId134" Type="http://schemas.openxmlformats.org/officeDocument/2006/relationships/image" Target="../media/image64.emf"/><Relationship Id="rId80" Type="http://schemas.openxmlformats.org/officeDocument/2006/relationships/control" Target="../activeX/activeX39.xml"/><Relationship Id="rId155" Type="http://schemas.openxmlformats.org/officeDocument/2006/relationships/control" Target="../activeX/activeX78.xml"/><Relationship Id="rId17" Type="http://schemas.openxmlformats.org/officeDocument/2006/relationships/image" Target="../media/image7.emf"/><Relationship Id="rId38" Type="http://schemas.openxmlformats.org/officeDocument/2006/relationships/control" Target="../activeX/activeX18.xml"/><Relationship Id="rId59" Type="http://schemas.openxmlformats.org/officeDocument/2006/relationships/image" Target="../media/image28.emf"/><Relationship Id="rId103" Type="http://schemas.openxmlformats.org/officeDocument/2006/relationships/image" Target="../media/image50.emf"/><Relationship Id="rId124" Type="http://schemas.openxmlformats.org/officeDocument/2006/relationships/control" Target="../activeX/activeX61.xml"/><Relationship Id="rId70" Type="http://schemas.openxmlformats.org/officeDocument/2006/relationships/control" Target="../activeX/activeX34.xml"/><Relationship Id="rId91" Type="http://schemas.openxmlformats.org/officeDocument/2006/relationships/image" Target="../media/image44.emf"/><Relationship Id="rId145" Type="http://schemas.openxmlformats.org/officeDocument/2006/relationships/control" Target="../activeX/activeX73.xml"/><Relationship Id="rId166"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3" Type="http://schemas.openxmlformats.org/officeDocument/2006/relationships/image" Target="../media/image81.emf"/><Relationship Id="rId18" Type="http://schemas.openxmlformats.org/officeDocument/2006/relationships/image" Target="../media/image83.emf"/><Relationship Id="rId26" Type="http://schemas.openxmlformats.org/officeDocument/2006/relationships/image" Target="../media/image87.emf"/><Relationship Id="rId39" Type="http://schemas.openxmlformats.org/officeDocument/2006/relationships/control" Target="../activeX/activeX99.xml"/><Relationship Id="rId21" Type="http://schemas.openxmlformats.org/officeDocument/2006/relationships/control" Target="../activeX/activeX89.xml"/><Relationship Id="rId34" Type="http://schemas.openxmlformats.org/officeDocument/2006/relationships/image" Target="../media/image90.emf"/><Relationship Id="rId42" Type="http://schemas.openxmlformats.org/officeDocument/2006/relationships/image" Target="../media/image94.emf"/><Relationship Id="rId47" Type="http://schemas.openxmlformats.org/officeDocument/2006/relationships/control" Target="../activeX/activeX103.xml"/><Relationship Id="rId50" Type="http://schemas.openxmlformats.org/officeDocument/2006/relationships/image" Target="../media/image98.emf"/><Relationship Id="rId7" Type="http://schemas.openxmlformats.org/officeDocument/2006/relationships/image" Target="../media/image78.emf"/><Relationship Id="rId2" Type="http://schemas.openxmlformats.org/officeDocument/2006/relationships/drawing" Target="../drawings/drawing4.xml"/><Relationship Id="rId16" Type="http://schemas.openxmlformats.org/officeDocument/2006/relationships/control" Target="../activeX/activeX86.xml"/><Relationship Id="rId29" Type="http://schemas.openxmlformats.org/officeDocument/2006/relationships/control" Target="../activeX/activeX93.xml"/><Relationship Id="rId11" Type="http://schemas.openxmlformats.org/officeDocument/2006/relationships/image" Target="../media/image80.emf"/><Relationship Id="rId24" Type="http://schemas.openxmlformats.org/officeDocument/2006/relationships/image" Target="../media/image86.emf"/><Relationship Id="rId32" Type="http://schemas.openxmlformats.org/officeDocument/2006/relationships/image" Target="../media/image89.emf"/><Relationship Id="rId37" Type="http://schemas.openxmlformats.org/officeDocument/2006/relationships/control" Target="../activeX/activeX98.xml"/><Relationship Id="rId40" Type="http://schemas.openxmlformats.org/officeDocument/2006/relationships/image" Target="../media/image93.emf"/><Relationship Id="rId45" Type="http://schemas.openxmlformats.org/officeDocument/2006/relationships/control" Target="../activeX/activeX102.xml"/><Relationship Id="rId5" Type="http://schemas.openxmlformats.org/officeDocument/2006/relationships/image" Target="../media/image77.emf"/><Relationship Id="rId15" Type="http://schemas.openxmlformats.org/officeDocument/2006/relationships/image" Target="../media/image82.emf"/><Relationship Id="rId23" Type="http://schemas.openxmlformats.org/officeDocument/2006/relationships/control" Target="../activeX/activeX90.xml"/><Relationship Id="rId28" Type="http://schemas.openxmlformats.org/officeDocument/2006/relationships/image" Target="../media/image88.emf"/><Relationship Id="rId36" Type="http://schemas.openxmlformats.org/officeDocument/2006/relationships/image" Target="../media/image91.emf"/><Relationship Id="rId49" Type="http://schemas.openxmlformats.org/officeDocument/2006/relationships/control" Target="../activeX/activeX104.xml"/><Relationship Id="rId10" Type="http://schemas.openxmlformats.org/officeDocument/2006/relationships/control" Target="../activeX/activeX83.xml"/><Relationship Id="rId19" Type="http://schemas.openxmlformats.org/officeDocument/2006/relationships/control" Target="../activeX/activeX88.xml"/><Relationship Id="rId31" Type="http://schemas.openxmlformats.org/officeDocument/2006/relationships/control" Target="../activeX/activeX95.xml"/><Relationship Id="rId44" Type="http://schemas.openxmlformats.org/officeDocument/2006/relationships/image" Target="../media/image95.emf"/><Relationship Id="rId4" Type="http://schemas.openxmlformats.org/officeDocument/2006/relationships/control" Target="../activeX/activeX80.xml"/><Relationship Id="rId9" Type="http://schemas.openxmlformats.org/officeDocument/2006/relationships/image" Target="../media/image79.emf"/><Relationship Id="rId14" Type="http://schemas.openxmlformats.org/officeDocument/2006/relationships/control" Target="../activeX/activeX85.xml"/><Relationship Id="rId22" Type="http://schemas.openxmlformats.org/officeDocument/2006/relationships/image" Target="../media/image85.emf"/><Relationship Id="rId27" Type="http://schemas.openxmlformats.org/officeDocument/2006/relationships/control" Target="../activeX/activeX92.xml"/><Relationship Id="rId30" Type="http://schemas.openxmlformats.org/officeDocument/2006/relationships/control" Target="../activeX/activeX94.xml"/><Relationship Id="rId35" Type="http://schemas.openxmlformats.org/officeDocument/2006/relationships/control" Target="../activeX/activeX97.xml"/><Relationship Id="rId43" Type="http://schemas.openxmlformats.org/officeDocument/2006/relationships/control" Target="../activeX/activeX101.xml"/><Relationship Id="rId48" Type="http://schemas.openxmlformats.org/officeDocument/2006/relationships/image" Target="../media/image97.emf"/><Relationship Id="rId8" Type="http://schemas.openxmlformats.org/officeDocument/2006/relationships/control" Target="../activeX/activeX82.xml"/><Relationship Id="rId51"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84.xml"/><Relationship Id="rId17" Type="http://schemas.openxmlformats.org/officeDocument/2006/relationships/control" Target="../activeX/activeX87.xml"/><Relationship Id="rId25" Type="http://schemas.openxmlformats.org/officeDocument/2006/relationships/control" Target="../activeX/activeX91.xml"/><Relationship Id="rId33" Type="http://schemas.openxmlformats.org/officeDocument/2006/relationships/control" Target="../activeX/activeX96.xml"/><Relationship Id="rId38" Type="http://schemas.openxmlformats.org/officeDocument/2006/relationships/image" Target="../media/image92.emf"/><Relationship Id="rId46" Type="http://schemas.openxmlformats.org/officeDocument/2006/relationships/image" Target="../media/image96.emf"/><Relationship Id="rId20" Type="http://schemas.openxmlformats.org/officeDocument/2006/relationships/image" Target="../media/image84.emf"/><Relationship Id="rId41" Type="http://schemas.openxmlformats.org/officeDocument/2006/relationships/control" Target="../activeX/activeX100.xml"/><Relationship Id="rId1" Type="http://schemas.openxmlformats.org/officeDocument/2006/relationships/printerSettings" Target="../printerSettings/printerSettings2.bin"/><Relationship Id="rId6" Type="http://schemas.openxmlformats.org/officeDocument/2006/relationships/control" Target="../activeX/activeX8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326"/>
  <sheetViews>
    <sheetView tabSelected="1" zoomScaleNormal="100" workbookViewId="0">
      <selection activeCell="Q17" sqref="Q17"/>
    </sheetView>
  </sheetViews>
  <sheetFormatPr defaultRowHeight="12.75"/>
  <cols>
    <col min="1" max="1" width="2.7109375" customWidth="1"/>
    <col min="2" max="2" width="13.5703125" customWidth="1"/>
    <col min="3" max="3" width="13.7109375" style="2" customWidth="1"/>
    <col min="4" max="4" width="11.28515625" customWidth="1"/>
    <col min="5" max="5" width="11.28515625" style="2" customWidth="1"/>
    <col min="6" max="6" width="13.7109375" customWidth="1"/>
    <col min="7" max="7" width="11.7109375" style="2" customWidth="1"/>
    <col min="8" max="8" width="6.7109375" customWidth="1"/>
    <col min="9" max="9" width="2.7109375" customWidth="1"/>
    <col min="10" max="10" width="11.7109375" customWidth="1"/>
    <col min="11" max="11" width="6.7109375" customWidth="1"/>
    <col min="12" max="12" width="2.7109375" customWidth="1"/>
    <col min="13" max="13" width="11.7109375" customWidth="1"/>
    <col min="14" max="14" width="6.7109375" customWidth="1"/>
    <col min="15" max="15" width="2.7109375" customWidth="1"/>
    <col min="16" max="16" width="11.7109375" customWidth="1"/>
    <col min="17" max="17" width="6.7109375" customWidth="1"/>
    <col min="18" max="18" width="2.7109375" customWidth="1"/>
    <col min="19" max="19" width="11.85546875" customWidth="1"/>
    <col min="20" max="20" width="6.7109375" customWidth="1"/>
    <col min="21" max="21" width="3.42578125" customWidth="1"/>
    <col min="22" max="25" width="9.28515625" customWidth="1"/>
    <col min="26" max="26" width="9.42578125" customWidth="1"/>
    <col min="27" max="27" width="8.140625" hidden="1" customWidth="1"/>
    <col min="28" max="28" width="7.85546875" hidden="1" customWidth="1"/>
    <col min="29" max="29" width="8.28515625" hidden="1" customWidth="1"/>
    <col min="30" max="38" width="10.7109375" hidden="1" customWidth="1"/>
    <col min="39" max="41" width="9.140625" hidden="1" customWidth="1"/>
  </cols>
  <sheetData>
    <row r="1" spans="1:41" ht="20.100000000000001" customHeight="1" thickBot="1">
      <c r="A1" s="251"/>
      <c r="B1" s="630" t="s">
        <v>0</v>
      </c>
      <c r="C1" s="800" t="s">
        <v>1188</v>
      </c>
      <c r="D1" s="251"/>
      <c r="E1" s="631" t="s">
        <v>1</v>
      </c>
      <c r="F1" s="801" t="s">
        <v>1189</v>
      </c>
      <c r="G1" s="632"/>
      <c r="H1" s="251"/>
      <c r="I1" s="902"/>
      <c r="J1" s="902" t="s">
        <v>1091</v>
      </c>
      <c r="K1" s="632">
        <v>107</v>
      </c>
      <c r="L1" s="251"/>
      <c r="M1" s="251"/>
      <c r="N1" s="251"/>
      <c r="O1" s="251"/>
      <c r="P1" s="251"/>
      <c r="Q1" s="251"/>
      <c r="R1" s="251"/>
      <c r="S1" s="251"/>
      <c r="T1" s="251"/>
      <c r="U1" s="251"/>
      <c r="V1" s="251"/>
      <c r="W1" s="596">
        <v>40780</v>
      </c>
      <c r="X1" s="251"/>
      <c r="AA1" s="640" t="s">
        <v>900</v>
      </c>
      <c r="AB1" s="640" t="b">
        <v>1</v>
      </c>
      <c r="AC1" s="640"/>
      <c r="AD1" s="1146" t="s">
        <v>916</v>
      </c>
      <c r="AE1" s="1147"/>
      <c r="AF1" s="1147"/>
      <c r="AG1" s="1148"/>
      <c r="AH1" s="682" t="s">
        <v>1092</v>
      </c>
      <c r="AI1" s="523">
        <f>K1/(C3*1.732)*1000/C5*In</f>
        <v>0.44929666176779337</v>
      </c>
      <c r="AJ1" s="1136" t="s">
        <v>84</v>
      </c>
      <c r="AK1" s="1136"/>
      <c r="AL1" s="1137"/>
      <c r="AN1" s="682" t="s">
        <v>1128</v>
      </c>
      <c r="AO1" s="116"/>
    </row>
    <row r="2" spans="1:41" ht="13.5" thickBot="1">
      <c r="A2" s="251"/>
      <c r="B2" s="585"/>
      <c r="C2" s="336"/>
      <c r="D2" s="251"/>
      <c r="E2" s="585"/>
      <c r="F2" s="336"/>
      <c r="G2" s="595"/>
      <c r="H2" s="251"/>
      <c r="I2" s="251"/>
      <c r="J2" s="251"/>
      <c r="K2" s="251"/>
      <c r="L2" s="251"/>
      <c r="M2" s="251"/>
      <c r="N2" s="251"/>
      <c r="O2" s="251"/>
      <c r="P2" s="251"/>
      <c r="Q2" s="1143" t="s">
        <v>874</v>
      </c>
      <c r="R2" s="1144"/>
      <c r="S2" s="1145"/>
      <c r="T2" s="251"/>
      <c r="U2" s="251"/>
      <c r="V2" s="251"/>
      <c r="W2" s="251"/>
      <c r="X2" s="251"/>
      <c r="AA2" s="640"/>
      <c r="AB2" s="640"/>
      <c r="AC2" s="640"/>
      <c r="AD2" s="687">
        <f>BRRS</f>
        <v>8</v>
      </c>
      <c r="AE2" s="688">
        <f>BFLS</f>
        <v>120</v>
      </c>
      <c r="AF2" s="688">
        <f>BRRG</f>
        <v>22.7</v>
      </c>
      <c r="AG2" s="689">
        <f>BFLG</f>
        <v>120</v>
      </c>
      <c r="AJ2" s="878" t="s">
        <v>993</v>
      </c>
      <c r="AK2" s="1078" t="s">
        <v>877</v>
      </c>
      <c r="AL2" s="879">
        <f>IF(AK2="On(1)",T9,9999)</f>
        <v>3</v>
      </c>
      <c r="AN2" s="682" t="s">
        <v>1129</v>
      </c>
      <c r="AO2" s="116"/>
    </row>
    <row r="3" spans="1:41" s="10" customFormat="1" ht="12" customHeight="1" thickBot="1">
      <c r="A3" s="586"/>
      <c r="B3" s="587" t="s">
        <v>875</v>
      </c>
      <c r="C3" s="588">
        <v>110</v>
      </c>
      <c r="D3" s="225"/>
      <c r="E3" s="930"/>
      <c r="F3" s="586"/>
      <c r="G3" s="586"/>
      <c r="H3" s="586"/>
      <c r="I3" s="586"/>
      <c r="J3" s="586"/>
      <c r="K3" s="586"/>
      <c r="L3" s="586"/>
      <c r="M3" s="586"/>
      <c r="N3" s="586"/>
      <c r="O3" s="586"/>
      <c r="P3" s="586"/>
      <c r="Q3" s="641"/>
      <c r="R3" s="642"/>
      <c r="S3" s="643"/>
      <c r="T3" s="586"/>
      <c r="U3" s="586"/>
      <c r="V3" s="596"/>
      <c r="W3" s="586"/>
      <c r="X3" s="586"/>
      <c r="AB3" s="351" t="str">
        <f>AB5&amp;"A"</f>
        <v>1A</v>
      </c>
      <c r="AC3" s="348" t="s">
        <v>717</v>
      </c>
      <c r="AD3" s="1149" t="s">
        <v>2</v>
      </c>
      <c r="AE3" s="1150"/>
      <c r="AF3" s="1150"/>
      <c r="AG3" s="1150"/>
      <c r="AH3" s="1151"/>
      <c r="AI3"/>
      <c r="AJ3" s="878" t="s">
        <v>65</v>
      </c>
      <c r="AK3" s="1079" t="s">
        <v>876</v>
      </c>
      <c r="AL3" s="1140" t="str">
        <f>IF(AK4="On(1)","Z3",IF(AK3="On(1)","Z2","Off"))</f>
        <v>Off</v>
      </c>
      <c r="AN3" s="682" t="s">
        <v>1130</v>
      </c>
      <c r="AO3" s="984"/>
    </row>
    <row r="4" spans="1:41" s="10" customFormat="1" ht="12" customHeight="1">
      <c r="A4" s="586"/>
      <c r="B4" s="589" t="s">
        <v>869</v>
      </c>
      <c r="C4" s="590">
        <v>100</v>
      </c>
      <c r="D4" s="166"/>
      <c r="E4" s="930"/>
      <c r="F4" s="586"/>
      <c r="G4" s="586"/>
      <c r="H4" s="586"/>
      <c r="I4" s="586"/>
      <c r="J4" s="586"/>
      <c r="K4" s="586"/>
      <c r="L4" s="586"/>
      <c r="M4" s="586"/>
      <c r="N4" s="586"/>
      <c r="O4" s="586"/>
      <c r="P4" s="586"/>
      <c r="Q4" s="1152" t="s">
        <v>873</v>
      </c>
      <c r="R4" s="1153"/>
      <c r="S4" s="639" t="str">
        <f>IF($AB$1=TRUE,"2, 4, 6, 7","1, 3, 5, 8")</f>
        <v>2, 4, 6, 7</v>
      </c>
      <c r="T4" s="586"/>
      <c r="U4" s="586"/>
      <c r="V4" s="586"/>
      <c r="W4" s="586"/>
      <c r="X4" s="586"/>
      <c r="AB4" s="352"/>
      <c r="AC4" s="348" t="s">
        <v>721</v>
      </c>
      <c r="AD4" s="347" t="s">
        <v>4</v>
      </c>
      <c r="AE4" s="347"/>
      <c r="AF4" s="347" t="s">
        <v>5</v>
      </c>
      <c r="AG4" s="347"/>
      <c r="AH4" s="107" t="s">
        <v>44</v>
      </c>
      <c r="AJ4" s="878" t="s">
        <v>66</v>
      </c>
      <c r="AK4" s="1079" t="s">
        <v>876</v>
      </c>
      <c r="AL4" s="1141"/>
      <c r="AN4" s="682" t="s">
        <v>1131</v>
      </c>
      <c r="AO4" s="984"/>
    </row>
    <row r="5" spans="1:41" s="3" customFormat="1" ht="13.5" customHeight="1" thickBot="1">
      <c r="A5" s="356"/>
      <c r="B5" s="592" t="s">
        <v>870</v>
      </c>
      <c r="C5" s="593">
        <v>1250</v>
      </c>
      <c r="D5" s="194"/>
      <c r="E5" s="166"/>
      <c r="F5" s="356"/>
      <c r="G5" s="356"/>
      <c r="H5" s="356"/>
      <c r="I5" s="356"/>
      <c r="J5" s="356"/>
      <c r="K5" s="356"/>
      <c r="L5" s="356"/>
      <c r="M5" s="356"/>
      <c r="N5" s="356"/>
      <c r="O5" s="356"/>
      <c r="P5" s="356"/>
      <c r="Q5" s="1128" t="s">
        <v>765</v>
      </c>
      <c r="R5" s="1129"/>
      <c r="S5" s="591" t="str">
        <f>IF($AB$1=FALSE,"2, 4, 6, 7","1, 3, 5, 8")</f>
        <v>1, 3, 5, 8</v>
      </c>
      <c r="T5" s="356"/>
      <c r="U5" s="356"/>
      <c r="V5" s="597" t="s">
        <v>11</v>
      </c>
      <c r="W5" s="598">
        <v>3</v>
      </c>
      <c r="X5" s="356"/>
      <c r="AA5" s="349" t="s">
        <v>52</v>
      </c>
      <c r="AB5" s="351">
        <v>1</v>
      </c>
      <c r="AC5" s="450">
        <v>1</v>
      </c>
      <c r="AD5" s="107">
        <f>-ZBS</f>
        <v>-30</v>
      </c>
      <c r="AE5" s="107">
        <f>K11</f>
        <v>120</v>
      </c>
      <c r="AF5" s="107">
        <f>-Q10</f>
        <v>-30</v>
      </c>
      <c r="AG5" s="107">
        <f>Q12</f>
        <v>120</v>
      </c>
      <c r="AH5" s="107">
        <v>5</v>
      </c>
      <c r="AJ5" s="878" t="s">
        <v>732</v>
      </c>
      <c r="AK5" s="1079" t="s">
        <v>876</v>
      </c>
      <c r="AL5" s="1138" t="str">
        <f>IF(AK6="On(1)","ZR2",IF(AK5="On(1)","ZR1","Off"))</f>
        <v>Off</v>
      </c>
      <c r="AN5" s="682" t="s">
        <v>1132</v>
      </c>
      <c r="AO5" s="78"/>
    </row>
    <row r="6" spans="1:41" s="3" customFormat="1" ht="11.25" customHeight="1" thickBot="1">
      <c r="A6" s="356"/>
      <c r="B6" s="356"/>
      <c r="C6" s="356"/>
      <c r="D6" s="356"/>
      <c r="E6" s="594"/>
      <c r="F6" s="583"/>
      <c r="G6" s="356"/>
      <c r="H6" s="356"/>
      <c r="I6" s="356"/>
      <c r="J6" s="356"/>
      <c r="K6" s="356"/>
      <c r="L6" s="356"/>
      <c r="M6" s="356"/>
      <c r="N6" s="356"/>
      <c r="O6" s="356"/>
      <c r="P6" s="356"/>
      <c r="Q6" s="356"/>
      <c r="R6" s="356"/>
      <c r="S6" s="356"/>
      <c r="T6" s="356"/>
      <c r="U6" s="356"/>
      <c r="V6" s="356"/>
      <c r="W6" s="356"/>
      <c r="X6" s="356"/>
      <c r="AA6" s="349" t="s">
        <v>3</v>
      </c>
      <c r="AB6" s="351" t="s">
        <v>717</v>
      </c>
      <c r="AD6"/>
      <c r="AE6"/>
      <c r="AF6"/>
      <c r="AG6"/>
      <c r="AH6"/>
      <c r="AJ6" s="708" t="s">
        <v>735</v>
      </c>
      <c r="AK6" s="1080" t="s">
        <v>876</v>
      </c>
      <c r="AL6" s="1139"/>
      <c r="AN6" s="682" t="s">
        <v>73</v>
      </c>
      <c r="AO6" s="985">
        <f>VALUE(LEFT(RIGHT(AN7,2),1))</f>
        <v>3</v>
      </c>
    </row>
    <row r="7" spans="1:41" s="3" customFormat="1" ht="13.5" thickBot="1">
      <c r="A7" s="356"/>
      <c r="B7" s="584"/>
      <c r="C7" s="356"/>
      <c r="D7" s="356"/>
      <c r="E7" s="594"/>
      <c r="F7" s="583"/>
      <c r="G7" s="356"/>
      <c r="H7" s="356"/>
      <c r="I7" s="356"/>
      <c r="J7" s="356"/>
      <c r="K7" s="356"/>
      <c r="L7" s="251"/>
      <c r="M7" s="356"/>
      <c r="N7" s="356"/>
      <c r="O7" s="251"/>
      <c r="P7" s="356"/>
      <c r="Q7" s="356"/>
      <c r="R7" s="356"/>
      <c r="S7" s="356" t="s">
        <v>51</v>
      </c>
      <c r="T7" s="356"/>
      <c r="U7" s="356"/>
      <c r="V7" s="356"/>
      <c r="W7" s="356"/>
      <c r="X7" s="356"/>
      <c r="AA7" s="122" t="s">
        <v>1003</v>
      </c>
      <c r="AB7" s="351">
        <v>28</v>
      </c>
      <c r="AD7" s="193"/>
      <c r="AE7" s="416" t="s">
        <v>615</v>
      </c>
      <c r="AF7" s="795">
        <f>Un/1.732</f>
        <v>57.736720554272516</v>
      </c>
      <c r="AK7" s="885" t="s">
        <v>1174</v>
      </c>
      <c r="AL7" s="886" t="b">
        <f>IF(AND(AK2="On(1)",AK3="Off(0)",AK4="Off(0)"),TRUE,FALSE)</f>
        <v>1</v>
      </c>
      <c r="AN7" s="1071" t="s">
        <v>1131</v>
      </c>
      <c r="AO7" s="486" t="str">
        <f>IF(AND(OR(AO6=2,AO6=4),C25&lt;DeadTime1),"Warning","OK")</f>
        <v>OK</v>
      </c>
    </row>
    <row r="8" spans="1:41" s="3" customFormat="1" ht="13.5" thickBot="1">
      <c r="A8" s="251"/>
      <c r="B8" s="166"/>
      <c r="C8" s="356"/>
      <c r="D8" s="356"/>
      <c r="E8" s="356"/>
      <c r="F8" s="356"/>
      <c r="G8" s="356"/>
      <c r="H8" s="356"/>
      <c r="I8" s="356"/>
      <c r="J8" s="356"/>
      <c r="K8" s="356"/>
      <c r="L8" s="251"/>
      <c r="M8" s="356"/>
      <c r="N8" s="356"/>
      <c r="O8" s="251"/>
      <c r="P8" s="356"/>
      <c r="Q8" s="356"/>
      <c r="R8" s="356"/>
      <c r="S8" s="356"/>
      <c r="T8" s="356"/>
      <c r="U8" s="356"/>
      <c r="V8" s="356"/>
      <c r="W8" s="356"/>
      <c r="X8" s="356"/>
      <c r="AA8" s="575"/>
      <c r="AB8" s="576"/>
      <c r="AD8" s="193"/>
      <c r="AE8" s="416" t="s">
        <v>616</v>
      </c>
      <c r="AF8" s="260">
        <f>ROUND(Un*1.1/1.732,2)</f>
        <v>63.51</v>
      </c>
      <c r="AG8" s="424">
        <f>IF($AB$6="GRZ100xxxx",#REF!,120)</f>
        <v>120</v>
      </c>
      <c r="AH8" s="422">
        <f>Un*1.1/1.732</f>
        <v>63.510392609699778</v>
      </c>
      <c r="AI8" s="425">
        <f>IF($AB$6="GRZ100xxxx",#REF!,120)</f>
        <v>120</v>
      </c>
      <c r="AK8" s="885" t="s">
        <v>1173</v>
      </c>
      <c r="AL8" s="886" t="b">
        <f>IF(AND(AK2="On(1)",AK5="Off(0)",AK6="Off(0)"),TRUE,FALSE)</f>
        <v>1</v>
      </c>
      <c r="AN8" s="985" t="s">
        <v>1134</v>
      </c>
      <c r="AO8" s="469">
        <f>IF(AN7=AN2,0,IF(AN7=AN3,DeadTime1,IF(AN7=AN4,DeadTime3,DeadTime3+DeadTime1)))</f>
        <v>0.7</v>
      </c>
    </row>
    <row r="9" spans="1:41" s="3" customFormat="1" ht="15.95" customHeight="1" thickBot="1">
      <c r="A9" s="356"/>
      <c r="B9" s="621" t="s">
        <v>864</v>
      </c>
      <c r="C9" s="356"/>
      <c r="D9" s="356"/>
      <c r="E9" s="356"/>
      <c r="F9" s="356"/>
      <c r="G9" s="602" t="s">
        <v>701</v>
      </c>
      <c r="H9" s="648">
        <v>7.58</v>
      </c>
      <c r="I9" s="336"/>
      <c r="J9" s="469" t="s">
        <v>896</v>
      </c>
      <c r="K9" s="998">
        <v>30</v>
      </c>
      <c r="L9" s="251"/>
      <c r="M9" s="603" t="s">
        <v>724</v>
      </c>
      <c r="N9" s="652">
        <v>4.5</v>
      </c>
      <c r="O9" s="251"/>
      <c r="P9" s="603" t="s">
        <v>709</v>
      </c>
      <c r="Q9" s="652">
        <v>37.6</v>
      </c>
      <c r="R9" s="251"/>
      <c r="S9" s="1116" t="s">
        <v>892</v>
      </c>
      <c r="T9" s="877">
        <v>3</v>
      </c>
      <c r="U9" s="356"/>
      <c r="V9" s="486" t="s">
        <v>974</v>
      </c>
      <c r="W9" s="1040">
        <v>0.52</v>
      </c>
      <c r="X9" s="356"/>
      <c r="AA9" s="579" t="s">
        <v>6</v>
      </c>
      <c r="AB9" s="580">
        <v>0</v>
      </c>
      <c r="AC9" s="581" t="str">
        <f>IF(AB9=0,"Busbar","Line")</f>
        <v>Busbar</v>
      </c>
      <c r="AD9" s="3" t="s">
        <v>621</v>
      </c>
      <c r="AE9" s="118" t="b">
        <v>0</v>
      </c>
      <c r="AK9" s="996" t="s">
        <v>36</v>
      </c>
      <c r="AL9" s="996" t="s">
        <v>37</v>
      </c>
      <c r="AN9" s="985" t="s">
        <v>1140</v>
      </c>
      <c r="AO9" s="486" t="str">
        <f>IF(AND(Z1CNT=AI16,VALUE(AO6)&lt;&gt;1),"Warning","OK")</f>
        <v>OK</v>
      </c>
    </row>
    <row r="10" spans="1:41" s="3" customFormat="1" ht="15.95" customHeight="1">
      <c r="A10" s="356"/>
      <c r="B10" s="601" t="s">
        <v>878</v>
      </c>
      <c r="C10" s="356"/>
      <c r="D10" s="122" t="s">
        <v>997</v>
      </c>
      <c r="E10" s="356"/>
      <c r="F10" s="356"/>
      <c r="G10" s="695" t="s">
        <v>925</v>
      </c>
      <c r="H10" s="696">
        <v>0</v>
      </c>
      <c r="I10" s="251"/>
      <c r="J10" s="396" t="s">
        <v>857</v>
      </c>
      <c r="K10" s="651">
        <v>25</v>
      </c>
      <c r="L10" s="251"/>
      <c r="M10" s="605" t="s">
        <v>725</v>
      </c>
      <c r="N10" s="653">
        <v>0.5</v>
      </c>
      <c r="O10" s="251"/>
      <c r="P10" s="790" t="s">
        <v>984</v>
      </c>
      <c r="Q10" s="998">
        <v>30</v>
      </c>
      <c r="R10" s="251"/>
      <c r="S10" s="1117" t="s">
        <v>893</v>
      </c>
      <c r="T10" s="877">
        <v>5</v>
      </c>
      <c r="U10" s="356"/>
      <c r="V10" s="775" t="s">
        <v>933</v>
      </c>
      <c r="W10" s="775">
        <v>51.5</v>
      </c>
      <c r="X10" s="356"/>
      <c r="AA10" s="577" t="s">
        <v>699</v>
      </c>
      <c r="AB10" s="578" t="b">
        <v>0</v>
      </c>
      <c r="AC10"/>
      <c r="AG10" s="644" t="s">
        <v>1014</v>
      </c>
      <c r="AH10" s="644" t="s">
        <v>1012</v>
      </c>
      <c r="AI10"/>
      <c r="AJ10" s="940" t="s">
        <v>1118</v>
      </c>
      <c r="AK10" s="995">
        <f>H17+PSBSZ</f>
        <v>29.5</v>
      </c>
      <c r="AL10" s="995">
        <f>PSBGZ+Xe_3</f>
        <v>47.6</v>
      </c>
      <c r="AN10" s="985" t="s">
        <v>1143</v>
      </c>
      <c r="AO10" s="486" t="str">
        <f>IF(OR(AO7&lt;&gt;"OK",AO8&gt;=C28),"Warning","OK")</f>
        <v>OK</v>
      </c>
    </row>
    <row r="11" spans="1:41" s="4" customFormat="1" ht="15.95" customHeight="1">
      <c r="A11" s="584"/>
      <c r="B11" s="1036" t="s">
        <v>868</v>
      </c>
      <c r="C11" s="356"/>
      <c r="D11" s="122" t="s">
        <v>998</v>
      </c>
      <c r="E11" s="356"/>
      <c r="F11" s="336"/>
      <c r="G11" s="695" t="s">
        <v>926</v>
      </c>
      <c r="H11" s="696">
        <v>90</v>
      </c>
      <c r="I11" s="336"/>
      <c r="J11" s="486" t="s">
        <v>897</v>
      </c>
      <c r="K11" s="998">
        <v>120</v>
      </c>
      <c r="L11" s="251"/>
      <c r="M11" s="606" t="s">
        <v>726</v>
      </c>
      <c r="N11" s="654">
        <v>1.1000000000000001</v>
      </c>
      <c r="O11" s="251"/>
      <c r="P11" s="646" t="s">
        <v>894</v>
      </c>
      <c r="Q11" s="652">
        <v>100</v>
      </c>
      <c r="R11" s="251"/>
      <c r="S11" s="356"/>
      <c r="T11" s="356"/>
      <c r="U11" s="584"/>
      <c r="V11" s="774" t="s">
        <v>975</v>
      </c>
      <c r="W11" s="774">
        <v>7.8</v>
      </c>
      <c r="X11" s="584"/>
      <c r="AA11" s="396" t="s">
        <v>710</v>
      </c>
      <c r="AB11" s="397">
        <v>0.12</v>
      </c>
      <c r="AG11" s="644"/>
      <c r="AH11" s="644" t="s">
        <v>1013</v>
      </c>
      <c r="AJ11" s="940" t="s">
        <v>1119</v>
      </c>
      <c r="AK11" s="941">
        <f>K10+PSBSZ</f>
        <v>35</v>
      </c>
      <c r="AL11" s="995">
        <f>PSBGZ+R_3E</f>
        <v>110</v>
      </c>
    </row>
    <row r="12" spans="1:41" s="4" customFormat="1" ht="15.95" customHeight="1">
      <c r="A12" s="584"/>
      <c r="B12" s="469" t="s">
        <v>1089</v>
      </c>
      <c r="C12" s="486"/>
      <c r="D12" s="163" t="s">
        <v>1154</v>
      </c>
      <c r="E12" s="356"/>
      <c r="F12" s="584"/>
      <c r="G12" s="604" t="s">
        <v>745</v>
      </c>
      <c r="H12" s="649">
        <v>9.34</v>
      </c>
      <c r="I12" s="623"/>
      <c r="J12" s="605" t="s">
        <v>728</v>
      </c>
      <c r="K12" s="653">
        <v>5.4</v>
      </c>
      <c r="L12" s="251"/>
      <c r="M12" s="619" t="s">
        <v>727</v>
      </c>
      <c r="N12" s="998">
        <v>10</v>
      </c>
      <c r="O12" s="251"/>
      <c r="P12" s="486" t="s">
        <v>730</v>
      </c>
      <c r="Q12" s="998">
        <v>120</v>
      </c>
      <c r="R12" s="251"/>
      <c r="S12" s="163" t="s">
        <v>1074</v>
      </c>
      <c r="T12" s="1111">
        <v>0.1</v>
      </c>
      <c r="U12" s="584"/>
      <c r="V12" s="788" t="s">
        <v>983</v>
      </c>
      <c r="W12" s="774">
        <v>66</v>
      </c>
      <c r="X12" s="584"/>
      <c r="AA12" s="398" t="s">
        <v>702</v>
      </c>
      <c r="AB12" s="397">
        <v>75</v>
      </c>
      <c r="AG12" s="193" t="s">
        <v>73</v>
      </c>
      <c r="AH12" s="1077" t="s">
        <v>1012</v>
      </c>
      <c r="AJ12" s="940" t="s">
        <v>1120</v>
      </c>
      <c r="AK12" s="941">
        <f>X_5+PSBSZ</f>
        <v>36.79</v>
      </c>
      <c r="AL12" s="941">
        <f>PSBGZ+Xe_5</f>
        <v>58.22</v>
      </c>
      <c r="AN12" s="1035" t="s">
        <v>1154</v>
      </c>
      <c r="AO12" s="1072" t="s">
        <v>876</v>
      </c>
    </row>
    <row r="13" spans="1:41" s="3" customFormat="1" ht="15.95" customHeight="1">
      <c r="A13" s="356"/>
      <c r="B13" s="876" t="s">
        <v>1080</v>
      </c>
      <c r="C13" s="356"/>
      <c r="D13" s="163" t="s">
        <v>1155</v>
      </c>
      <c r="E13" s="584"/>
      <c r="F13" s="356"/>
      <c r="G13" s="602" t="s">
        <v>705</v>
      </c>
      <c r="H13" s="648">
        <v>13.6</v>
      </c>
      <c r="I13" s="336"/>
      <c r="J13" s="606" t="s">
        <v>729</v>
      </c>
      <c r="K13" s="654">
        <v>26.79</v>
      </c>
      <c r="L13" s="251"/>
      <c r="M13" s="602" t="s">
        <v>707</v>
      </c>
      <c r="N13" s="657">
        <v>7.58</v>
      </c>
      <c r="O13" s="251"/>
      <c r="P13" s="219" t="s">
        <v>889</v>
      </c>
      <c r="Q13" s="653">
        <v>6.7</v>
      </c>
      <c r="R13" s="251"/>
      <c r="S13" s="163" t="s">
        <v>1156</v>
      </c>
      <c r="T13" s="1111">
        <v>1.7</v>
      </c>
      <c r="U13" s="356"/>
      <c r="V13" s="789" t="s">
        <v>976</v>
      </c>
      <c r="W13" s="775">
        <v>88</v>
      </c>
      <c r="X13" s="356"/>
      <c r="AA13" s="544" t="s">
        <v>766</v>
      </c>
      <c r="AB13" s="544" t="s">
        <v>880</v>
      </c>
      <c r="AC13" s="503" t="s">
        <v>258</v>
      </c>
      <c r="AD13" s="802" t="s">
        <v>895</v>
      </c>
      <c r="AJ13" s="940" t="s">
        <v>1121</v>
      </c>
      <c r="AK13" s="995">
        <f>BRRS+PSBSZ</f>
        <v>18</v>
      </c>
      <c r="AL13" s="995">
        <f>PSBGZ+BRRG</f>
        <v>32.700000000000003</v>
      </c>
      <c r="AN13" s="1035" t="s">
        <v>1155</v>
      </c>
      <c r="AO13" s="1072" t="s">
        <v>876</v>
      </c>
    </row>
    <row r="14" spans="1:41" s="3" customFormat="1" ht="15.95" customHeight="1">
      <c r="A14" s="356"/>
      <c r="B14" s="876" t="s">
        <v>1078</v>
      </c>
      <c r="C14" s="584"/>
      <c r="D14" s="193" t="s">
        <v>915</v>
      </c>
      <c r="F14" s="356"/>
      <c r="G14" s="604" t="s">
        <v>884</v>
      </c>
      <c r="H14" s="649">
        <v>10.5</v>
      </c>
      <c r="I14" s="336"/>
      <c r="J14" s="647" t="s">
        <v>885</v>
      </c>
      <c r="K14" s="1108">
        <v>23.4</v>
      </c>
      <c r="L14" s="251"/>
      <c r="M14" s="604" t="s">
        <v>744</v>
      </c>
      <c r="N14" s="997">
        <v>9.34</v>
      </c>
      <c r="O14" s="251"/>
      <c r="P14" s="217" t="s">
        <v>890</v>
      </c>
      <c r="Q14" s="654">
        <v>48.22</v>
      </c>
      <c r="R14" s="251"/>
      <c r="S14" s="163" t="s">
        <v>1073</v>
      </c>
      <c r="T14" s="1111">
        <v>0.1</v>
      </c>
      <c r="U14" s="356"/>
      <c r="V14" s="1038" t="s">
        <v>1069</v>
      </c>
      <c r="W14" s="1071">
        <v>70</v>
      </c>
      <c r="X14" s="356"/>
      <c r="AA14" s="544"/>
      <c r="AB14" s="544" t="s">
        <v>879</v>
      </c>
      <c r="AC14" s="503"/>
      <c r="AD14" s="548" t="s">
        <v>865</v>
      </c>
      <c r="AG14"/>
      <c r="AH14"/>
      <c r="AI14" s="107" t="s">
        <v>868</v>
      </c>
      <c r="AJ14" s="469" t="s">
        <v>1181</v>
      </c>
      <c r="AK14" s="1097">
        <v>28</v>
      </c>
      <c r="AL14" s="1098">
        <v>71</v>
      </c>
      <c r="AN14" s="1063" t="s">
        <v>1180</v>
      </c>
      <c r="AO14" s="1073" t="b">
        <v>0</v>
      </c>
    </row>
    <row r="15" spans="1:41" s="3" customFormat="1" ht="15.95" customHeight="1">
      <c r="A15" s="356"/>
      <c r="B15" s="876" t="s">
        <v>1079</v>
      </c>
      <c r="C15" s="584"/>
      <c r="D15" s="820" t="s">
        <v>1011</v>
      </c>
      <c r="E15" s="584"/>
      <c r="F15" s="356"/>
      <c r="G15" s="396" t="s">
        <v>703</v>
      </c>
      <c r="H15" s="651">
        <v>10.57</v>
      </c>
      <c r="I15" s="336"/>
      <c r="J15" s="605" t="s">
        <v>742</v>
      </c>
      <c r="K15" s="653">
        <v>8</v>
      </c>
      <c r="L15" s="251"/>
      <c r="M15" s="791" t="s">
        <v>985</v>
      </c>
      <c r="N15" s="656"/>
      <c r="O15" s="251"/>
      <c r="P15" s="647" t="s">
        <v>907</v>
      </c>
      <c r="Q15" s="1109">
        <v>41.4</v>
      </c>
      <c r="R15" s="251"/>
      <c r="S15" s="163" t="s">
        <v>1157</v>
      </c>
      <c r="T15" s="1111">
        <v>1.7</v>
      </c>
      <c r="U15" s="356"/>
      <c r="V15" s="774" t="s">
        <v>977</v>
      </c>
      <c r="W15" s="774">
        <v>29</v>
      </c>
      <c r="X15" s="356"/>
      <c r="Y15"/>
      <c r="Z15"/>
      <c r="AA15" s="1066" t="s">
        <v>73</v>
      </c>
      <c r="AB15" s="1067" t="s">
        <v>879</v>
      </c>
      <c r="AC15" s="503"/>
      <c r="AD15" s="548" t="s">
        <v>1010</v>
      </c>
      <c r="AG15"/>
      <c r="AH15"/>
      <c r="AI15" s="107" t="s">
        <v>1136</v>
      </c>
      <c r="AJ15" s="469" t="s">
        <v>1184</v>
      </c>
      <c r="AK15" s="1106">
        <f>MAX(Characteristic!AQ42,Characteristic!AQ47)*1.1/200*AK14</f>
        <v>16.036854078344025</v>
      </c>
      <c r="AL15" s="1106">
        <f>MAX(Characteristic!AS42,Characteristic!AS47)*1.1/200*AL14</f>
        <v>51.41329316348402</v>
      </c>
      <c r="AN15" s="1063">
        <f>IF(AND((Vh-AG53)&gt;=DCEF_V,AG56&gt;=DCEF_J/COS(RADIANS(180-AH56-DEF_Ang))),1,0)</f>
        <v>1</v>
      </c>
      <c r="AO15" s="37"/>
    </row>
    <row r="16" spans="1:41" s="3" customFormat="1" ht="15.95" customHeight="1">
      <c r="A16" s="356"/>
      <c r="B16" s="876" t="s">
        <v>1081</v>
      </c>
      <c r="C16" s="356"/>
      <c r="D16" s="356"/>
      <c r="E16" s="356"/>
      <c r="F16" s="356"/>
      <c r="G16" s="396" t="s">
        <v>706</v>
      </c>
      <c r="H16" s="651">
        <v>17</v>
      </c>
      <c r="I16" s="624"/>
      <c r="J16" s="619" t="s">
        <v>764</v>
      </c>
      <c r="K16" s="655">
        <v>44.2</v>
      </c>
      <c r="L16" s="251"/>
      <c r="M16" s="791" t="s">
        <v>986</v>
      </c>
      <c r="N16" s="656"/>
      <c r="O16" s="251"/>
      <c r="P16" s="603" t="s">
        <v>743</v>
      </c>
      <c r="Q16" s="652">
        <v>22.7</v>
      </c>
      <c r="R16" s="251"/>
      <c r="S16" s="163" t="s">
        <v>1158</v>
      </c>
      <c r="T16" s="1111">
        <v>48</v>
      </c>
      <c r="U16" s="356"/>
      <c r="V16" s="486" t="s">
        <v>1070</v>
      </c>
      <c r="W16" s="1039">
        <v>40</v>
      </c>
      <c r="X16" s="356"/>
      <c r="Z16"/>
      <c r="AA16" s="544" t="s">
        <v>767</v>
      </c>
      <c r="AB16" s="544"/>
      <c r="AC16" s="572"/>
      <c r="AD16" s="548" t="s">
        <v>866</v>
      </c>
      <c r="AE16" s="1010"/>
      <c r="AF16"/>
      <c r="AG16"/>
      <c r="AH16"/>
      <c r="AI16" s="107" t="s">
        <v>1137</v>
      </c>
      <c r="AN16" s="122" t="s">
        <v>1000</v>
      </c>
      <c r="AO16" s="1074" t="s">
        <v>877</v>
      </c>
    </row>
    <row r="17" spans="1:41" s="3" customFormat="1" ht="15.95" customHeight="1">
      <c r="A17" s="356"/>
      <c r="B17" s="876" t="s">
        <v>1082</v>
      </c>
      <c r="C17" s="356"/>
      <c r="D17" s="1041" t="s">
        <v>1065</v>
      </c>
      <c r="E17" s="356"/>
      <c r="F17" s="356"/>
      <c r="G17" s="603" t="s">
        <v>704</v>
      </c>
      <c r="H17" s="684">
        <v>19.5</v>
      </c>
      <c r="I17" s="625"/>
      <c r="J17" s="619" t="s">
        <v>763</v>
      </c>
      <c r="K17" s="655">
        <v>18</v>
      </c>
      <c r="L17" s="251"/>
      <c r="M17" s="436" t="s">
        <v>886</v>
      </c>
      <c r="N17" s="648">
        <v>65.099999999999994</v>
      </c>
      <c r="O17" s="251"/>
      <c r="P17" s="792" t="s">
        <v>871</v>
      </c>
      <c r="Q17" s="793">
        <v>2.91</v>
      </c>
      <c r="R17" s="599"/>
      <c r="S17" s="356"/>
      <c r="T17" s="356"/>
      <c r="U17" s="356"/>
      <c r="V17" s="356"/>
      <c r="W17" s="356"/>
      <c r="X17" s="356"/>
      <c r="Z17"/>
      <c r="AA17" s="544" t="s">
        <v>63</v>
      </c>
      <c r="AB17" s="351">
        <f>IF($AB$15=$AB$13,$K$10,H13)</f>
        <v>13.6</v>
      </c>
      <c r="AC17" s="572"/>
      <c r="AD17" s="548" t="s">
        <v>867</v>
      </c>
      <c r="AE17" s="1010"/>
      <c r="AF17"/>
      <c r="AG17"/>
      <c r="AH17"/>
      <c r="AI17" s="1076" t="s">
        <v>1136</v>
      </c>
      <c r="AJ17" s="399"/>
      <c r="AN17" s="804" t="s">
        <v>999</v>
      </c>
      <c r="AO17" s="1074" t="s">
        <v>877</v>
      </c>
    </row>
    <row r="18" spans="1:41" s="4" customFormat="1" ht="15.95" customHeight="1">
      <c r="A18" s="584"/>
      <c r="B18" s="1037" t="s">
        <v>863</v>
      </c>
      <c r="C18" s="584"/>
      <c r="D18" s="1041" t="s">
        <v>1066</v>
      </c>
      <c r="E18" s="356"/>
      <c r="F18" s="584"/>
      <c r="G18" s="584"/>
      <c r="H18" s="584"/>
      <c r="I18" s="584"/>
      <c r="J18" s="602" t="s">
        <v>722</v>
      </c>
      <c r="K18" s="648">
        <v>0</v>
      </c>
      <c r="L18" s="251"/>
      <c r="M18" s="604" t="s">
        <v>887</v>
      </c>
      <c r="N18" s="649">
        <v>32.700000000000003</v>
      </c>
      <c r="O18" s="251"/>
      <c r="P18" s="584"/>
      <c r="Q18" s="584"/>
      <c r="R18" s="584"/>
      <c r="S18" s="584"/>
      <c r="T18" s="584"/>
      <c r="U18" s="584"/>
      <c r="V18" s="584"/>
      <c r="W18" s="584"/>
      <c r="X18" s="584"/>
      <c r="Y18"/>
      <c r="Z18"/>
      <c r="AA18" s="544" t="s">
        <v>761</v>
      </c>
      <c r="AB18" s="545">
        <f>IF($AB$15=$AB$13,$K$10,H14)</f>
        <v>10.5</v>
      </c>
      <c r="AC18" s="572"/>
      <c r="AD18" s="1068" t="s">
        <v>73</v>
      </c>
      <c r="AE18" s="573" t="s">
        <v>1010</v>
      </c>
      <c r="AF18"/>
      <c r="AG18"/>
      <c r="AH18" s="1009" t="s">
        <v>1138</v>
      </c>
      <c r="AI18" s="648">
        <f>IF(Z1CNT=AI15,0,K18)</f>
        <v>0</v>
      </c>
      <c r="AJ18" s="399"/>
      <c r="AN18" s="871" t="s">
        <v>1067</v>
      </c>
      <c r="AO18" s="1075" t="s">
        <v>877</v>
      </c>
    </row>
    <row r="19" spans="1:41" s="4" customFormat="1" ht="15.95" customHeight="1">
      <c r="A19" s="584"/>
      <c r="B19" s="626" t="s">
        <v>862</v>
      </c>
      <c r="C19" s="584"/>
      <c r="D19" s="584"/>
      <c r="E19" s="584"/>
      <c r="F19" s="584"/>
      <c r="G19" s="356"/>
      <c r="H19" s="356"/>
      <c r="I19" s="584"/>
      <c r="J19" s="396" t="s">
        <v>723</v>
      </c>
      <c r="K19" s="651">
        <v>0.4</v>
      </c>
      <c r="L19" s="251"/>
      <c r="M19" s="396" t="s">
        <v>708</v>
      </c>
      <c r="N19" s="651">
        <v>10.57</v>
      </c>
      <c r="O19" s="251"/>
      <c r="P19" s="584"/>
      <c r="Q19" s="584"/>
      <c r="R19" s="584"/>
      <c r="S19" s="122" t="s">
        <v>993</v>
      </c>
      <c r="T19" s="1112">
        <v>3</v>
      </c>
      <c r="U19" s="584"/>
      <c r="V19" s="163" t="s">
        <v>1161</v>
      </c>
      <c r="W19" s="1114">
        <v>0</v>
      </c>
      <c r="X19" s="584"/>
      <c r="Y19"/>
      <c r="Z19"/>
      <c r="AA19" s="544" t="s">
        <v>65</v>
      </c>
      <c r="AB19" s="545">
        <f>IF($AB$15=$AB$13,$K$10,H16)</f>
        <v>17</v>
      </c>
      <c r="AC19" s="572"/>
      <c r="AD19" s="582">
        <f>VALUE(LEFT(AE18,2))</f>
        <v>4</v>
      </c>
      <c r="AE19" s="573" t="str">
        <f>IF(AD19=2,"1 Z1-Ext",IF(OR(AD19=4,AD19=7),"3 POTT","2 PUTT"))</f>
        <v>3 POTT</v>
      </c>
      <c r="AF19"/>
      <c r="AG19"/>
      <c r="AH19" s="107" t="s">
        <v>1139</v>
      </c>
      <c r="AI19" s="107" t="str">
        <f>IF(AND(Z1CNT=AI15,K18&gt;0),"Warning","OK")</f>
        <v>OK</v>
      </c>
      <c r="AN19" s="871" t="s">
        <v>1066</v>
      </c>
      <c r="AO19" s="1075" t="s">
        <v>876</v>
      </c>
    </row>
    <row r="20" spans="1:41" s="3" customFormat="1" ht="15.95" customHeight="1">
      <c r="A20" s="356"/>
      <c r="B20" s="627" t="s">
        <v>861</v>
      </c>
      <c r="C20" s="356"/>
      <c r="D20" s="356"/>
      <c r="E20" s="356"/>
      <c r="F20" s="356"/>
      <c r="G20" s="356"/>
      <c r="H20" s="356"/>
      <c r="I20" s="356"/>
      <c r="J20" s="619" t="s">
        <v>933</v>
      </c>
      <c r="K20" s="655">
        <v>51.5</v>
      </c>
      <c r="L20" s="356"/>
      <c r="M20" s="644" t="s">
        <v>888</v>
      </c>
      <c r="N20" s="651">
        <v>100</v>
      </c>
      <c r="O20" s="251"/>
      <c r="P20" s="600" t="s">
        <v>872</v>
      </c>
      <c r="Q20" s="658">
        <v>3.78</v>
      </c>
      <c r="R20" s="356"/>
      <c r="S20" s="122" t="s">
        <v>994</v>
      </c>
      <c r="T20" s="1113">
        <v>1</v>
      </c>
      <c r="U20" s="356"/>
      <c r="V20" s="163" t="s">
        <v>1163</v>
      </c>
      <c r="W20" s="1114">
        <v>0</v>
      </c>
      <c r="X20" s="356"/>
      <c r="Y20"/>
      <c r="Z20"/>
      <c r="AA20" s="546" t="s">
        <v>66</v>
      </c>
      <c r="AB20" s="743">
        <f>K10</f>
        <v>25</v>
      </c>
      <c r="AF20" s="457" t="str">
        <f>IF(AND(T_2=T_3,E103=F103),"Phantom Zone","Test")</f>
        <v>Test</v>
      </c>
      <c r="AG20" s="457" t="str">
        <f>IF(AND(T_3=T_4,F103=G103),"Phantom Zone","Test")</f>
        <v>Test</v>
      </c>
      <c r="AJ20" s="399"/>
      <c r="AK20" s="433"/>
    </row>
    <row r="21" spans="1:41" s="3" customFormat="1" ht="15.95" customHeight="1">
      <c r="A21" s="356"/>
      <c r="B21" s="356"/>
      <c r="C21" s="356"/>
      <c r="D21" s="356"/>
      <c r="E21" s="356"/>
      <c r="F21" s="356"/>
      <c r="G21" s="356"/>
      <c r="H21" s="356"/>
      <c r="I21" s="356"/>
      <c r="J21" s="619" t="s">
        <v>1068</v>
      </c>
      <c r="K21" s="655">
        <v>45.5</v>
      </c>
      <c r="L21" s="356"/>
      <c r="M21" s="356"/>
      <c r="N21" s="356"/>
      <c r="O21" s="251"/>
      <c r="P21" s="356"/>
      <c r="Q21" s="356"/>
      <c r="R21" s="356"/>
      <c r="S21" s="122" t="s">
        <v>995</v>
      </c>
      <c r="T21" s="1113">
        <v>2</v>
      </c>
      <c r="U21" s="356"/>
      <c r="V21" s="469" t="s">
        <v>1162</v>
      </c>
      <c r="W21" s="1115">
        <v>0.1</v>
      </c>
      <c r="X21" s="356"/>
      <c r="Y21"/>
      <c r="Z21"/>
      <c r="AA21" s="436"/>
      <c r="AB21" s="437" t="s">
        <v>665</v>
      </c>
      <c r="AC21" s="351">
        <f>MAX(T23*T24,J_)</f>
        <v>0.24</v>
      </c>
      <c r="AD21" s="489" t="s">
        <v>8</v>
      </c>
      <c r="AE21" s="490" t="s">
        <v>716</v>
      </c>
      <c r="AF21" s="454" t="s">
        <v>9</v>
      </c>
      <c r="AG21" s="491" t="s">
        <v>10</v>
      </c>
      <c r="AH21" s="492" t="s">
        <v>712</v>
      </c>
      <c r="AI21" s="493" t="s">
        <v>714</v>
      </c>
      <c r="AJ21" s="892" t="s">
        <v>1064</v>
      </c>
      <c r="AK21" s="893" t="s">
        <v>713</v>
      </c>
      <c r="AL21" s="893" t="s">
        <v>84</v>
      </c>
      <c r="AM21" s="893" t="s">
        <v>1090</v>
      </c>
      <c r="AN21" s="893" t="s">
        <v>1117</v>
      </c>
    </row>
    <row r="22" spans="1:41" s="3" customFormat="1" ht="15.95" customHeight="1">
      <c r="A22" s="356"/>
      <c r="B22" s="356"/>
      <c r="C22" s="251"/>
      <c r="D22" s="251"/>
      <c r="E22" s="251"/>
      <c r="F22" s="356"/>
      <c r="G22" s="356"/>
      <c r="H22" s="356"/>
      <c r="I22" s="356"/>
      <c r="J22" s="356"/>
      <c r="K22" s="356"/>
      <c r="L22" s="356"/>
      <c r="M22" s="356"/>
      <c r="N22" s="356"/>
      <c r="O22" s="251"/>
      <c r="P22" s="356"/>
      <c r="Q22" s="356"/>
      <c r="R22" s="356"/>
      <c r="S22" s="122" t="s">
        <v>996</v>
      </c>
      <c r="T22" s="1113">
        <v>1</v>
      </c>
      <c r="U22" s="356"/>
      <c r="V22" s="356"/>
      <c r="W22" s="356"/>
      <c r="X22" s="356"/>
      <c r="Y22" s="4"/>
      <c r="Z22" s="4"/>
      <c r="AA22" s="574" t="s">
        <v>876</v>
      </c>
      <c r="AB22"/>
      <c r="AC22" s="488" t="s">
        <v>731</v>
      </c>
      <c r="AD22" s="487"/>
      <c r="AE22" s="36" t="b">
        <f>IF(AD19="2",TRUE,FALSE)</f>
        <v>0</v>
      </c>
      <c r="AF22" s="36" t="b">
        <v>1</v>
      </c>
      <c r="AG22" s="36" t="b">
        <v>1</v>
      </c>
      <c r="AH22" s="36" t="s">
        <v>877</v>
      </c>
      <c r="AI22" s="36" t="s">
        <v>877</v>
      </c>
      <c r="AJ22" s="1060"/>
      <c r="AK22" s="1061" t="s">
        <v>876</v>
      </c>
      <c r="AL22" s="1061"/>
      <c r="AM22" s="118"/>
      <c r="AN22" s="118"/>
    </row>
    <row r="23" spans="1:41" s="3" customFormat="1" ht="15.95" customHeight="1">
      <c r="A23" s="356"/>
      <c r="B23" s="356"/>
      <c r="C23" s="356"/>
      <c r="D23" s="251"/>
      <c r="E23" s="356"/>
      <c r="F23" s="356"/>
      <c r="G23" s="356"/>
      <c r="H23" s="356"/>
      <c r="I23" s="356"/>
      <c r="J23" s="356"/>
      <c r="K23" s="356"/>
      <c r="L23" s="356"/>
      <c r="M23" s="356"/>
      <c r="N23" s="356"/>
      <c r="O23" s="356"/>
      <c r="P23" s="921" t="s">
        <v>1037</v>
      </c>
      <c r="Q23" s="1110">
        <v>10</v>
      </c>
      <c r="R23" s="356"/>
      <c r="S23" s="396" t="s">
        <v>898</v>
      </c>
      <c r="T23" s="651">
        <v>0.2</v>
      </c>
      <c r="U23" s="356"/>
      <c r="V23" s="356"/>
      <c r="W23" s="356"/>
      <c r="X23" s="584"/>
      <c r="Y23" s="4"/>
      <c r="Z23" s="4"/>
      <c r="AA23" s="219" t="s">
        <v>877</v>
      </c>
      <c r="AC23" s="498" t="s">
        <v>733</v>
      </c>
      <c r="AD23" s="499"/>
      <c r="AE23" s="1069" t="b">
        <v>0</v>
      </c>
      <c r="AF23" s="1069" t="b">
        <v>1</v>
      </c>
      <c r="AG23" s="1070" t="b">
        <v>1</v>
      </c>
      <c r="AH23" s="1070" t="b">
        <v>1</v>
      </c>
      <c r="AI23" s="1070" t="b">
        <v>1</v>
      </c>
      <c r="AJ23" s="1070" t="b">
        <v>1</v>
      </c>
      <c r="AK23" s="1070" t="b">
        <v>1</v>
      </c>
      <c r="AL23" s="1070" t="b">
        <v>0</v>
      </c>
      <c r="AM23" s="1070" t="b">
        <v>0</v>
      </c>
      <c r="AN23" s="1070" t="b">
        <v>1</v>
      </c>
    </row>
    <row r="24" spans="1:41" s="3" customFormat="1" ht="15.95" customHeight="1">
      <c r="A24" s="356"/>
      <c r="B24" s="440" t="s">
        <v>1133</v>
      </c>
      <c r="C24" s="37"/>
      <c r="D24" s="251"/>
      <c r="E24" s="251"/>
      <c r="F24" s="356"/>
      <c r="G24" s="356"/>
      <c r="H24" s="356"/>
      <c r="I24" s="356"/>
      <c r="J24" s="356"/>
      <c r="K24" s="356"/>
      <c r="L24" s="336"/>
      <c r="M24" s="356"/>
      <c r="N24" s="356"/>
      <c r="O24" s="356"/>
      <c r="P24" s="921" t="s">
        <v>1038</v>
      </c>
      <c r="Q24" s="1110">
        <v>10</v>
      </c>
      <c r="R24" s="356"/>
      <c r="S24" s="799" t="s">
        <v>988</v>
      </c>
      <c r="T24" s="799">
        <v>1.2</v>
      </c>
      <c r="U24" s="356"/>
      <c r="V24" s="356"/>
      <c r="W24" s="584"/>
      <c r="X24" s="584"/>
      <c r="Y24" s="4"/>
      <c r="Z24" s="4"/>
      <c r="AC24" s="500" t="s">
        <v>734</v>
      </c>
      <c r="AD24" s="501"/>
      <c r="AE24" s="1071" t="b">
        <v>0</v>
      </c>
      <c r="AF24" s="1071" t="b">
        <v>1</v>
      </c>
      <c r="AG24" s="1071" t="b">
        <v>1</v>
      </c>
      <c r="AH24" s="1071" t="b">
        <v>1</v>
      </c>
      <c r="AI24" s="1071" t="b">
        <v>1</v>
      </c>
      <c r="AJ24" s="1071" t="b">
        <v>0</v>
      </c>
      <c r="AK24" s="1071"/>
      <c r="AL24" s="1071" t="b">
        <v>1</v>
      </c>
      <c r="AM24" s="1071" t="b">
        <v>0</v>
      </c>
      <c r="AN24" s="1071" t="b">
        <v>0</v>
      </c>
    </row>
    <row r="25" spans="1:41" s="3" customFormat="1" ht="15.95" customHeight="1">
      <c r="A25" s="356"/>
      <c r="B25" s="1043" t="s">
        <v>1115</v>
      </c>
      <c r="C25" s="1008">
        <v>0.9</v>
      </c>
      <c r="D25" s="251"/>
      <c r="E25" s="251"/>
      <c r="F25" s="356"/>
      <c r="G25" s="251"/>
      <c r="H25" s="251"/>
      <c r="I25" s="356"/>
      <c r="J25" s="356"/>
      <c r="K25" s="356"/>
      <c r="L25" s="251"/>
      <c r="M25" s="251"/>
      <c r="N25" s="251"/>
      <c r="O25" s="251"/>
      <c r="P25" s="356"/>
      <c r="Q25" s="356"/>
      <c r="R25" s="251"/>
      <c r="S25" s="356"/>
      <c r="T25" s="356"/>
      <c r="U25" s="251"/>
      <c r="V25" s="356"/>
      <c r="W25" s="356"/>
      <c r="X25" s="356"/>
      <c r="AA25" s="4"/>
      <c r="AB25" s="4"/>
      <c r="AC25" s="469" t="s">
        <v>736</v>
      </c>
      <c r="AD25" s="469"/>
      <c r="AE25" s="469">
        <f>IF(AND(AE22=TRUE,AE23=TRUE),1,0)</f>
        <v>0</v>
      </c>
      <c r="AF25" s="469">
        <f>IF(AND(AF22=TRUE,AF23=TRUE),1,0)</f>
        <v>1</v>
      </c>
      <c r="AG25" s="469">
        <f>IF(AND(AG22=TRUE,AG23=TRUE),1,0)</f>
        <v>1</v>
      </c>
      <c r="AH25" s="469">
        <f>IF(AND(AH22="On(1)",AH23=TRUE),1,0)</f>
        <v>1</v>
      </c>
      <c r="AI25" s="469">
        <f>IF(AND(AI22="On(1)",AI23=TRUE),1,0)</f>
        <v>1</v>
      </c>
      <c r="AJ25" s="469">
        <f>IF(AJ23=TRUE,1,0)</f>
        <v>1</v>
      </c>
      <c r="AK25" s="469">
        <f>IF(AND(AK22="On(1)",AK23=TRUE),1,0)</f>
        <v>0</v>
      </c>
      <c r="AL25" s="469">
        <f>IF(AL23=TRUE,1,0)</f>
        <v>0</v>
      </c>
      <c r="AM25" s="469">
        <f>IF(AM23=TRUE,1,0)</f>
        <v>0</v>
      </c>
      <c r="AN25" s="469"/>
    </row>
    <row r="26" spans="1:41" s="3" customFormat="1" ht="15.95" customHeight="1">
      <c r="A26" s="356"/>
      <c r="B26" s="1044" t="s">
        <v>1102</v>
      </c>
      <c r="C26" s="1012">
        <v>0.7</v>
      </c>
      <c r="D26" s="356"/>
      <c r="E26" s="356"/>
      <c r="F26" s="251"/>
      <c r="G26" s="251"/>
      <c r="H26" s="1042"/>
      <c r="I26" s="356"/>
      <c r="J26" s="356"/>
      <c r="K26" s="356"/>
      <c r="L26" s="251"/>
      <c r="M26" s="356"/>
      <c r="N26" s="356"/>
      <c r="O26" s="356"/>
      <c r="P26" s="356"/>
      <c r="Q26" s="356"/>
      <c r="R26" s="356"/>
      <c r="S26" s="356"/>
      <c r="T26" s="356"/>
      <c r="U26" s="251"/>
      <c r="V26" s="356"/>
      <c r="W26" s="356"/>
      <c r="X26" s="251"/>
      <c r="Y26"/>
      <c r="Z26"/>
      <c r="AA26" s="4"/>
      <c r="AB26"/>
      <c r="AC26" s="469" t="s">
        <v>737</v>
      </c>
      <c r="AD26" s="469"/>
      <c r="AE26" s="469">
        <f>IF(AND(AE22=TRUE,AE24=TRUE),1,0)</f>
        <v>0</v>
      </c>
      <c r="AF26" s="469">
        <f>IF(AND(AF22=TRUE,AF24=TRUE),1,0)</f>
        <v>1</v>
      </c>
      <c r="AG26" s="469">
        <f>IF(AND(AG22=TRUE,AG24=TRUE),1,0)</f>
        <v>1</v>
      </c>
      <c r="AH26" s="469">
        <f>IF(AND(AH22="On(1)",AH24=TRUE),1,0)</f>
        <v>1</v>
      </c>
      <c r="AI26" s="469">
        <f>IF(AND(AI22="On(1)",AI24=TRUE),1,0)</f>
        <v>1</v>
      </c>
      <c r="AJ26" s="469">
        <f>IF(AJ24=TRUE,1,0)</f>
        <v>0</v>
      </c>
      <c r="AK26" s="469"/>
      <c r="AL26" s="469">
        <f>IF(AL24=TRUE,1,0)</f>
        <v>1</v>
      </c>
      <c r="AM26" s="469">
        <f>IF(AM24=TRUE,1,0)</f>
        <v>0</v>
      </c>
      <c r="AN26" s="469"/>
    </row>
    <row r="27" spans="1:41" s="3" customFormat="1" ht="15.95" customHeight="1">
      <c r="A27" s="356"/>
      <c r="B27" s="1043" t="s">
        <v>1103</v>
      </c>
      <c r="C27" s="1012">
        <v>1</v>
      </c>
      <c r="D27" s="356"/>
      <c r="E27" s="356"/>
      <c r="F27" s="356"/>
      <c r="G27" s="251"/>
      <c r="H27" s="251"/>
      <c r="I27" s="356"/>
      <c r="J27" s="356"/>
      <c r="K27" s="356"/>
      <c r="L27" s="251"/>
      <c r="M27" s="356"/>
      <c r="N27" s="356"/>
      <c r="O27" s="356"/>
      <c r="P27" s="356"/>
      <c r="Q27" s="356"/>
      <c r="R27" s="356"/>
      <c r="S27" s="356"/>
      <c r="T27" s="356"/>
      <c r="U27" s="251"/>
      <c r="V27" s="356"/>
      <c r="W27" s="356"/>
      <c r="X27" s="584"/>
      <c r="Y27" s="4"/>
      <c r="Z27" s="4"/>
      <c r="AA27" s="4"/>
      <c r="AB27"/>
      <c r="AC27" s="1154" t="s">
        <v>12</v>
      </c>
      <c r="AD27" s="1155"/>
      <c r="AE27" s="1155"/>
      <c r="AF27" s="1155"/>
      <c r="AG27" s="1155"/>
      <c r="AH27" s="1155"/>
      <c r="AI27" s="1156"/>
    </row>
    <row r="28" spans="1:41" s="3" customFormat="1" ht="15.95" customHeight="1">
      <c r="A28" s="356"/>
      <c r="B28" s="1044" t="s">
        <v>1113</v>
      </c>
      <c r="C28" s="1013">
        <v>1</v>
      </c>
      <c r="D28" s="356"/>
      <c r="E28" s="356"/>
      <c r="F28" s="356"/>
      <c r="G28" s="251"/>
      <c r="H28" s="251"/>
      <c r="I28" s="356"/>
      <c r="J28" s="356"/>
      <c r="K28" s="356"/>
      <c r="L28" s="251"/>
      <c r="M28" s="356"/>
      <c r="N28" s="356"/>
      <c r="O28" s="356"/>
      <c r="P28" s="356"/>
      <c r="Q28" s="356"/>
      <c r="R28" s="356"/>
      <c r="S28" s="356"/>
      <c r="T28" s="356"/>
      <c r="U28" s="356"/>
      <c r="V28" s="356"/>
      <c r="W28" s="356"/>
      <c r="X28" s="356"/>
      <c r="AB28"/>
      <c r="AC28" s="494" t="s">
        <v>7</v>
      </c>
      <c r="AD28" s="8" t="s">
        <v>13</v>
      </c>
      <c r="AE28" s="9" t="s">
        <v>16</v>
      </c>
      <c r="AF28" s="9" t="s">
        <v>14</v>
      </c>
      <c r="AG28" s="9" t="s">
        <v>15</v>
      </c>
      <c r="AH28" s="9" t="s">
        <v>354</v>
      </c>
      <c r="AI28" s="9" t="s">
        <v>355</v>
      </c>
      <c r="AJ28" s="9" t="s">
        <v>913</v>
      </c>
      <c r="AL28" s="442" t="s">
        <v>669</v>
      </c>
      <c r="AM28" s="443" t="s">
        <v>668</v>
      </c>
      <c r="AN28" s="443" t="s">
        <v>667</v>
      </c>
    </row>
    <row r="29" spans="1:41" s="3" customFormat="1">
      <c r="A29" s="356"/>
      <c r="B29" s="1043" t="s">
        <v>1114</v>
      </c>
      <c r="C29" s="1008">
        <v>0.5</v>
      </c>
      <c r="D29" s="356"/>
      <c r="E29" s="356"/>
      <c r="F29" s="356"/>
      <c r="G29" s="251"/>
      <c r="H29" s="251"/>
      <c r="I29" s="251"/>
      <c r="J29" s="251"/>
      <c r="K29" s="356"/>
      <c r="L29" s="251"/>
      <c r="M29" s="356"/>
      <c r="N29" s="356"/>
      <c r="O29" s="356"/>
      <c r="P29" s="356"/>
      <c r="Q29" s="356"/>
      <c r="R29" s="356"/>
      <c r="S29" s="356"/>
      <c r="T29" s="356"/>
      <c r="U29" s="356"/>
      <c r="V29" s="356"/>
      <c r="W29" s="356"/>
      <c r="X29" s="356"/>
      <c r="AC29" s="495">
        <f>IF($AC9="BUSBAR",0,1)</f>
        <v>0</v>
      </c>
      <c r="AD29" s="8">
        <f>IF(Starpoint=0,0,180)</f>
        <v>0</v>
      </c>
      <c r="AE29" s="8">
        <f>IF(Starpoint=0,0,180)</f>
        <v>0</v>
      </c>
      <c r="AF29" s="8">
        <f>IF(Starpoint=0,0,180)</f>
        <v>0</v>
      </c>
      <c r="AG29" s="8">
        <f>IF(Starpoint=0,0,180)</f>
        <v>0</v>
      </c>
      <c r="AH29" s="8">
        <f>IF(Starpoint=0,180,0)</f>
        <v>180</v>
      </c>
      <c r="AI29" s="8">
        <f>IF(Starpoint=0,180,0)</f>
        <v>180</v>
      </c>
      <c r="AJ29" s="8">
        <f>IF(Starpoint=0,180,0)</f>
        <v>180</v>
      </c>
      <c r="AL29" s="440" t="s">
        <v>670</v>
      </c>
      <c r="AM29" s="443" t="b">
        <v>0</v>
      </c>
      <c r="AN29" s="443" t="b">
        <v>0</v>
      </c>
    </row>
    <row r="30" spans="1:41" s="3" customFormat="1">
      <c r="A30" s="356"/>
      <c r="B30" s="356"/>
      <c r="C30" s="356"/>
      <c r="D30" s="356"/>
      <c r="E30" s="356"/>
      <c r="F30" s="356"/>
      <c r="G30" s="194"/>
      <c r="H30" s="194"/>
      <c r="I30" s="194"/>
      <c r="J30" s="194"/>
      <c r="K30" s="194"/>
      <c r="L30" s="194"/>
      <c r="M30" s="194"/>
      <c r="N30" s="251"/>
      <c r="O30" s="194"/>
      <c r="P30" s="356"/>
      <c r="Q30" s="356"/>
      <c r="R30" s="356"/>
      <c r="S30" s="356"/>
      <c r="T30" s="356"/>
      <c r="U30" s="356"/>
      <c r="V30" s="356"/>
      <c r="W30" s="356"/>
      <c r="X30" s="356"/>
    </row>
    <row r="31" spans="1:41" s="3" customFormat="1" ht="13.5">
      <c r="A31" s="356"/>
      <c r="B31" s="356"/>
      <c r="C31" s="356"/>
      <c r="D31" s="356"/>
      <c r="E31" s="356"/>
      <c r="F31" s="356"/>
      <c r="G31" s="194"/>
      <c r="H31" s="194"/>
      <c r="I31" s="194"/>
      <c r="J31" s="194"/>
      <c r="K31" s="194"/>
      <c r="L31" s="194"/>
      <c r="M31" s="194"/>
      <c r="N31" s="251"/>
      <c r="O31" s="194"/>
      <c r="P31" s="356"/>
      <c r="Q31" s="356"/>
      <c r="R31" s="356"/>
      <c r="S31" s="356"/>
      <c r="T31" s="356"/>
      <c r="U31" s="356"/>
      <c r="V31" s="356"/>
      <c r="W31" s="356"/>
      <c r="X31" s="356"/>
      <c r="AC31" s="67" t="s">
        <v>46</v>
      </c>
      <c r="AD31" s="68" t="str">
        <f>IF(SUM(AF31:AF32)=0,"Old RBB","Normal")</f>
        <v>Normal</v>
      </c>
      <c r="AE31" s="439" t="s">
        <v>45</v>
      </c>
      <c r="AF31" s="64">
        <v>0</v>
      </c>
    </row>
    <row r="32" spans="1:41" s="3" customFormat="1" ht="18.75" thickBot="1">
      <c r="A32" s="356"/>
      <c r="B32" s="356"/>
      <c r="C32" s="356"/>
      <c r="D32" s="356"/>
      <c r="E32" s="356"/>
      <c r="F32" s="356"/>
      <c r="G32" s="356"/>
      <c r="H32" s="356"/>
      <c r="I32" s="356"/>
      <c r="J32" s="356"/>
      <c r="K32" s="356"/>
      <c r="L32" s="356"/>
      <c r="M32" s="356"/>
      <c r="N32" s="356"/>
      <c r="O32" s="251"/>
      <c r="P32" s="251"/>
      <c r="Q32" s="251"/>
      <c r="R32" s="251"/>
      <c r="S32" s="251"/>
      <c r="T32" s="356"/>
      <c r="U32" s="251"/>
      <c r="V32" s="356"/>
      <c r="W32" s="356"/>
      <c r="X32" s="356"/>
      <c r="AD32"/>
      <c r="AE32" s="65"/>
      <c r="AF32" s="66">
        <f>IF(AB6="GRZ100",1,0)</f>
        <v>1</v>
      </c>
      <c r="AM32" s="258"/>
    </row>
    <row r="33" spans="1:40">
      <c r="A33" s="251"/>
      <c r="B33" s="251"/>
      <c r="C33" s="595"/>
      <c r="D33" s="251"/>
      <c r="E33" s="595"/>
      <c r="F33" s="251"/>
      <c r="G33" s="595"/>
      <c r="H33" s="251"/>
      <c r="I33" s="251"/>
      <c r="J33" s="251"/>
      <c r="K33" s="251"/>
      <c r="L33" s="251"/>
      <c r="M33" s="251"/>
      <c r="N33" s="251"/>
      <c r="O33" s="251"/>
      <c r="P33" s="251"/>
      <c r="Q33" s="251"/>
      <c r="R33" s="251"/>
      <c r="S33" s="251"/>
      <c r="T33" s="251"/>
      <c r="U33" s="251"/>
      <c r="V33" s="251"/>
      <c r="W33" s="251"/>
      <c r="X33" s="251"/>
      <c r="AA33" s="92" t="s">
        <v>81</v>
      </c>
      <c r="AC33" s="1069" t="b">
        <v>0</v>
      </c>
      <c r="AE33" s="3"/>
      <c r="AI33" s="659" t="s">
        <v>908</v>
      </c>
      <c r="AJ33" s="660"/>
      <c r="AK33" s="3"/>
      <c r="AL33" s="3"/>
      <c r="AM33" s="3"/>
    </row>
    <row r="34" spans="1:40">
      <c r="A34" s="251"/>
      <c r="B34" s="251"/>
      <c r="C34" s="595"/>
      <c r="D34" s="251"/>
      <c r="E34" s="595"/>
      <c r="F34" s="251"/>
      <c r="G34" s="595"/>
      <c r="H34" s="251"/>
      <c r="I34" s="251"/>
      <c r="J34" s="251"/>
      <c r="K34" s="251"/>
      <c r="L34" s="251"/>
      <c r="M34" s="251"/>
      <c r="N34" s="251"/>
      <c r="O34" s="251"/>
      <c r="P34" s="251"/>
      <c r="Q34" s="251"/>
      <c r="R34" s="251"/>
      <c r="S34" s="251"/>
      <c r="T34" s="251"/>
      <c r="U34" s="251"/>
      <c r="V34" s="251"/>
      <c r="W34" s="251"/>
      <c r="X34" s="251"/>
      <c r="AA34" s="46" t="s">
        <v>74</v>
      </c>
      <c r="AB34" s="46">
        <v>80</v>
      </c>
      <c r="AC34" s="46">
        <v>2</v>
      </c>
      <c r="AI34" s="663" t="s">
        <v>20</v>
      </c>
      <c r="AJ34" s="664" t="s">
        <v>21</v>
      </c>
      <c r="AK34" s="3"/>
      <c r="AL34" s="3"/>
      <c r="AM34" s="3"/>
      <c r="AN34" s="258"/>
    </row>
    <row r="35" spans="1:40">
      <c r="A35" s="251"/>
      <c r="B35" s="251"/>
      <c r="C35" s="595"/>
      <c r="D35" s="251"/>
      <c r="E35" s="595"/>
      <c r="F35" s="251"/>
      <c r="G35" s="595"/>
      <c r="H35" s="251"/>
      <c r="I35" s="251"/>
      <c r="J35" s="251"/>
      <c r="K35" s="251"/>
      <c r="L35" s="251"/>
      <c r="M35" s="251"/>
      <c r="N35" s="251"/>
      <c r="O35" s="251"/>
      <c r="P35" s="251"/>
      <c r="Q35" s="251"/>
      <c r="R35" s="251"/>
      <c r="S35" s="251"/>
      <c r="T35" s="251"/>
      <c r="U35" s="251"/>
      <c r="V35" s="251"/>
      <c r="W35" s="251"/>
      <c r="X35" s="251"/>
      <c r="AA35" s="46" t="s">
        <v>534</v>
      </c>
      <c r="AB35">
        <v>120</v>
      </c>
      <c r="AC35">
        <v>1</v>
      </c>
      <c r="AH35" s="694" t="s">
        <v>63</v>
      </c>
      <c r="AI35" s="692">
        <f>R_1E</f>
        <v>65.099999999999994</v>
      </c>
      <c r="AJ35" s="661">
        <f>Xe_1*(1+(XE_XL-1)/3)</f>
        <v>14.604133333333333</v>
      </c>
      <c r="AK35" s="3"/>
      <c r="AL35" s="3"/>
      <c r="AM35" s="3"/>
    </row>
    <row r="36" spans="1:40">
      <c r="A36" s="251"/>
      <c r="B36" s="251"/>
      <c r="C36" s="595"/>
      <c r="D36" s="251"/>
      <c r="E36" s="595"/>
      <c r="F36" s="251"/>
      <c r="G36" s="595"/>
      <c r="H36" s="251"/>
      <c r="I36" s="251"/>
      <c r="J36" s="251"/>
      <c r="K36" s="251"/>
      <c r="L36" s="251"/>
      <c r="M36" s="251"/>
      <c r="N36" s="251"/>
      <c r="O36" s="251"/>
      <c r="P36" s="251"/>
      <c r="Q36" s="251"/>
      <c r="R36" s="251"/>
      <c r="S36" s="251"/>
      <c r="T36" s="251"/>
      <c r="U36" s="251"/>
      <c r="V36" s="251"/>
      <c r="W36" s="251"/>
      <c r="X36" s="251"/>
      <c r="AA36" s="46" t="s">
        <v>75</v>
      </c>
      <c r="AB36" s="46">
        <v>0.14000000000000001</v>
      </c>
      <c r="AC36" s="46">
        <v>0.02</v>
      </c>
      <c r="AH36" s="694" t="s">
        <v>761</v>
      </c>
      <c r="AI36" s="692">
        <f>R_1BE</f>
        <v>32.700000000000003</v>
      </c>
      <c r="AJ36" s="661">
        <f>Xe_X*(1+(XE_XL-1)/3)</f>
        <v>17.995066666666666</v>
      </c>
      <c r="AK36" s="3"/>
      <c r="AL36" s="3"/>
      <c r="AM36" s="3"/>
    </row>
    <row r="37" spans="1:40">
      <c r="A37" s="251"/>
      <c r="B37" s="251"/>
      <c r="C37" s="595"/>
      <c r="D37" s="251"/>
      <c r="E37" s="595"/>
      <c r="F37" s="251"/>
      <c r="G37" s="595"/>
      <c r="H37" s="251"/>
      <c r="I37" s="251"/>
      <c r="J37" s="251"/>
      <c r="K37" s="251"/>
      <c r="L37" s="251"/>
      <c r="M37" s="251"/>
      <c r="N37" s="251"/>
      <c r="O37" s="251"/>
      <c r="P37" s="251"/>
      <c r="Q37" s="251"/>
      <c r="R37" s="251"/>
      <c r="S37" s="251"/>
      <c r="T37" s="251"/>
      <c r="U37" s="251"/>
      <c r="V37" s="251"/>
      <c r="W37" s="251"/>
      <c r="X37" s="251"/>
      <c r="AA37" s="46" t="s">
        <v>76</v>
      </c>
      <c r="AB37" s="46">
        <v>13.5</v>
      </c>
      <c r="AC37" s="46">
        <v>1</v>
      </c>
      <c r="AH37" s="694" t="s">
        <v>65</v>
      </c>
      <c r="AI37" s="692">
        <f>R_2E</f>
        <v>100</v>
      </c>
      <c r="AJ37" s="661">
        <f>Xe_2*(1+(XE_XL-1)/3)</f>
        <v>20.364866666666668</v>
      </c>
      <c r="AK37" s="3"/>
      <c r="AL37" s="3"/>
      <c r="AM37" s="3"/>
    </row>
    <row r="38" spans="1:40">
      <c r="A38" s="251"/>
      <c r="B38" s="251"/>
      <c r="C38" s="595"/>
      <c r="D38" s="251"/>
      <c r="E38" s="595"/>
      <c r="F38" s="251"/>
      <c r="G38" s="595"/>
      <c r="H38" s="251"/>
      <c r="I38" s="251"/>
      <c r="J38" s="251"/>
      <c r="K38" s="251"/>
      <c r="L38" s="251"/>
      <c r="M38" s="251"/>
      <c r="N38" s="251"/>
      <c r="O38" s="251"/>
      <c r="P38" s="251"/>
      <c r="Q38" s="251"/>
      <c r="R38" s="251"/>
      <c r="S38" s="251"/>
      <c r="T38" s="251"/>
      <c r="U38" s="251"/>
      <c r="V38" s="251"/>
      <c r="W38" s="251"/>
      <c r="X38" s="251"/>
      <c r="AA38" s="94" t="s">
        <v>75</v>
      </c>
      <c r="AB38" s="94">
        <f>VLOOKUP(AA38,AA34:AC37,2)</f>
        <v>0.14000000000000001</v>
      </c>
      <c r="AC38" s="94">
        <f>VLOOKUP(AA38,AA34:AC37,3)</f>
        <v>0.02</v>
      </c>
      <c r="AH38" s="694" t="s">
        <v>66</v>
      </c>
      <c r="AI38" s="692">
        <f>R_3E</f>
        <v>100</v>
      </c>
      <c r="AJ38" s="661">
        <f>Xe_3</f>
        <v>37.6</v>
      </c>
      <c r="AK38" s="3"/>
      <c r="AL38" s="3"/>
      <c r="AM38" s="3"/>
    </row>
    <row r="39" spans="1:40">
      <c r="A39" s="251"/>
      <c r="B39" s="251"/>
      <c r="C39" s="595"/>
      <c r="D39" s="251"/>
      <c r="E39" s="595"/>
      <c r="F39" s="251"/>
      <c r="G39" s="595"/>
      <c r="H39" s="251"/>
      <c r="I39" s="251"/>
      <c r="J39" s="251"/>
      <c r="K39" s="251"/>
      <c r="L39" s="251"/>
      <c r="M39" s="251"/>
      <c r="N39" s="251"/>
      <c r="O39" s="251"/>
      <c r="P39" s="251"/>
      <c r="Q39" s="251"/>
      <c r="R39" s="251"/>
      <c r="S39" s="251"/>
      <c r="T39" s="251"/>
      <c r="U39" s="251"/>
      <c r="V39" s="251"/>
      <c r="W39" s="251"/>
      <c r="X39" s="251"/>
      <c r="AA39" s="86" t="s">
        <v>79</v>
      </c>
      <c r="AB39" s="93" t="s">
        <v>80</v>
      </c>
      <c r="AC39" s="93" t="s">
        <v>35</v>
      </c>
      <c r="AH39" s="694" t="s">
        <v>732</v>
      </c>
      <c r="AI39" s="692">
        <f>R_4E</f>
        <v>22.7</v>
      </c>
      <c r="AJ39" s="661">
        <f>Xe_4*(1+(XE_XL-1)/3)</f>
        <v>12.908666666666667</v>
      </c>
      <c r="AK39" s="3"/>
      <c r="AL39" s="3"/>
      <c r="AM39" s="3"/>
    </row>
    <row r="40" spans="1:40" ht="13.5" thickBot="1">
      <c r="A40" s="251"/>
      <c r="B40" s="251"/>
      <c r="C40" s="595"/>
      <c r="D40" s="251"/>
      <c r="E40" s="595"/>
      <c r="F40" s="251"/>
      <c r="G40" s="595"/>
      <c r="H40" s="251"/>
      <c r="I40" s="251"/>
      <c r="J40" s="251"/>
      <c r="K40" s="251"/>
      <c r="L40" s="251"/>
      <c r="M40" s="251"/>
      <c r="N40" s="251"/>
      <c r="O40" s="251"/>
      <c r="P40" s="251"/>
      <c r="Q40" s="251"/>
      <c r="R40" s="251"/>
      <c r="S40" s="251"/>
      <c r="T40" s="251"/>
      <c r="U40" s="251"/>
      <c r="V40" s="251"/>
      <c r="W40" s="251"/>
      <c r="X40" s="251"/>
      <c r="AA40" s="91">
        <v>20</v>
      </c>
      <c r="AB40" s="95">
        <f t="shared" ref="AB40:AB47" si="0">AA40*Inv_EF_Setting*In/3</f>
        <v>6.6666666666666666E-2</v>
      </c>
      <c r="AC40" s="95">
        <f t="shared" ref="AC40:AC46" si="1">$AB$38/(POWER(AA40,$AC$38)-1)*Delay_time/10 + OpTime/1000</f>
        <v>0.48147127344941298</v>
      </c>
      <c r="AH40" s="694" t="s">
        <v>735</v>
      </c>
      <c r="AI40" s="693">
        <f>R_5E</f>
        <v>22.7</v>
      </c>
      <c r="AJ40" s="662">
        <f>Xe_5</f>
        <v>48.22</v>
      </c>
      <c r="AK40" s="3"/>
      <c r="AL40" s="3"/>
      <c r="AM40" s="3"/>
    </row>
    <row r="41" spans="1:40" ht="13.5" thickBot="1">
      <c r="A41" s="251"/>
      <c r="B41" s="251"/>
      <c r="C41" s="595"/>
      <c r="D41" s="251"/>
      <c r="E41" s="595"/>
      <c r="F41" s="251"/>
      <c r="G41" s="595"/>
      <c r="H41" s="251"/>
      <c r="I41" s="251"/>
      <c r="J41" s="251"/>
      <c r="K41" s="251"/>
      <c r="L41" s="251"/>
      <c r="M41" s="251"/>
      <c r="N41" s="251"/>
      <c r="O41" s="251"/>
      <c r="P41" s="251"/>
      <c r="Q41" s="251"/>
      <c r="R41" s="251"/>
      <c r="S41" s="251"/>
      <c r="T41" s="251"/>
      <c r="U41" s="251"/>
      <c r="V41" s="251"/>
      <c r="W41" s="251"/>
      <c r="X41" s="251"/>
      <c r="AA41" s="90">
        <v>10</v>
      </c>
      <c r="AB41" s="95">
        <f t="shared" si="0"/>
        <v>3.3333333333333333E-2</v>
      </c>
      <c r="AC41" s="95">
        <f t="shared" si="1"/>
        <v>0.62211972483768307</v>
      </c>
      <c r="AH41" s="694" t="s">
        <v>359</v>
      </c>
      <c r="AI41" s="693">
        <f>R_5E</f>
        <v>22.7</v>
      </c>
      <c r="AJ41" s="662">
        <f>Xe_6</f>
        <v>41.4</v>
      </c>
      <c r="AK41" s="3"/>
      <c r="AL41" s="3"/>
      <c r="AM41" s="3"/>
    </row>
    <row r="42" spans="1:40">
      <c r="A42" s="251"/>
      <c r="B42" s="251"/>
      <c r="C42" s="595"/>
      <c r="D42" s="251"/>
      <c r="E42" s="595"/>
      <c r="F42" s="251"/>
      <c r="G42" s="595"/>
      <c r="H42" s="251"/>
      <c r="I42" s="251"/>
      <c r="J42" s="251"/>
      <c r="K42" s="251"/>
      <c r="L42" s="251"/>
      <c r="M42" s="251"/>
      <c r="N42" s="251"/>
      <c r="O42" s="251"/>
      <c r="P42" s="251"/>
      <c r="Q42" s="251"/>
      <c r="R42" s="251"/>
      <c r="S42" s="251"/>
      <c r="T42" s="251"/>
      <c r="U42" s="251"/>
      <c r="V42" s="251"/>
      <c r="W42" s="251"/>
      <c r="X42" s="251"/>
      <c r="AA42" s="90">
        <v>8</v>
      </c>
      <c r="AB42" s="95">
        <f t="shared" si="0"/>
        <v>2.6666666666666668E-2</v>
      </c>
      <c r="AC42" s="95">
        <f t="shared" si="1"/>
        <v>0.68735472355616911</v>
      </c>
      <c r="AJ42" s="3"/>
      <c r="AK42" s="3"/>
      <c r="AL42" s="3"/>
      <c r="AM42" s="3"/>
    </row>
    <row r="43" spans="1:40">
      <c r="A43" s="251"/>
      <c r="B43" s="251"/>
      <c r="C43" s="595"/>
      <c r="D43" s="251"/>
      <c r="E43" s="595"/>
      <c r="F43" s="251"/>
      <c r="G43" s="595"/>
      <c r="H43" s="251"/>
      <c r="I43" s="251"/>
      <c r="J43" s="251"/>
      <c r="K43" s="251"/>
      <c r="L43" s="251"/>
      <c r="M43" s="251"/>
      <c r="N43" s="251"/>
      <c r="O43" s="251"/>
      <c r="P43" s="251"/>
      <c r="Q43" s="251"/>
      <c r="R43" s="251"/>
      <c r="S43" s="251"/>
      <c r="T43" s="251"/>
      <c r="U43" s="251"/>
      <c r="V43" s="251"/>
      <c r="W43" s="251"/>
      <c r="X43" s="251"/>
      <c r="AA43" s="90">
        <v>6</v>
      </c>
      <c r="AB43" s="95">
        <f t="shared" si="0"/>
        <v>0.02</v>
      </c>
      <c r="AC43" s="95">
        <f t="shared" si="1"/>
        <v>0.79543849082410156</v>
      </c>
      <c r="AE43" s="681" t="s">
        <v>910</v>
      </c>
      <c r="AF43" s="351" t="s">
        <v>8</v>
      </c>
      <c r="AG43" s="456" t="s">
        <v>936</v>
      </c>
      <c r="AH43" s="397" t="s">
        <v>9</v>
      </c>
      <c r="AI43" s="455" t="s">
        <v>10</v>
      </c>
      <c r="AJ43" s="746" t="s">
        <v>352</v>
      </c>
      <c r="AK43" s="683" t="s">
        <v>353</v>
      </c>
      <c r="AL43" s="678" t="s">
        <v>912</v>
      </c>
      <c r="AM43" s="3"/>
    </row>
    <row r="44" spans="1:40">
      <c r="A44" s="251"/>
      <c r="B44" s="251"/>
      <c r="C44" s="595"/>
      <c r="D44" s="251"/>
      <c r="E44" s="595"/>
      <c r="F44" s="251"/>
      <c r="G44" s="595"/>
      <c r="H44" s="251"/>
      <c r="I44" s="251"/>
      <c r="J44" s="251"/>
      <c r="K44" s="251"/>
      <c r="L44" s="251"/>
      <c r="M44" s="251"/>
      <c r="N44" s="251"/>
      <c r="O44" s="251"/>
      <c r="P44" s="251"/>
      <c r="Q44" s="251"/>
      <c r="R44" s="251"/>
      <c r="S44" s="251"/>
      <c r="T44" s="251"/>
      <c r="U44" s="251"/>
      <c r="V44" s="251"/>
      <c r="W44" s="251"/>
      <c r="X44" s="251"/>
      <c r="AA44" s="90">
        <v>4</v>
      </c>
      <c r="AB44" s="95">
        <f t="shared" si="0"/>
        <v>1.3333333333333334E-2</v>
      </c>
      <c r="AC44" s="95">
        <f t="shared" si="1"/>
        <v>1.0239512215302795</v>
      </c>
      <c r="AE44" s="682" t="s">
        <v>911</v>
      </c>
      <c r="AF44" s="351" t="s">
        <v>8</v>
      </c>
      <c r="AG44" s="456" t="s">
        <v>716</v>
      </c>
      <c r="AH44" s="397" t="s">
        <v>9</v>
      </c>
      <c r="AI44" s="455" t="s">
        <v>10</v>
      </c>
      <c r="AJ44" s="746" t="s">
        <v>712</v>
      </c>
      <c r="AK44" s="683" t="s">
        <v>714</v>
      </c>
      <c r="AL44" s="678" t="s">
        <v>352</v>
      </c>
      <c r="AM44" s="3"/>
    </row>
    <row r="45" spans="1:40">
      <c r="A45" s="251"/>
      <c r="B45" s="251"/>
      <c r="C45" s="595"/>
      <c r="D45" s="251"/>
      <c r="E45" s="595"/>
      <c r="F45" s="251"/>
      <c r="G45" s="595"/>
      <c r="H45" s="251"/>
      <c r="I45" s="251"/>
      <c r="J45" s="251"/>
      <c r="K45" s="251"/>
      <c r="L45" s="251"/>
      <c r="M45" s="251"/>
      <c r="N45" s="251"/>
      <c r="O45" s="251"/>
      <c r="P45" s="251"/>
      <c r="Q45" s="251"/>
      <c r="R45" s="251"/>
      <c r="S45" s="251"/>
      <c r="T45" s="251"/>
      <c r="U45" s="251"/>
      <c r="V45" s="251"/>
      <c r="W45" s="251"/>
      <c r="X45" s="251"/>
      <c r="AA45" s="90">
        <v>2</v>
      </c>
      <c r="AB45" s="95">
        <f t="shared" si="0"/>
        <v>6.6666666666666671E-3</v>
      </c>
      <c r="AC45" s="95">
        <f t="shared" si="1"/>
        <v>2.0338054040093745</v>
      </c>
      <c r="AE45" s="396" t="s">
        <v>20</v>
      </c>
      <c r="AF45" s="351"/>
      <c r="AG45" s="456"/>
      <c r="AH45" s="397">
        <f>IF($E$103="Off",0.00001,AB19)</f>
        <v>17</v>
      </c>
      <c r="AI45" s="455">
        <f>IF($F$103="Off",0.00001,AB20)</f>
        <v>25</v>
      </c>
      <c r="AJ45" s="746">
        <f>IF($G$103="Off",0.00001,BRRS)</f>
        <v>8</v>
      </c>
      <c r="AK45" s="504">
        <f>BRRS</f>
        <v>8</v>
      </c>
      <c r="AL45" s="678">
        <f>BRRS</f>
        <v>8</v>
      </c>
    </row>
    <row r="46" spans="1:40">
      <c r="A46" s="251"/>
      <c r="B46" s="251"/>
      <c r="C46" s="595"/>
      <c r="D46" s="251"/>
      <c r="E46" s="595"/>
      <c r="F46" s="251"/>
      <c r="G46" s="595"/>
      <c r="H46" s="251"/>
      <c r="I46" s="251"/>
      <c r="J46" s="251"/>
      <c r="K46" s="251"/>
      <c r="L46" s="251"/>
      <c r="M46" s="251"/>
      <c r="N46" s="251"/>
      <c r="O46" s="251"/>
      <c r="P46" s="251"/>
      <c r="Q46" s="251"/>
      <c r="R46" s="251"/>
      <c r="S46" s="251"/>
      <c r="T46" s="251"/>
      <c r="U46" s="251"/>
      <c r="V46" s="251"/>
      <c r="W46" s="251"/>
      <c r="X46" s="251"/>
      <c r="AA46" s="90">
        <v>1.5</v>
      </c>
      <c r="AB46" s="95">
        <f t="shared" si="0"/>
        <v>5.0000000000000001E-3</v>
      </c>
      <c r="AC46" s="95">
        <f t="shared" si="1"/>
        <v>3.4668437690112861</v>
      </c>
      <c r="AE46" s="396" t="s">
        <v>21</v>
      </c>
      <c r="AF46" s="351"/>
      <c r="AG46" s="456"/>
      <c r="AH46" s="397">
        <f>IF($E$103="Off",0.00001,H15)</f>
        <v>10.57</v>
      </c>
      <c r="AI46" s="455">
        <f>IF($F$103="Off",0.00001,H17)</f>
        <v>19.5</v>
      </c>
      <c r="AJ46" s="746">
        <f>IF($G$103="Off",0.00001,K12)</f>
        <v>5.4</v>
      </c>
      <c r="AK46" s="679"/>
      <c r="AL46" s="744">
        <f>X_6</f>
        <v>23.4</v>
      </c>
    </row>
    <row r="47" spans="1:40">
      <c r="A47" s="251"/>
      <c r="B47" s="251"/>
      <c r="C47" s="595"/>
      <c r="D47" s="251"/>
      <c r="E47" s="595"/>
      <c r="F47" s="251"/>
      <c r="G47" s="595"/>
      <c r="H47" s="251"/>
      <c r="I47" s="251"/>
      <c r="J47" s="251"/>
      <c r="K47" s="251"/>
      <c r="L47" s="251"/>
      <c r="M47" s="251"/>
      <c r="N47" s="251"/>
      <c r="O47" s="251"/>
      <c r="P47" s="251"/>
      <c r="Q47" s="251"/>
      <c r="R47" s="251"/>
      <c r="S47" s="251"/>
      <c r="T47" s="251"/>
      <c r="U47" s="251"/>
      <c r="V47" s="251"/>
      <c r="W47" s="251"/>
      <c r="X47" s="251"/>
      <c r="AA47" s="90">
        <v>1</v>
      </c>
      <c r="AB47" s="95">
        <f t="shared" si="0"/>
        <v>3.3333333333333335E-3</v>
      </c>
      <c r="AC47" s="95"/>
      <c r="AE47" s="396" t="s">
        <v>677</v>
      </c>
      <c r="AF47" s="351">
        <f>IF($AB$15=$AB$13,BFRG,N17)</f>
        <v>65.099999999999994</v>
      </c>
      <c r="AG47" s="650">
        <f>IF($AB$15=$AB$13,BFRG,N18)</f>
        <v>32.700000000000003</v>
      </c>
      <c r="AH47" s="397">
        <f>IF($AB$15=$AB$13,BFRG,N20)</f>
        <v>100</v>
      </c>
      <c r="AI47" s="455">
        <f>IF($F$103="Off",0.00001,BFRG)</f>
        <v>100</v>
      </c>
      <c r="AJ47" s="746">
        <f>IF($G$103="Off",0.00001,BRRG)</f>
        <v>22.7</v>
      </c>
      <c r="AK47" s="745">
        <f>BRRG</f>
        <v>22.7</v>
      </c>
      <c r="AL47" s="872">
        <f>BRRG</f>
        <v>22.7</v>
      </c>
    </row>
    <row r="48" spans="1:40">
      <c r="A48" s="251"/>
      <c r="B48" s="251"/>
      <c r="C48" s="595"/>
      <c r="D48" s="251"/>
      <c r="E48" s="595"/>
      <c r="F48" s="251"/>
      <c r="G48" s="595"/>
      <c r="H48" s="251"/>
      <c r="I48" s="251"/>
      <c r="J48" s="251"/>
      <c r="K48" s="251"/>
      <c r="L48" s="251"/>
      <c r="M48" s="251"/>
      <c r="N48" s="251"/>
      <c r="O48" s="251"/>
      <c r="P48" s="251"/>
      <c r="Q48" s="251"/>
      <c r="R48" s="251"/>
      <c r="S48" s="251"/>
      <c r="T48" s="251"/>
      <c r="U48" s="251"/>
      <c r="V48" s="251"/>
      <c r="W48" s="251"/>
      <c r="X48" s="251"/>
      <c r="AE48" s="396" t="s">
        <v>678</v>
      </c>
      <c r="AF48" s="351">
        <f>IF($E$103="Off",0,I19)</f>
        <v>0</v>
      </c>
      <c r="AG48" s="456" t="str">
        <f>IF($E$103="Off",0,J19)</f>
        <v>TZ2S, TZ2G</v>
      </c>
      <c r="AH48" s="397">
        <f>IF($E$103="Off",0,K19)</f>
        <v>0.4</v>
      </c>
      <c r="AI48" s="455">
        <f>IF($F$103="Off",0,N9)</f>
        <v>4.5</v>
      </c>
      <c r="AJ48" s="746">
        <f>IF($G$103="Off",0,N10)</f>
        <v>0.5</v>
      </c>
      <c r="AK48" s="679"/>
      <c r="AL48" s="744"/>
    </row>
    <row r="49" spans="1:38">
      <c r="A49" s="251"/>
      <c r="B49" s="251"/>
      <c r="C49" s="595"/>
      <c r="D49" s="251"/>
      <c r="E49" s="595"/>
      <c r="F49" s="251"/>
      <c r="G49" s="595"/>
      <c r="H49" s="251"/>
      <c r="I49" s="251"/>
      <c r="J49" s="251"/>
      <c r="K49" s="251"/>
      <c r="L49" s="251"/>
      <c r="M49" s="251"/>
      <c r="N49" s="251"/>
      <c r="O49" s="251"/>
      <c r="P49" s="251"/>
      <c r="Q49" s="251"/>
      <c r="R49" s="251"/>
      <c r="S49" s="251"/>
      <c r="T49" s="251"/>
      <c r="U49" s="251"/>
      <c r="V49" s="251"/>
      <c r="W49" s="251"/>
      <c r="X49" s="251"/>
      <c r="AA49" s="1169" t="s">
        <v>111</v>
      </c>
      <c r="AB49" s="1169"/>
      <c r="AC49" s="1169"/>
    </row>
    <row r="50" spans="1:38">
      <c r="A50" s="251"/>
      <c r="B50" s="251"/>
      <c r="C50" s="595"/>
      <c r="D50" s="251"/>
      <c r="E50" s="595"/>
      <c r="F50" s="251"/>
      <c r="G50" s="595"/>
      <c r="H50" s="251"/>
      <c r="I50" s="251"/>
      <c r="J50" s="251"/>
      <c r="K50" s="251"/>
      <c r="L50" s="251"/>
      <c r="M50" s="251"/>
      <c r="N50" s="251"/>
      <c r="O50" s="251"/>
      <c r="P50" s="251"/>
      <c r="Q50" s="251"/>
      <c r="R50" s="251"/>
      <c r="S50" s="251"/>
      <c r="T50" s="251"/>
      <c r="U50" s="251"/>
      <c r="V50" s="251"/>
      <c r="W50" s="251"/>
      <c r="X50" s="251"/>
      <c r="AA50" s="37" t="s">
        <v>112</v>
      </c>
      <c r="AB50" s="1081" t="b">
        <v>0</v>
      </c>
      <c r="AC50" s="1060" t="b">
        <f>(AND($AB$6="GRZ100",$AB50=TRUE))</f>
        <v>0</v>
      </c>
    </row>
    <row r="51" spans="1:38" ht="13.5" thickBot="1">
      <c r="A51" s="251"/>
      <c r="B51" s="251"/>
      <c r="C51" s="595"/>
      <c r="D51" s="251"/>
      <c r="E51" s="595"/>
      <c r="F51" s="251"/>
      <c r="G51" s="595"/>
      <c r="H51" s="251"/>
      <c r="I51" s="251"/>
      <c r="J51" s="251"/>
      <c r="K51" s="251"/>
      <c r="L51" s="251"/>
      <c r="M51" s="251"/>
      <c r="N51" s="251"/>
      <c r="O51" s="251"/>
      <c r="P51" s="251"/>
      <c r="Q51" s="251"/>
      <c r="R51" s="251"/>
      <c r="S51" s="251"/>
      <c r="T51" s="251"/>
      <c r="U51" s="251"/>
      <c r="V51" s="251"/>
      <c r="W51" s="251"/>
      <c r="X51" s="251"/>
      <c r="AA51" s="37" t="s">
        <v>113</v>
      </c>
      <c r="AB51" s="1081" t="b">
        <v>0</v>
      </c>
      <c r="AC51" s="1060" t="b">
        <f>(AND($AB$6="GRZ100",$AB51=TRUE))</f>
        <v>0</v>
      </c>
    </row>
    <row r="52" spans="1:38" ht="13.5" thickBot="1">
      <c r="A52" s="251"/>
      <c r="B52" s="251"/>
      <c r="C52" s="595"/>
      <c r="D52" s="251"/>
      <c r="E52" s="595"/>
      <c r="F52" s="251"/>
      <c r="G52" s="595"/>
      <c r="H52" s="251"/>
      <c r="I52" s="251"/>
      <c r="J52" s="251"/>
      <c r="K52" s="251"/>
      <c r="L52" s="251"/>
      <c r="M52" s="251"/>
      <c r="N52" s="251"/>
      <c r="O52" s="251"/>
      <c r="P52" s="251"/>
      <c r="Q52" s="251"/>
      <c r="R52" s="251"/>
      <c r="S52" s="251"/>
      <c r="T52" s="251"/>
      <c r="U52" s="251"/>
      <c r="V52" s="251"/>
      <c r="W52" s="251"/>
      <c r="X52" s="251"/>
      <c r="AE52" s="1170" t="s">
        <v>1125</v>
      </c>
      <c r="AF52" s="1171"/>
      <c r="AG52" s="1171"/>
      <c r="AH52" s="1171"/>
      <c r="AI52" s="1171"/>
      <c r="AJ52" s="1172"/>
    </row>
    <row r="53" spans="1:38">
      <c r="A53" s="251"/>
      <c r="B53" s="251"/>
      <c r="C53" s="595"/>
      <c r="D53" s="251"/>
      <c r="E53" s="595"/>
      <c r="F53" s="251"/>
      <c r="G53" s="595"/>
      <c r="H53" s="251"/>
      <c r="I53" s="251"/>
      <c r="J53" s="251"/>
      <c r="K53" s="251"/>
      <c r="L53" s="251"/>
      <c r="M53" s="251"/>
      <c r="N53" s="251"/>
      <c r="O53" s="251"/>
      <c r="P53" s="251"/>
      <c r="Q53" s="251"/>
      <c r="R53" s="251"/>
      <c r="S53" s="251"/>
      <c r="T53" s="251"/>
      <c r="U53" s="251"/>
      <c r="V53" s="251"/>
      <c r="W53" s="251"/>
      <c r="X53" s="251"/>
      <c r="AE53" s="973">
        <f>Vh</f>
        <v>57.736720554272516</v>
      </c>
      <c r="AF53" s="974">
        <v>0</v>
      </c>
      <c r="AG53" s="975">
        <f>Q74</f>
        <v>23.960739030023092</v>
      </c>
      <c r="AH53" s="976">
        <f t="shared" ref="AH53:AH58" si="2">AF53</f>
        <v>0</v>
      </c>
    </row>
    <row r="54" spans="1:38">
      <c r="A54" s="251"/>
      <c r="B54" s="251"/>
      <c r="C54" s="595"/>
      <c r="D54" s="251"/>
      <c r="E54" s="595"/>
      <c r="F54" s="251"/>
      <c r="G54" s="595"/>
      <c r="H54" s="251"/>
      <c r="I54" s="251"/>
      <c r="J54" s="251"/>
      <c r="K54" s="251"/>
      <c r="L54" s="251"/>
      <c r="M54" s="251"/>
      <c r="N54" s="251"/>
      <c r="O54" s="251"/>
      <c r="P54" s="251"/>
      <c r="Q54" s="251"/>
      <c r="R54" s="251"/>
      <c r="S54" s="251"/>
      <c r="T54" s="251"/>
      <c r="U54" s="251"/>
      <c r="V54" s="251"/>
      <c r="W54" s="251"/>
      <c r="X54" s="251"/>
      <c r="AE54" s="955">
        <f>Vh</f>
        <v>57.736720554272516</v>
      </c>
      <c r="AF54" s="435">
        <v>-120</v>
      </c>
      <c r="AG54" s="750">
        <f>Vh</f>
        <v>57.736720554272516</v>
      </c>
      <c r="AH54" s="956">
        <f t="shared" si="2"/>
        <v>-120</v>
      </c>
      <c r="AI54" s="971" t="b">
        <v>1</v>
      </c>
      <c r="AJ54" s="1045">
        <v>83</v>
      </c>
    </row>
    <row r="55" spans="1:38" ht="13.5" thickBot="1">
      <c r="A55" s="251"/>
      <c r="B55" s="251"/>
      <c r="C55" s="595"/>
      <c r="D55" s="251"/>
      <c r="E55" s="595"/>
      <c r="F55" s="251"/>
      <c r="G55" s="595"/>
      <c r="H55" s="251"/>
      <c r="I55" s="251"/>
      <c r="J55" s="251"/>
      <c r="K55" s="251"/>
      <c r="L55" s="251"/>
      <c r="M55" s="251"/>
      <c r="N55" s="251"/>
      <c r="O55" s="251"/>
      <c r="P55" s="251"/>
      <c r="Q55" s="251"/>
      <c r="R55" s="251"/>
      <c r="S55" s="251"/>
      <c r="T55" s="251"/>
      <c r="U55" s="251"/>
      <c r="V55" s="251"/>
      <c r="W55" s="251"/>
      <c r="X55" s="251"/>
      <c r="AA55" s="92"/>
      <c r="AE55" s="955">
        <f>Vh</f>
        <v>57.736720554272516</v>
      </c>
      <c r="AF55" s="435">
        <v>120</v>
      </c>
      <c r="AG55" s="750">
        <f>Vh</f>
        <v>57.736720554272516</v>
      </c>
      <c r="AH55" s="956">
        <f t="shared" si="2"/>
        <v>120</v>
      </c>
      <c r="AI55" s="972" t="str">
        <f>IF(AG56&gt;30,"warning","OK")</f>
        <v>OK</v>
      </c>
      <c r="AJ55" s="963" t="str">
        <f>IF(AG56&lt;Je_,"Warning","OK")</f>
        <v>OK</v>
      </c>
    </row>
    <row r="56" spans="1:38">
      <c r="A56" s="251"/>
      <c r="B56" s="251"/>
      <c r="C56" s="595"/>
      <c r="D56" s="251"/>
      <c r="E56" s="595"/>
      <c r="F56" s="251"/>
      <c r="G56" s="595"/>
      <c r="H56" s="251"/>
      <c r="I56" s="251"/>
      <c r="J56" s="251"/>
      <c r="K56" s="251"/>
      <c r="L56" s="251"/>
      <c r="M56" s="251"/>
      <c r="N56" s="251"/>
      <c r="O56" s="251"/>
      <c r="P56" s="251"/>
      <c r="Q56" s="251"/>
      <c r="R56" s="251"/>
      <c r="S56" s="251"/>
      <c r="T56" s="251"/>
      <c r="U56" s="251"/>
      <c r="V56" s="251"/>
      <c r="W56" s="251"/>
      <c r="X56" s="251"/>
      <c r="AB56" s="47"/>
      <c r="AE56" s="957">
        <v>0</v>
      </c>
      <c r="AF56" s="435">
        <v>0</v>
      </c>
      <c r="AG56" s="265">
        <f>Q75</f>
        <v>0.46600000000000003</v>
      </c>
      <c r="AH56" s="956">
        <f>MOD(180-$Q$73,360)</f>
        <v>148</v>
      </c>
    </row>
    <row r="57" spans="1:38">
      <c r="A57" s="251"/>
      <c r="B57" s="251"/>
      <c r="C57" s="595"/>
      <c r="D57" s="251"/>
      <c r="E57" s="595"/>
      <c r="F57" s="251"/>
      <c r="G57" s="595"/>
      <c r="H57" s="251"/>
      <c r="I57" s="251"/>
      <c r="J57" s="251"/>
      <c r="K57" s="251"/>
      <c r="L57" s="251"/>
      <c r="M57" s="251"/>
      <c r="N57" s="251"/>
      <c r="O57" s="251"/>
      <c r="P57" s="251"/>
      <c r="Q57" s="251"/>
      <c r="R57" s="251"/>
      <c r="S57" s="251"/>
      <c r="T57" s="251"/>
      <c r="U57" s="251"/>
      <c r="V57" s="251"/>
      <c r="W57" s="251"/>
      <c r="X57" s="251"/>
      <c r="AB57" s="47"/>
      <c r="AE57" s="957">
        <v>0</v>
      </c>
      <c r="AF57" s="435">
        <v>0</v>
      </c>
      <c r="AG57" s="265">
        <v>0</v>
      </c>
      <c r="AH57" s="956">
        <f t="shared" si="2"/>
        <v>0</v>
      </c>
    </row>
    <row r="58" spans="1:38" ht="13.5" thickBot="1">
      <c r="A58" s="251"/>
      <c r="B58" s="251"/>
      <c r="C58" s="595"/>
      <c r="D58" s="251"/>
      <c r="E58" s="595"/>
      <c r="F58" s="251"/>
      <c r="G58" s="595"/>
      <c r="H58" s="251"/>
      <c r="I58" s="251"/>
      <c r="J58" s="251"/>
      <c r="K58" s="251"/>
      <c r="L58" s="251"/>
      <c r="M58" s="251"/>
      <c r="N58" s="251"/>
      <c r="O58" s="251"/>
      <c r="P58" s="251"/>
      <c r="Q58" s="251"/>
      <c r="R58" s="251"/>
      <c r="S58" s="251"/>
      <c r="T58" s="251"/>
      <c r="U58" s="251"/>
      <c r="V58" s="251"/>
      <c r="W58" s="251"/>
      <c r="X58" s="251"/>
      <c r="AE58" s="952">
        <v>0</v>
      </c>
      <c r="AF58" s="958">
        <v>0</v>
      </c>
      <c r="AG58" s="960">
        <v>0</v>
      </c>
      <c r="AH58" s="959">
        <f t="shared" si="2"/>
        <v>0</v>
      </c>
    </row>
    <row r="59" spans="1:38" ht="13.5" thickBot="1">
      <c r="A59" s="251"/>
      <c r="B59" s="251"/>
      <c r="C59" s="595"/>
      <c r="D59" s="251"/>
      <c r="E59" s="595"/>
      <c r="F59" s="251"/>
      <c r="G59" s="595"/>
      <c r="H59" s="251"/>
      <c r="I59" s="251"/>
      <c r="J59" s="251"/>
      <c r="K59" s="251"/>
      <c r="L59" s="251"/>
      <c r="M59" s="251"/>
      <c r="N59" s="251"/>
      <c r="O59" s="251"/>
      <c r="P59" s="251"/>
      <c r="Q59" s="251"/>
      <c r="R59" s="251"/>
      <c r="S59" s="251"/>
      <c r="T59" s="251"/>
      <c r="U59" s="251"/>
      <c r="V59" s="251"/>
      <c r="W59" s="251"/>
      <c r="X59" s="251"/>
      <c r="AA59" s="751" t="s">
        <v>101</v>
      </c>
      <c r="AB59" s="1025">
        <f>DEGREES(ATAN(MVar/MW))</f>
        <v>45</v>
      </c>
    </row>
    <row r="60" spans="1:38">
      <c r="A60" s="251"/>
      <c r="B60" s="251"/>
      <c r="C60" s="595"/>
      <c r="D60" s="251"/>
      <c r="E60" s="595"/>
      <c r="F60" s="251"/>
      <c r="G60" s="595"/>
      <c r="H60" s="251"/>
      <c r="I60" s="251"/>
      <c r="J60" s="251"/>
      <c r="K60" s="251"/>
      <c r="L60" s="251"/>
      <c r="M60" s="251"/>
      <c r="N60" s="251"/>
      <c r="O60" s="251"/>
      <c r="P60" s="251"/>
      <c r="Q60" s="251"/>
      <c r="R60" s="251"/>
      <c r="S60" s="251"/>
      <c r="T60" s="251"/>
      <c r="U60" s="251"/>
      <c r="V60" s="251"/>
      <c r="W60" s="251"/>
      <c r="X60" s="251"/>
      <c r="AA60" s="751" t="s">
        <v>99</v>
      </c>
      <c r="AB60" s="1025">
        <f>IF(MW&lt;0,-1,1)</f>
        <v>1</v>
      </c>
      <c r="AE60" s="1173" t="s">
        <v>1126</v>
      </c>
      <c r="AF60" s="1160"/>
      <c r="AG60" s="1160"/>
      <c r="AH60" s="976">
        <f>DEGREES(ATAN(C74/(Vh)))</f>
        <v>42.55068818841437</v>
      </c>
      <c r="AI60" s="1160" t="s">
        <v>1127</v>
      </c>
      <c r="AJ60" s="1160"/>
      <c r="AK60" s="1160"/>
      <c r="AL60" s="1161"/>
    </row>
    <row r="61" spans="1:38">
      <c r="A61" s="251"/>
      <c r="B61" s="251"/>
      <c r="C61" s="595"/>
      <c r="D61" s="251"/>
      <c r="E61" s="595"/>
      <c r="F61" s="251"/>
      <c r="G61" s="595"/>
      <c r="H61" s="251"/>
      <c r="I61" s="251"/>
      <c r="J61" s="251"/>
      <c r="K61" s="251"/>
      <c r="L61" s="251"/>
      <c r="M61" s="251"/>
      <c r="N61" s="251"/>
      <c r="O61" s="251"/>
      <c r="P61" s="251"/>
      <c r="Q61" s="251"/>
      <c r="R61" s="251"/>
      <c r="S61" s="251"/>
      <c r="T61" s="251"/>
      <c r="U61" s="251"/>
      <c r="V61" s="251"/>
      <c r="W61" s="251"/>
      <c r="X61" s="251"/>
      <c r="AA61" s="751" t="s">
        <v>102</v>
      </c>
      <c r="AB61" s="1026"/>
      <c r="AE61" s="955">
        <f>Vh</f>
        <v>57.736720554272516</v>
      </c>
      <c r="AF61" s="435">
        <v>150</v>
      </c>
      <c r="AG61" s="750">
        <f>C74/2/SIN(RADIANS(AH60))</f>
        <v>39.187143619949367</v>
      </c>
      <c r="AH61" s="956">
        <f>90+DEGREES(ATAN(C74/(Vh)))</f>
        <v>132.55068818841437</v>
      </c>
      <c r="AI61" s="983">
        <f>Vh</f>
        <v>57.736720554272516</v>
      </c>
      <c r="AJ61" s="435">
        <v>0</v>
      </c>
      <c r="AK61" s="750">
        <f>C74/1.732</f>
        <v>30.600461893764436</v>
      </c>
      <c r="AL61" s="956">
        <v>0</v>
      </c>
    </row>
    <row r="62" spans="1:38" ht="13.5" thickBot="1">
      <c r="A62" s="251"/>
      <c r="B62" s="251"/>
      <c r="C62" s="595"/>
      <c r="D62" s="251"/>
      <c r="E62" s="595"/>
      <c r="F62" s="251"/>
      <c r="G62" s="595"/>
      <c r="H62" s="251"/>
      <c r="I62" s="251"/>
      <c r="J62" s="251"/>
      <c r="K62" s="251"/>
      <c r="L62" s="251"/>
      <c r="M62" s="251"/>
      <c r="N62" s="251"/>
      <c r="O62" s="251"/>
      <c r="P62" s="251"/>
      <c r="Q62" s="251"/>
      <c r="R62" s="251"/>
      <c r="S62" s="251"/>
      <c r="T62" s="251"/>
      <c r="U62" s="251"/>
      <c r="V62" s="251"/>
      <c r="W62" s="251"/>
      <c r="X62" s="251"/>
      <c r="AA62" s="1027"/>
      <c r="AB62" s="1025"/>
      <c r="AE62" s="955">
        <f>Vh</f>
        <v>57.736720554272516</v>
      </c>
      <c r="AF62" s="435">
        <v>30</v>
      </c>
      <c r="AG62" s="750">
        <f>AG61</f>
        <v>39.187143619949367</v>
      </c>
      <c r="AH62" s="956">
        <f>90-DEGREES(ATAN(C74/(Vh)))</f>
        <v>47.44931181158563</v>
      </c>
      <c r="AI62" s="983">
        <f>Vh</f>
        <v>57.736720554272516</v>
      </c>
      <c r="AJ62" s="435">
        <v>-120</v>
      </c>
      <c r="AK62" s="750">
        <f>AK61</f>
        <v>30.600461893764436</v>
      </c>
      <c r="AL62" s="956">
        <v>-120</v>
      </c>
    </row>
    <row r="63" spans="1:38" ht="13.5" thickBot="1">
      <c r="A63" s="251"/>
      <c r="B63" s="251"/>
      <c r="C63" s="595"/>
      <c r="D63" s="251"/>
      <c r="E63" s="595"/>
      <c r="F63" s="251"/>
      <c r="G63" s="595"/>
      <c r="H63" s="251"/>
      <c r="I63" s="251"/>
      <c r="J63" s="251"/>
      <c r="K63" s="251"/>
      <c r="L63" s="251"/>
      <c r="M63" s="251"/>
      <c r="N63" s="251"/>
      <c r="O63" s="251"/>
      <c r="P63" s="970">
        <f>Q72*COS(RADIANS(Q73))*AI54</f>
        <v>43.600945384424811</v>
      </c>
      <c r="Q63" s="962">
        <f>Q72*SIN(RADIANS(Q73))*AI54</f>
        <v>27.244894484999516</v>
      </c>
      <c r="R63" s="251"/>
      <c r="S63" s="251"/>
      <c r="T63" s="251"/>
      <c r="U63" s="251"/>
      <c r="V63" s="251"/>
      <c r="W63" s="251"/>
      <c r="X63" s="251"/>
      <c r="AA63" s="751">
        <f>IF(AND(AB59&gt;-30,AB59&lt;120),1,0)</f>
        <v>1</v>
      </c>
      <c r="AB63" s="1025"/>
      <c r="AE63" s="955">
        <f>Vh</f>
        <v>57.736720554272516</v>
      </c>
      <c r="AF63" s="435">
        <v>270</v>
      </c>
      <c r="AG63" s="750">
        <f>Vh</f>
        <v>57.736720554272516</v>
      </c>
      <c r="AH63" s="956">
        <v>270</v>
      </c>
      <c r="AI63" s="983">
        <f>Vh</f>
        <v>57.736720554272516</v>
      </c>
      <c r="AJ63" s="435">
        <v>120</v>
      </c>
      <c r="AK63" s="750">
        <f>AK61</f>
        <v>30.600461893764436</v>
      </c>
      <c r="AL63" s="956">
        <v>120</v>
      </c>
    </row>
    <row r="64" spans="1:38" ht="13.5" thickBot="1">
      <c r="A64" s="251"/>
      <c r="B64" s="251"/>
      <c r="C64" s="595"/>
      <c r="D64" s="251"/>
      <c r="E64" s="595"/>
      <c r="F64" s="251"/>
      <c r="G64" s="595"/>
      <c r="H64" s="251"/>
      <c r="I64" s="251"/>
      <c r="J64" s="251"/>
      <c r="K64" s="251"/>
      <c r="L64" s="251"/>
      <c r="M64" s="251"/>
      <c r="N64" s="251"/>
      <c r="O64" s="251"/>
      <c r="P64" s="1083" t="e">
        <f>IF($AG81=TRUE,AF82,IF($AI81=TRUE,AH82,AJ82))*$AG$83</f>
        <v>#N/A</v>
      </c>
      <c r="Q64" s="1083" t="e">
        <f>IF($AG81=TRUE,AG82,IF($AI81=TRUE,AI82,AK82))*$AG$83</f>
        <v>#N/A</v>
      </c>
      <c r="R64" s="251"/>
      <c r="S64" s="251"/>
      <c r="T64" s="251"/>
      <c r="U64" s="251"/>
      <c r="V64" s="251"/>
      <c r="W64" s="251"/>
      <c r="X64" s="251"/>
      <c r="AA64" s="751">
        <f>IF(AND(AB59&gt;150,AB59&lt;300),1,0)</f>
        <v>0</v>
      </c>
      <c r="AB64" s="1025"/>
      <c r="AE64" s="957">
        <v>0</v>
      </c>
      <c r="AF64" s="435">
        <v>0</v>
      </c>
      <c r="AG64" s="265">
        <f>C75</f>
        <v>3.3050000000000002</v>
      </c>
      <c r="AH64" s="956">
        <f>MOD(-$C$73,360)</f>
        <v>282</v>
      </c>
      <c r="AI64" s="965">
        <v>0</v>
      </c>
      <c r="AJ64" s="435">
        <v>0</v>
      </c>
      <c r="AK64" s="965">
        <f>C75/1.732*2</f>
        <v>3.8163972286374137</v>
      </c>
      <c r="AL64" s="956">
        <f>MOD(180-$C$73,360)</f>
        <v>102</v>
      </c>
    </row>
    <row r="65" spans="1:38">
      <c r="A65" s="251"/>
      <c r="B65" s="251"/>
      <c r="C65" s="595"/>
      <c r="D65" s="251"/>
      <c r="E65" s="595"/>
      <c r="F65" s="595"/>
      <c r="G65" s="251"/>
      <c r="H65" s="251"/>
      <c r="I65" s="251"/>
      <c r="J65" s="251"/>
      <c r="K65" s="251"/>
      <c r="L65" s="251"/>
      <c r="M65" s="251"/>
      <c r="N65" s="251"/>
      <c r="O65" s="251"/>
      <c r="P65" s="251"/>
      <c r="Q65" s="251"/>
      <c r="R65" s="251"/>
      <c r="S65" s="251"/>
      <c r="T65" s="251"/>
      <c r="U65" s="251"/>
      <c r="V65" s="251"/>
      <c r="W65" s="251"/>
      <c r="X65" s="251"/>
      <c r="AA65" s="751">
        <f>SUM(AA63:AA64)</f>
        <v>1</v>
      </c>
      <c r="AB65" s="1025"/>
      <c r="AE65" s="957">
        <v>0</v>
      </c>
      <c r="AF65" s="435">
        <v>0</v>
      </c>
      <c r="AG65" s="265">
        <f>AG64</f>
        <v>3.3050000000000002</v>
      </c>
      <c r="AH65" s="956">
        <f>MOD(AH64+180,360)</f>
        <v>102</v>
      </c>
      <c r="AI65" s="965">
        <v>0</v>
      </c>
      <c r="AJ65" s="435">
        <v>0</v>
      </c>
      <c r="AK65" s="965">
        <f>AK64</f>
        <v>3.8163972286374137</v>
      </c>
      <c r="AL65" s="956">
        <f>MOD(AL64-120,360)</f>
        <v>342</v>
      </c>
    </row>
    <row r="66" spans="1:38" ht="13.5" thickBot="1">
      <c r="A66" s="251"/>
      <c r="B66" s="251"/>
      <c r="C66" s="595"/>
      <c r="D66" s="251"/>
      <c r="E66" s="595"/>
      <c r="F66" s="251"/>
      <c r="G66" s="251"/>
      <c r="H66" s="251"/>
      <c r="I66" s="251"/>
      <c r="J66" s="251"/>
      <c r="K66" s="251"/>
      <c r="L66" s="251"/>
      <c r="M66" s="251"/>
      <c r="N66" s="251"/>
      <c r="O66" s="251"/>
      <c r="P66" s="251"/>
      <c r="Q66" s="251"/>
      <c r="R66" s="251"/>
      <c r="S66" s="251"/>
      <c r="T66" s="251"/>
      <c r="U66" s="251"/>
      <c r="V66" s="251"/>
      <c r="W66" s="251"/>
      <c r="X66" s="251"/>
      <c r="AA66" s="751"/>
      <c r="AB66" s="1025"/>
      <c r="AE66" s="948">
        <v>0</v>
      </c>
      <c r="AF66" s="964">
        <v>0</v>
      </c>
      <c r="AG66" s="960">
        <v>0</v>
      </c>
      <c r="AH66" s="959">
        <v>0</v>
      </c>
      <c r="AI66" s="966">
        <v>0</v>
      </c>
      <c r="AJ66" s="964">
        <v>0</v>
      </c>
      <c r="AK66" s="966">
        <f>AK64</f>
        <v>3.8163972286374137</v>
      </c>
      <c r="AL66" s="956">
        <f>MOD(AL65-120,360)</f>
        <v>222</v>
      </c>
    </row>
    <row r="67" spans="1:38" ht="13.5" thickBot="1">
      <c r="A67" s="251"/>
      <c r="B67" s="251"/>
      <c r="C67" s="1084"/>
      <c r="D67" s="1085"/>
      <c r="E67" s="1086">
        <f>C72*COS(RADIANS(C73))*AI67</f>
        <v>3.3342494468261874</v>
      </c>
      <c r="F67" s="1087">
        <f>C72*SIN(RADIANS(C73))*AI67</f>
        <v>15.686410340050353</v>
      </c>
      <c r="G67" s="595"/>
      <c r="H67" s="251"/>
      <c r="I67" s="251"/>
      <c r="J67" s="251"/>
      <c r="K67" s="251"/>
      <c r="L67" s="251"/>
      <c r="M67" s="251"/>
      <c r="N67" s="251"/>
      <c r="O67" s="251"/>
      <c r="P67" s="251"/>
      <c r="Q67" s="251"/>
      <c r="R67" s="251"/>
      <c r="S67" s="251"/>
      <c r="T67" s="251"/>
      <c r="U67" s="251"/>
      <c r="V67" s="251"/>
      <c r="W67" s="251"/>
      <c r="X67" s="251"/>
      <c r="AA67" s="751" t="s">
        <v>100</v>
      </c>
      <c r="AB67" s="1025">
        <f>AB60*AA63</f>
        <v>1</v>
      </c>
      <c r="AE67" s="1104" t="s">
        <v>1183</v>
      </c>
      <c r="AF67" s="1105" t="str">
        <f>IF(OR(AI55&lt;&gt;"OK",AJ55&lt;&gt;"OK",AH67&lt;&gt;"OK",AK67&lt;&gt;"OK"),"Warning","OK")</f>
        <v>OK</v>
      </c>
      <c r="AG67" s="967" t="str">
        <f>IF(AG64&gt;30,"Warning","OK")</f>
        <v>OK</v>
      </c>
      <c r="AH67" s="961" t="str">
        <f>IF(AG64&lt;J_,"Warning","OK")</f>
        <v>OK</v>
      </c>
      <c r="AI67" s="969" t="b">
        <v>1</v>
      </c>
      <c r="AJ67" s="1007">
        <v>106</v>
      </c>
      <c r="AK67" s="968" t="str">
        <f>IF(AK64&gt;30,"Warning","OK")</f>
        <v>OK</v>
      </c>
      <c r="AL67" s="961" t="str">
        <f>IF(AK64&lt;J_,"Warning","OK")</f>
        <v>OK</v>
      </c>
    </row>
    <row r="68" spans="1:38" ht="13.5" thickBot="1">
      <c r="A68" s="251"/>
      <c r="B68" s="251"/>
      <c r="C68" s="595"/>
      <c r="D68" s="1085"/>
      <c r="E68" s="1083" t="e">
        <f>IF($AG74=TRUE,AF75,IF($AI74=TRUE,AH75,AJ75))*$AG$76</f>
        <v>#N/A</v>
      </c>
      <c r="F68" s="1083" t="e">
        <f>IF($AG74=TRUE,AG75,IF($AI74=TRUE,AI75,AK75))*$AG$76</f>
        <v>#N/A</v>
      </c>
      <c r="G68" s="1088"/>
      <c r="H68" s="251"/>
      <c r="I68" s="251"/>
      <c r="J68" s="251"/>
      <c r="K68" s="251"/>
      <c r="L68" s="251"/>
      <c r="M68" s="251"/>
      <c r="N68" s="251"/>
      <c r="O68" s="251"/>
      <c r="P68" s="251"/>
      <c r="Q68" s="251"/>
      <c r="R68" s="251"/>
      <c r="S68" s="251"/>
      <c r="T68" s="251"/>
      <c r="U68" s="251"/>
      <c r="V68" s="251"/>
      <c r="W68" s="251"/>
      <c r="X68" s="251"/>
    </row>
    <row r="69" spans="1:38">
      <c r="A69" s="251"/>
      <c r="B69" s="251"/>
      <c r="C69" s="595"/>
      <c r="D69" s="251"/>
      <c r="E69" s="595"/>
      <c r="F69" s="251"/>
      <c r="G69" s="595"/>
      <c r="H69" s="251"/>
      <c r="I69" s="251"/>
      <c r="J69" s="251"/>
      <c r="K69" s="251"/>
      <c r="L69" s="251"/>
      <c r="M69" s="251"/>
      <c r="N69" s="251"/>
      <c r="O69" s="251"/>
      <c r="P69" s="251"/>
      <c r="Q69" s="251"/>
      <c r="R69" s="251"/>
      <c r="S69" s="251"/>
      <c r="T69" s="251"/>
      <c r="U69" s="251"/>
      <c r="V69" s="251"/>
      <c r="W69" s="251"/>
      <c r="X69" s="251"/>
      <c r="AB69" s="1020" t="s">
        <v>1146</v>
      </c>
      <c r="AC69" s="354" t="e">
        <f>#N/A</f>
        <v>#N/A</v>
      </c>
      <c r="AD69" s="350"/>
      <c r="AE69" s="350"/>
      <c r="AF69" s="1176" t="s">
        <v>60</v>
      </c>
      <c r="AG69" s="1165"/>
      <c r="AH69" s="1164" t="s">
        <v>61</v>
      </c>
      <c r="AI69" s="1165"/>
      <c r="AJ69" s="1164" t="s">
        <v>62</v>
      </c>
      <c r="AK69" s="1165"/>
    </row>
    <row r="70" spans="1:38" ht="13.5" thickBot="1">
      <c r="A70" s="251"/>
      <c r="B70" s="251"/>
      <c r="C70" s="595"/>
      <c r="D70" s="251"/>
      <c r="E70" s="1030" t="e">
        <f>IF($AG74=TRUE,AF73,IF($AI74=TRUE,AH73,AJ73))</f>
        <v>#N/A</v>
      </c>
      <c r="F70" s="1031" t="e">
        <f>IF($AG74=TRUE,AG73,IF($AI74=TRUE,AI73,AK73))*$AG$76</f>
        <v>#N/A</v>
      </c>
      <c r="G70" s="595"/>
      <c r="H70" s="251"/>
      <c r="I70" s="251"/>
      <c r="J70" s="251"/>
      <c r="K70" s="251"/>
      <c r="L70" s="251"/>
      <c r="M70" s="251"/>
      <c r="N70" s="251"/>
      <c r="O70" s="251"/>
      <c r="P70" s="1177" t="str">
        <f>"DCEF: "&amp; IF(AN15=1,IF(AND(MOD((180-AH56),360)&gt;MOD((DEF_Ang+90),360),MOD((180-AH56),360)&lt;MOD((DEF_Ang-90),360)),"Reverse PU","Forward PU"),"No Pick Up")</f>
        <v>DCEF: Forward PU</v>
      </c>
      <c r="Q70" s="1177"/>
      <c r="R70" s="251"/>
      <c r="S70" s="1057" t="e">
        <f>IF($AG81=TRUE,AF80,IF($AI81=TRUE,AH80,AJ80))</f>
        <v>#N/A</v>
      </c>
      <c r="T70" s="1058" t="e">
        <f>IF($AG81=TRUE,AG80,IF($AI81=TRUE,AI80,AK80))</f>
        <v>#N/A</v>
      </c>
      <c r="U70" s="251"/>
      <c r="V70" s="251"/>
      <c r="W70" s="251"/>
      <c r="X70" s="251"/>
      <c r="AB70" s="350" t="s">
        <v>1096</v>
      </c>
      <c r="AC70" s="405">
        <f>J72*COS(RADIANS(K72))</f>
        <v>56.87</v>
      </c>
      <c r="AD70" s="405">
        <f>J72*SIN(RADIANS(K72))</f>
        <v>0</v>
      </c>
      <c r="AE70" s="311" t="e">
        <f t="shared" ref="AE70:AE75" si="3">#N/A</f>
        <v>#N/A</v>
      </c>
      <c r="AF70" s="1018" t="e">
        <f>#N/A</f>
        <v>#N/A</v>
      </c>
      <c r="AG70" s="980"/>
      <c r="AH70" s="942" t="e">
        <f>#N/A</f>
        <v>#N/A</v>
      </c>
      <c r="AI70" s="980"/>
      <c r="AJ70" s="942" t="e">
        <f>#N/A</f>
        <v>#N/A</v>
      </c>
      <c r="AK70" s="980"/>
    </row>
    <row r="71" spans="1:38" ht="13.5" thickBot="1">
      <c r="A71" s="251"/>
      <c r="B71" s="1131" t="s">
        <v>1123</v>
      </c>
      <c r="C71" s="1132"/>
      <c r="D71" s="251"/>
      <c r="E71" s="595"/>
      <c r="F71" s="251"/>
      <c r="G71" s="251"/>
      <c r="H71" s="251"/>
      <c r="I71" s="251"/>
      <c r="J71" s="1162" t="s">
        <v>1095</v>
      </c>
      <c r="K71" s="1163"/>
      <c r="L71" s="251"/>
      <c r="M71" s="251"/>
      <c r="N71" s="251"/>
      <c r="O71" s="251"/>
      <c r="P71" s="1131" t="s">
        <v>1123</v>
      </c>
      <c r="Q71" s="1132"/>
      <c r="R71" s="251"/>
      <c r="S71" s="1166" t="str">
        <f>IF(AG83=FALSE,"","Warning!")</f>
        <v/>
      </c>
      <c r="T71" s="1167"/>
      <c r="U71" s="1167"/>
      <c r="V71" s="1167"/>
      <c r="W71" s="1168"/>
      <c r="X71" s="251"/>
      <c r="AB71" s="350" t="s">
        <v>1097</v>
      </c>
      <c r="AC71" s="405">
        <f>J73*COS(RADIANS(K73))</f>
        <v>-28.869999999999987</v>
      </c>
      <c r="AD71" s="405">
        <f>J73*SIN(RADIANS(K73))</f>
        <v>-50.004306814513491</v>
      </c>
      <c r="AE71" s="311" t="e">
        <f t="shared" si="3"/>
        <v>#N/A</v>
      </c>
      <c r="AF71" s="1019" t="e">
        <f>#N/A</f>
        <v>#N/A</v>
      </c>
      <c r="AG71" s="981"/>
      <c r="AH71" s="943" t="e">
        <f>#N/A</f>
        <v>#N/A</v>
      </c>
      <c r="AI71" s="981"/>
      <c r="AJ71" s="943" t="e">
        <f>#N/A</f>
        <v>#N/A</v>
      </c>
      <c r="AK71" s="981"/>
    </row>
    <row r="72" spans="1:38" ht="13.5" thickBot="1">
      <c r="A72" s="251"/>
      <c r="B72" s="944" t="s">
        <v>1124</v>
      </c>
      <c r="C72" s="1096">
        <f>AK15</f>
        <v>16.036854078344025</v>
      </c>
      <c r="D72" s="1089"/>
      <c r="E72" s="595"/>
      <c r="F72" s="251"/>
      <c r="G72" s="251"/>
      <c r="H72" s="251"/>
      <c r="I72" s="1089" t="s">
        <v>1096</v>
      </c>
      <c r="J72" s="1046">
        <v>56.87</v>
      </c>
      <c r="K72" s="1047">
        <v>0</v>
      </c>
      <c r="L72" s="251"/>
      <c r="M72" s="251"/>
      <c r="N72" s="251"/>
      <c r="O72" s="251"/>
      <c r="P72" s="944" t="s">
        <v>1124</v>
      </c>
      <c r="Q72" s="1096">
        <f>AL15</f>
        <v>51.41329316348402</v>
      </c>
      <c r="R72" s="356"/>
      <c r="S72" s="1091" t="str">
        <f>IF($AG$83=FALSE,"","Because not all zones are Compensated,E/F Plots")</f>
        <v/>
      </c>
      <c r="T72" s="1092"/>
      <c r="U72" s="194"/>
      <c r="V72" s="194"/>
      <c r="W72" s="209"/>
      <c r="X72" s="251"/>
      <c r="AA72" s="90" t="s">
        <v>1150</v>
      </c>
      <c r="AB72" s="350" t="s">
        <v>1098</v>
      </c>
      <c r="AC72" s="405">
        <f>J74*COS(RADIANS(K74))</f>
        <v>-28.869999999999987</v>
      </c>
      <c r="AD72" s="405">
        <f>J74*SIN(RADIANS(K74))</f>
        <v>50.004306814513491</v>
      </c>
      <c r="AE72" s="311" t="e">
        <f t="shared" si="3"/>
        <v>#N/A</v>
      </c>
      <c r="AF72" s="1016" t="e">
        <f>#N/A</f>
        <v>#N/A</v>
      </c>
      <c r="AG72" s="982"/>
      <c r="AH72" s="1016" t="e">
        <f>#N/A</f>
        <v>#N/A</v>
      </c>
      <c r="AI72" s="982"/>
      <c r="AJ72" s="1033" t="e">
        <f>#N/A</f>
        <v>#N/A</v>
      </c>
      <c r="AK72" s="982"/>
    </row>
    <row r="73" spans="1:38" ht="13.5" thickBot="1">
      <c r="A73" s="251"/>
      <c r="B73" s="944" t="s">
        <v>56</v>
      </c>
      <c r="C73" s="999">
        <v>78</v>
      </c>
      <c r="D73" s="1089"/>
      <c r="E73" s="1174" t="s">
        <v>1090</v>
      </c>
      <c r="F73" s="1175"/>
      <c r="G73" s="251"/>
      <c r="H73" s="251"/>
      <c r="I73" s="1089" t="s">
        <v>1097</v>
      </c>
      <c r="J73" s="1046">
        <v>57.74</v>
      </c>
      <c r="K73" s="1048">
        <v>-120</v>
      </c>
      <c r="L73" s="251"/>
      <c r="M73" s="251"/>
      <c r="N73" s="251"/>
      <c r="O73" s="251"/>
      <c r="P73" s="944" t="s">
        <v>56</v>
      </c>
      <c r="Q73" s="999">
        <v>32</v>
      </c>
      <c r="R73" s="251"/>
      <c r="S73" s="1091" t="str">
        <f>IF($AG$83=FALSE,"","are only valid for Fault Model test conditions")</f>
        <v/>
      </c>
      <c r="T73" s="1092"/>
      <c r="U73" s="194"/>
      <c r="V73" s="194"/>
      <c r="W73" s="209"/>
      <c r="X73" s="251"/>
      <c r="AA73" s="90">
        <f>MOD(K75+180,360)</f>
        <v>319</v>
      </c>
      <c r="AB73" s="325" t="s">
        <v>1099</v>
      </c>
      <c r="AC73" s="752">
        <f>J75*COS(RADIANS(AA73))</f>
        <v>0.22641287406683155</v>
      </c>
      <c r="AD73" s="752">
        <f>J75*SIN(RADIANS(AA73))</f>
        <v>-0.1968177086971522</v>
      </c>
      <c r="AE73" s="90" t="e">
        <f t="shared" si="3"/>
        <v>#N/A</v>
      </c>
      <c r="AF73" s="1017" t="e">
        <f>#N/A</f>
        <v>#N/A</v>
      </c>
      <c r="AG73" s="954" t="e">
        <f>#N/A</f>
        <v>#N/A</v>
      </c>
      <c r="AH73" s="1017" t="e">
        <f>#N/A</f>
        <v>#N/A</v>
      </c>
      <c r="AI73" s="954" t="e">
        <f>#N/A</f>
        <v>#N/A</v>
      </c>
      <c r="AJ73" s="1034" t="e">
        <f>#N/A</f>
        <v>#N/A</v>
      </c>
      <c r="AK73" s="954" t="e">
        <f>#N/A</f>
        <v>#N/A</v>
      </c>
    </row>
    <row r="74" spans="1:38">
      <c r="A74" s="251"/>
      <c r="B74" s="945" t="s">
        <v>53</v>
      </c>
      <c r="C74" s="1000">
        <f>Vh*1.732/(200/AJ67)</f>
        <v>53</v>
      </c>
      <c r="D74" s="1089"/>
      <c r="E74" s="1021" t="s">
        <v>1148</v>
      </c>
      <c r="F74" s="1022">
        <v>10</v>
      </c>
      <c r="G74" s="251"/>
      <c r="H74" s="251"/>
      <c r="I74" s="1089" t="s">
        <v>1098</v>
      </c>
      <c r="J74" s="1046">
        <v>57.74</v>
      </c>
      <c r="K74" s="1048">
        <v>120</v>
      </c>
      <c r="L74" s="251"/>
      <c r="M74" s="251"/>
      <c r="N74" s="251"/>
      <c r="O74" s="251"/>
      <c r="P74" s="945" t="s">
        <v>53</v>
      </c>
      <c r="Q74" s="908">
        <f>Vh/(200/AJ54)</f>
        <v>23.960739030023092</v>
      </c>
      <c r="R74" s="251"/>
      <c r="S74" s="1093" t="str">
        <f>IF($AG$83=FALSE,"","i.e. Neutral current = Faulty-Phase current")</f>
        <v/>
      </c>
      <c r="T74" s="1094"/>
      <c r="U74" s="212"/>
      <c r="V74" s="212"/>
      <c r="W74" s="1095"/>
      <c r="X74" s="251"/>
      <c r="AA74" s="90">
        <f>MOD(K76+180,360)</f>
        <v>129</v>
      </c>
      <c r="AB74" s="325" t="s">
        <v>1100</v>
      </c>
      <c r="AC74" s="752">
        <f>J76*COS(RADIANS(AA74))</f>
        <v>0</v>
      </c>
      <c r="AD74" s="752">
        <f>J76*SIN(RADIANS(AA74))</f>
        <v>0</v>
      </c>
      <c r="AE74" s="90" t="e">
        <f t="shared" si="3"/>
        <v>#N/A</v>
      </c>
      <c r="AF74" s="1001" t="s">
        <v>60</v>
      </c>
      <c r="AG74" s="1002" t="b">
        <v>0</v>
      </c>
      <c r="AH74" s="1003" t="s">
        <v>61</v>
      </c>
      <c r="AI74" s="1004" t="b">
        <v>0</v>
      </c>
      <c r="AJ74" s="1001" t="s">
        <v>62</v>
      </c>
      <c r="AK74" s="1002" t="b">
        <v>1</v>
      </c>
    </row>
    <row r="75" spans="1:38" ht="13.5" thickBot="1">
      <c r="A75" s="251"/>
      <c r="B75" s="946" t="s">
        <v>1122</v>
      </c>
      <c r="C75" s="977">
        <f>ROUND(C74/C72,IF(C74/C72&gt;15,2,3))</f>
        <v>3.3050000000000002</v>
      </c>
      <c r="D75" s="1089"/>
      <c r="E75" s="1023" t="s">
        <v>1149</v>
      </c>
      <c r="F75" s="1024">
        <v>10</v>
      </c>
      <c r="G75" s="251"/>
      <c r="H75" s="251"/>
      <c r="I75" s="1089" t="s">
        <v>1099</v>
      </c>
      <c r="J75" s="1049">
        <v>0.3</v>
      </c>
      <c r="K75" s="1050">
        <v>139</v>
      </c>
      <c r="L75" s="251"/>
      <c r="M75" s="251"/>
      <c r="N75" s="251"/>
      <c r="O75" s="251"/>
      <c r="P75" s="946" t="s">
        <v>1122</v>
      </c>
      <c r="Q75" s="947">
        <f>ROUND(Q74/Q72,IF(Q74/Q72&gt;15,2,3))</f>
        <v>0.46600000000000003</v>
      </c>
      <c r="R75" s="251"/>
      <c r="S75" s="251"/>
      <c r="T75" s="251"/>
      <c r="U75" s="251"/>
      <c r="V75" s="251"/>
      <c r="W75" s="251"/>
      <c r="X75" s="251"/>
      <c r="AA75" s="90">
        <f>MOD(K77+180,360)</f>
        <v>180</v>
      </c>
      <c r="AB75" s="325" t="s">
        <v>1101</v>
      </c>
      <c r="AC75" s="752">
        <f>J77*COS(RADIANS(AA75))</f>
        <v>0</v>
      </c>
      <c r="AD75" s="752">
        <f>J77*SIN(RADIANS(AA75))</f>
        <v>0</v>
      </c>
      <c r="AE75" s="90" t="e">
        <f t="shared" si="3"/>
        <v>#N/A</v>
      </c>
      <c r="AF75" s="926" t="e">
        <f>#N/A</f>
        <v>#N/A</v>
      </c>
      <c r="AG75" s="927" t="e">
        <f>#N/A</f>
        <v>#N/A</v>
      </c>
      <c r="AH75" s="928" t="e">
        <f>#N/A</f>
        <v>#N/A</v>
      </c>
      <c r="AI75" s="939" t="e">
        <f>#N/A</f>
        <v>#N/A</v>
      </c>
      <c r="AJ75" s="923" t="e">
        <f>#N/A</f>
        <v>#N/A</v>
      </c>
      <c r="AK75" s="924" t="e">
        <f>#N/A</f>
        <v>#N/A</v>
      </c>
    </row>
    <row r="76" spans="1:38" ht="13.5" thickBot="1">
      <c r="A76" s="251"/>
      <c r="B76" s="251"/>
      <c r="C76" s="595"/>
      <c r="D76" s="1089"/>
      <c r="E76" s="595"/>
      <c r="F76" s="251"/>
      <c r="G76" s="595"/>
      <c r="H76" s="251"/>
      <c r="I76" s="1089" t="s">
        <v>1100</v>
      </c>
      <c r="J76" s="1049">
        <v>0</v>
      </c>
      <c r="K76" s="1050">
        <v>-51</v>
      </c>
      <c r="L76" s="251"/>
      <c r="M76" s="251"/>
      <c r="N76" s="251"/>
      <c r="O76" s="251"/>
      <c r="P76" s="978" t="str">
        <f>"E/F loops"</f>
        <v>E/F loops</v>
      </c>
      <c r="Q76" s="979" t="str">
        <f>IF(Q75&lt;Je_,"blocked","released")</f>
        <v>released</v>
      </c>
      <c r="R76" s="251"/>
      <c r="S76" s="251"/>
      <c r="T76" s="251"/>
      <c r="U76" s="251"/>
      <c r="V76" s="251"/>
      <c r="W76" s="251"/>
      <c r="X76" s="251"/>
      <c r="AB76" s="325" t="s">
        <v>1147</v>
      </c>
      <c r="AC76" s="327" t="e">
        <f>#N/A</f>
        <v>#N/A</v>
      </c>
      <c r="AD76" s="325"/>
      <c r="AE76" s="90"/>
      <c r="AF76" s="929" t="s">
        <v>1152</v>
      </c>
      <c r="AG76" s="1082" t="b">
        <v>0</v>
      </c>
      <c r="AJ76" s="403"/>
      <c r="AK76" s="925"/>
    </row>
    <row r="77" spans="1:38" ht="13.5" thickBot="1">
      <c r="A77" s="251"/>
      <c r="B77" s="251"/>
      <c r="C77" s="595"/>
      <c r="D77" s="1089"/>
      <c r="E77" s="595"/>
      <c r="F77" s="251"/>
      <c r="G77" s="595"/>
      <c r="H77" s="251"/>
      <c r="I77" s="1089" t="s">
        <v>1101</v>
      </c>
      <c r="J77" s="1051">
        <v>0</v>
      </c>
      <c r="K77" s="1052">
        <v>0</v>
      </c>
      <c r="L77" s="251"/>
      <c r="M77" s="251"/>
      <c r="N77" s="251"/>
      <c r="O77" s="251"/>
      <c r="P77" s="251"/>
      <c r="Q77" s="251"/>
      <c r="R77" s="251"/>
      <c r="S77" s="1090"/>
      <c r="T77" s="251"/>
      <c r="U77" s="251"/>
      <c r="V77" s="251"/>
      <c r="W77" s="251"/>
      <c r="X77" s="251"/>
      <c r="AE77" s="403"/>
      <c r="AL77" s="403"/>
    </row>
    <row r="78" spans="1:38">
      <c r="A78" s="251"/>
      <c r="B78" s="251"/>
      <c r="C78" s="595"/>
      <c r="D78" s="1089"/>
      <c r="E78" s="595"/>
      <c r="F78" s="251"/>
      <c r="G78" s="595"/>
      <c r="H78" s="251"/>
      <c r="I78" s="1089" t="s">
        <v>1146</v>
      </c>
      <c r="J78" s="1053">
        <v>0</v>
      </c>
      <c r="K78" s="1054">
        <v>0</v>
      </c>
      <c r="L78" s="251"/>
      <c r="M78" s="251"/>
      <c r="N78" s="251"/>
      <c r="O78" s="595"/>
      <c r="P78" s="251"/>
      <c r="Q78" s="251"/>
      <c r="R78" s="251"/>
      <c r="S78" s="251"/>
      <c r="T78" s="251"/>
      <c r="U78" s="251"/>
      <c r="V78" s="251"/>
      <c r="W78" s="251"/>
      <c r="X78" s="251"/>
      <c r="AE78" s="403"/>
      <c r="AF78" s="1164" t="s">
        <v>752</v>
      </c>
      <c r="AG78" s="1165"/>
      <c r="AH78" s="1164" t="s">
        <v>753</v>
      </c>
      <c r="AI78" s="1165"/>
      <c r="AJ78" s="1164" t="s">
        <v>754</v>
      </c>
      <c r="AK78" s="1165"/>
      <c r="AL78" s="403"/>
    </row>
    <row r="79" spans="1:38" ht="13.5" thickBot="1">
      <c r="A79" s="251"/>
      <c r="B79" s="251"/>
      <c r="C79" s="595"/>
      <c r="D79" s="1089"/>
      <c r="E79" s="595"/>
      <c r="F79" s="251"/>
      <c r="G79" s="595"/>
      <c r="H79" s="251"/>
      <c r="I79" s="1089" t="s">
        <v>1147</v>
      </c>
      <c r="J79" s="1055" t="e">
        <f>#N/A</f>
        <v>#N/A</v>
      </c>
      <c r="K79" s="1056" t="e">
        <f>#N/A</f>
        <v>#N/A</v>
      </c>
      <c r="L79" s="251"/>
      <c r="M79" s="251"/>
      <c r="N79" s="251"/>
      <c r="O79" s="356"/>
      <c r="P79" s="251"/>
      <c r="Q79" s="251"/>
      <c r="R79" s="251"/>
      <c r="S79" s="251"/>
      <c r="T79" s="251"/>
      <c r="U79" s="584"/>
      <c r="V79" s="584"/>
      <c r="W79" s="251"/>
      <c r="X79" s="251"/>
      <c r="AF79" s="1032" t="e">
        <f>#N/A</f>
        <v>#N/A</v>
      </c>
      <c r="AH79" s="1032" t="e">
        <f>#N/A</f>
        <v>#N/A</v>
      </c>
      <c r="AJ79" s="1032" t="e">
        <f>#N/A</f>
        <v>#N/A</v>
      </c>
    </row>
    <row r="80" spans="1:38" ht="13.5" thickBot="1">
      <c r="A80" s="251"/>
      <c r="B80" s="251"/>
      <c r="C80" s="595"/>
      <c r="D80" s="251"/>
      <c r="E80" s="595"/>
      <c r="F80" s="251"/>
      <c r="G80" s="595"/>
      <c r="H80" s="251"/>
      <c r="I80" s="251"/>
      <c r="J80" s="978" t="str">
        <f>"E/F loops"</f>
        <v>E/F loops</v>
      </c>
      <c r="K80" s="979" t="e">
        <f>IF(J79&lt;Je_,"blocked","released")</f>
        <v>#N/A</v>
      </c>
      <c r="L80" s="251"/>
      <c r="M80" s="251"/>
      <c r="N80" s="251"/>
      <c r="O80" s="251"/>
      <c r="P80" s="251"/>
      <c r="Q80" s="251"/>
      <c r="R80" s="251"/>
      <c r="S80" s="251"/>
      <c r="T80" s="251"/>
      <c r="U80" s="251"/>
      <c r="V80" s="251"/>
      <c r="W80" s="251"/>
      <c r="X80" s="251"/>
      <c r="AF80" s="1029" t="e">
        <f>#N/A</f>
        <v>#N/A</v>
      </c>
      <c r="AG80" s="1028" t="e">
        <f>#N/A</f>
        <v>#N/A</v>
      </c>
      <c r="AH80" s="1029" t="e">
        <f>#N/A</f>
        <v>#N/A</v>
      </c>
      <c r="AI80" s="1028" t="e">
        <f>#N/A</f>
        <v>#N/A</v>
      </c>
      <c r="AJ80" s="1029" t="e">
        <f>#N/A</f>
        <v>#N/A</v>
      </c>
      <c r="AK80" s="1028" t="e">
        <f>#N/A</f>
        <v>#N/A</v>
      </c>
    </row>
    <row r="81" spans="1:37">
      <c r="A81" s="251"/>
      <c r="B81" s="251"/>
      <c r="C81" s="595"/>
      <c r="D81" s="251"/>
      <c r="E81" s="595"/>
      <c r="F81" s="251"/>
      <c r="G81" s="595"/>
      <c r="H81" s="251"/>
      <c r="I81" s="251"/>
      <c r="J81" s="251"/>
      <c r="K81" s="251"/>
      <c r="L81" s="251"/>
      <c r="M81" s="251"/>
      <c r="N81" s="251"/>
      <c r="O81" s="251"/>
      <c r="P81" s="251"/>
      <c r="Q81" s="251"/>
      <c r="R81" s="251"/>
      <c r="S81" s="251"/>
      <c r="T81" s="251"/>
      <c r="U81" s="251"/>
      <c r="V81" s="251"/>
      <c r="W81" s="251"/>
      <c r="X81" s="251"/>
      <c r="AF81" s="1001" t="s">
        <v>752</v>
      </c>
      <c r="AG81" s="1005" t="b">
        <v>1</v>
      </c>
      <c r="AH81" s="1003" t="s">
        <v>753</v>
      </c>
      <c r="AI81" s="1006" t="b">
        <v>0</v>
      </c>
      <c r="AJ81" s="1001" t="s">
        <v>754</v>
      </c>
      <c r="AK81" s="1005" t="b">
        <v>0</v>
      </c>
    </row>
    <row r="82" spans="1:37" ht="13.5" thickBot="1">
      <c r="A82" s="251"/>
      <c r="B82" s="1107"/>
      <c r="C82" s="595"/>
      <c r="D82" s="251"/>
      <c r="E82" s="595"/>
      <c r="F82" s="251"/>
      <c r="G82" s="595"/>
      <c r="H82" s="251"/>
      <c r="I82" s="251"/>
      <c r="J82" s="251"/>
      <c r="K82" s="251"/>
      <c r="L82" s="251"/>
      <c r="M82" s="251"/>
      <c r="N82" s="251"/>
      <c r="O82" s="251"/>
      <c r="P82" s="251"/>
      <c r="Q82" s="251"/>
      <c r="R82" s="251"/>
      <c r="S82" s="251"/>
      <c r="T82" s="251"/>
      <c r="U82" s="251"/>
      <c r="V82" s="251"/>
      <c r="W82" s="251"/>
      <c r="X82" s="251"/>
      <c r="AF82" s="948" t="e">
        <f>#N/A</f>
        <v>#N/A</v>
      </c>
      <c r="AG82" s="949" t="e">
        <f>#N/A</f>
        <v>#N/A</v>
      </c>
      <c r="AH82" s="950" t="e">
        <f>#N/A</f>
        <v>#N/A</v>
      </c>
      <c r="AI82" s="951" t="e">
        <f>#N/A</f>
        <v>#N/A</v>
      </c>
      <c r="AJ82" s="952" t="e">
        <f>#N/A</f>
        <v>#N/A</v>
      </c>
      <c r="AK82" s="953" t="e">
        <f>#N/A</f>
        <v>#N/A</v>
      </c>
    </row>
    <row r="83" spans="1:37" ht="13.5" thickBot="1">
      <c r="A83" s="251"/>
      <c r="B83" s="251"/>
      <c r="C83" s="595"/>
      <c r="D83" s="251"/>
      <c r="E83" s="595"/>
      <c r="F83" s="251"/>
      <c r="G83" s="595"/>
      <c r="H83" s="251"/>
      <c r="I83" s="251"/>
      <c r="J83" s="251"/>
      <c r="K83" s="251"/>
      <c r="L83" s="251"/>
      <c r="M83" s="251"/>
      <c r="N83" s="251"/>
      <c r="O83" s="251"/>
      <c r="P83" s="251"/>
      <c r="Q83" s="251"/>
      <c r="R83" s="251"/>
      <c r="S83" s="251"/>
      <c r="T83" s="251"/>
      <c r="U83" s="251"/>
      <c r="V83" s="251"/>
      <c r="W83" s="251"/>
      <c r="X83" s="251"/>
      <c r="AF83" s="929" t="s">
        <v>1153</v>
      </c>
      <c r="AG83" s="1082" t="b">
        <v>0</v>
      </c>
      <c r="AJ83" s="403"/>
      <c r="AK83" s="403"/>
    </row>
    <row r="84" spans="1:37">
      <c r="A84" s="251"/>
      <c r="B84" s="251"/>
      <c r="C84" s="595"/>
      <c r="D84" s="251"/>
      <c r="E84" s="595"/>
      <c r="F84" s="251"/>
      <c r="G84" s="595"/>
      <c r="H84" s="251"/>
      <c r="I84" s="251"/>
      <c r="J84" s="251"/>
      <c r="K84" s="251"/>
      <c r="L84" s="251"/>
      <c r="M84" s="251"/>
      <c r="N84" s="251"/>
      <c r="O84" s="251"/>
      <c r="P84" s="251"/>
      <c r="Q84" s="251"/>
      <c r="R84" s="251"/>
      <c r="S84" s="251"/>
      <c r="T84" s="251"/>
      <c r="U84" s="251"/>
      <c r="V84" s="251"/>
      <c r="W84" s="251"/>
      <c r="X84" s="251"/>
      <c r="AC84" s="2"/>
    </row>
    <row r="85" spans="1:37">
      <c r="A85" s="251"/>
      <c r="B85" s="251"/>
      <c r="C85" s="595"/>
      <c r="D85" s="251"/>
      <c r="E85" s="595"/>
      <c r="F85" s="251"/>
      <c r="G85" s="595"/>
      <c r="H85" s="251"/>
      <c r="I85" s="251"/>
      <c r="J85" s="251"/>
      <c r="K85" s="251"/>
      <c r="L85" s="251"/>
      <c r="M85" s="251"/>
      <c r="N85" s="251"/>
      <c r="O85" s="251"/>
      <c r="P85" s="251"/>
      <c r="Q85" s="251"/>
      <c r="R85" s="251"/>
      <c r="S85" s="251"/>
      <c r="T85" s="251"/>
      <c r="U85" s="251"/>
      <c r="V85" s="251"/>
      <c r="W85" s="251"/>
      <c r="X85" s="251"/>
    </row>
    <row r="88" spans="1:37" ht="13.5" thickBot="1"/>
    <row r="89" spans="1:37">
      <c r="AA89" s="335" t="s">
        <v>542</v>
      </c>
      <c r="AB89" s="343"/>
      <c r="AC89" s="343"/>
      <c r="AD89" s="343"/>
      <c r="AE89" s="343"/>
      <c r="AF89" s="344"/>
      <c r="AG89" s="343"/>
      <c r="AH89" s="343"/>
      <c r="AI89" s="343"/>
      <c r="AJ89" s="345"/>
    </row>
    <row r="90" spans="1:37" ht="13.5" thickBot="1">
      <c r="AA90" s="346"/>
      <c r="AB90" s="249" t="s">
        <v>543</v>
      </c>
      <c r="AC90" s="337">
        <v>0.1</v>
      </c>
      <c r="AD90" s="249" t="s">
        <v>545</v>
      </c>
      <c r="AE90" s="337">
        <v>0.12</v>
      </c>
      <c r="AF90" s="249" t="s">
        <v>544</v>
      </c>
      <c r="AG90" s="337">
        <v>0.24</v>
      </c>
      <c r="AH90" s="337"/>
      <c r="AI90" s="249" t="s">
        <v>546</v>
      </c>
      <c r="AJ90" s="338">
        <v>0.04</v>
      </c>
    </row>
    <row r="92" spans="1:37" ht="13.5" thickBot="1">
      <c r="AA92" s="1133" t="s">
        <v>891</v>
      </c>
      <c r="AB92" s="1134"/>
    </row>
    <row r="93" spans="1:37" ht="13.5" thickBot="1">
      <c r="C93" s="1121" t="s">
        <v>1104</v>
      </c>
      <c r="D93" s="1122"/>
      <c r="E93" s="1123"/>
      <c r="AA93" s="620" t="s">
        <v>881</v>
      </c>
      <c r="AB93" s="618">
        <v>0</v>
      </c>
    </row>
    <row r="94" spans="1:37">
      <c r="C94" s="931" t="s">
        <v>1105</v>
      </c>
      <c r="E94" s="932" t="s">
        <v>1106</v>
      </c>
      <c r="G94"/>
    </row>
    <row r="95" spans="1:37">
      <c r="C95" s="933" t="s">
        <v>1107</v>
      </c>
      <c r="E95" s="934" t="s">
        <v>1108</v>
      </c>
      <c r="G95"/>
      <c r="AA95" s="339"/>
      <c r="AB95" s="332"/>
      <c r="AC95" s="332"/>
      <c r="AD95" s="339" t="s">
        <v>77</v>
      </c>
      <c r="AE95" s="117">
        <v>0.01</v>
      </c>
      <c r="AF95" s="117"/>
      <c r="AG95" s="332"/>
      <c r="AH95" s="333"/>
    </row>
    <row r="96" spans="1:37" ht="13.5" thickBot="1">
      <c r="C96" s="935" t="s">
        <v>1110</v>
      </c>
      <c r="E96" s="934" t="s">
        <v>1109</v>
      </c>
      <c r="G96"/>
      <c r="AA96" s="340"/>
      <c r="AB96" s="334"/>
      <c r="AC96" s="334"/>
      <c r="AD96" s="307" t="s">
        <v>78</v>
      </c>
      <c r="AE96" s="306">
        <v>2</v>
      </c>
      <c r="AF96" s="306"/>
      <c r="AG96" s="341"/>
      <c r="AH96" s="342"/>
    </row>
    <row r="97" spans="2:13">
      <c r="C97" s="935" t="s">
        <v>1112</v>
      </c>
      <c r="D97" s="937">
        <v>10</v>
      </c>
      <c r="E97" s="936" t="s">
        <v>1111</v>
      </c>
      <c r="G97"/>
    </row>
    <row r="98" spans="2:13">
      <c r="E98"/>
      <c r="G98"/>
    </row>
    <row r="99" spans="2:13">
      <c r="E99"/>
      <c r="G99"/>
    </row>
    <row r="100" spans="2:13" ht="13.5" thickBot="1">
      <c r="B100" s="5" t="s">
        <v>883</v>
      </c>
      <c r="C100" s="3"/>
      <c r="D100" s="3"/>
      <c r="E100" s="3"/>
      <c r="F100" s="3"/>
      <c r="G100" s="3"/>
      <c r="H100" s="3"/>
      <c r="I100" s="3"/>
      <c r="J100" s="3"/>
      <c r="K100" s="3"/>
      <c r="L100" s="3"/>
      <c r="M100" s="3"/>
    </row>
    <row r="101" spans="2:13" ht="13.5" thickBot="1">
      <c r="C101" s="1126" t="s">
        <v>711</v>
      </c>
      <c r="D101" s="1127"/>
      <c r="E101" s="1127"/>
      <c r="F101" s="1127"/>
      <c r="G101" s="1157" t="s">
        <v>715</v>
      </c>
      <c r="H101" s="1158"/>
      <c r="I101" s="1159"/>
      <c r="J101" s="645" t="s">
        <v>906</v>
      </c>
    </row>
    <row r="102" spans="2:13" ht="13.5" thickBot="1">
      <c r="B102" s="295" t="s">
        <v>882</v>
      </c>
      <c r="C102" s="465" t="s">
        <v>8</v>
      </c>
      <c r="D102" s="502" t="s">
        <v>738</v>
      </c>
      <c r="E102" s="466" t="s">
        <v>9</v>
      </c>
      <c r="F102" s="467" t="s">
        <v>10</v>
      </c>
      <c r="G102" s="468" t="s">
        <v>712</v>
      </c>
      <c r="H102" s="1142" t="s">
        <v>714</v>
      </c>
      <c r="I102" s="1142"/>
      <c r="J102" s="622"/>
      <c r="K102" s="1130" t="s">
        <v>352</v>
      </c>
      <c r="L102" s="1130"/>
      <c r="M102" s="636" t="s">
        <v>899</v>
      </c>
    </row>
    <row r="103" spans="2:13">
      <c r="B103" s="295" t="s">
        <v>905</v>
      </c>
      <c r="C103" s="611" t="str">
        <f>"Forward"</f>
        <v>Forward</v>
      </c>
      <c r="D103" s="607" t="str">
        <f>IF(AD19=2,"Forward","Off")</f>
        <v>Off</v>
      </c>
      <c r="E103" s="608" t="str">
        <f>IF(AF22=TRUE,"Forward","Off")</f>
        <v>Forward</v>
      </c>
      <c r="F103" s="609" t="str">
        <f>IF(AG22=TRUE,"Forward","Off")</f>
        <v>Forward</v>
      </c>
      <c r="G103" s="610" t="str">
        <f>IF(AH22="On(1)","Reverse","Off")</f>
        <v>Reverse</v>
      </c>
      <c r="H103" s="1135" t="str">
        <f>IF(AI22="On(1)","Reverse","Off")</f>
        <v>Reverse</v>
      </c>
      <c r="I103" s="1135"/>
      <c r="J103" s="633" t="str">
        <f>IF(AK22="On(1)","On","Off")</f>
        <v>Off</v>
      </c>
      <c r="K103" s="1124"/>
      <c r="L103" s="1124"/>
      <c r="M103" s="637"/>
    </row>
    <row r="104" spans="2:13">
      <c r="B104" s="644" t="s">
        <v>901</v>
      </c>
      <c r="C104" s="611">
        <f>R_1</f>
        <v>13.6</v>
      </c>
      <c r="D104" s="628">
        <f>R_1B</f>
        <v>10.5</v>
      </c>
      <c r="E104" s="629">
        <f>R_2</f>
        <v>17</v>
      </c>
      <c r="F104" s="616">
        <f>AB20</f>
        <v>25</v>
      </c>
      <c r="G104" s="612">
        <f>BRRS</f>
        <v>8</v>
      </c>
      <c r="H104" s="1125">
        <f>BRRS</f>
        <v>8</v>
      </c>
      <c r="I104" s="1125"/>
      <c r="J104" s="634">
        <f>R_ND</f>
        <v>18</v>
      </c>
      <c r="K104" s="1124"/>
      <c r="L104" s="1124"/>
      <c r="M104" s="638"/>
    </row>
    <row r="105" spans="2:13">
      <c r="B105" s="193" t="s">
        <v>902</v>
      </c>
      <c r="C105" s="613">
        <f>X_1</f>
        <v>7.58</v>
      </c>
      <c r="D105" s="614">
        <f>X_1B</f>
        <v>9.34</v>
      </c>
      <c r="E105" s="615">
        <f>H15</f>
        <v>10.57</v>
      </c>
      <c r="F105" s="616">
        <v>20</v>
      </c>
      <c r="G105" s="617">
        <f>K12</f>
        <v>5.4</v>
      </c>
      <c r="H105" s="1125">
        <f>X_5</f>
        <v>26.79</v>
      </c>
      <c r="I105" s="1125"/>
      <c r="J105" s="635">
        <f>X_ND</f>
        <v>44.2</v>
      </c>
      <c r="K105" s="1124"/>
      <c r="L105" s="1124"/>
      <c r="M105" s="638"/>
    </row>
    <row r="106" spans="2:13">
      <c r="B106" s="193" t="s">
        <v>903</v>
      </c>
      <c r="C106" s="613">
        <f>R_1E</f>
        <v>65.099999999999994</v>
      </c>
      <c r="D106" s="614">
        <f>R_1BE</f>
        <v>32.700000000000003</v>
      </c>
      <c r="E106" s="615">
        <f>AG37</f>
        <v>0</v>
      </c>
      <c r="F106" s="616">
        <v>4</v>
      </c>
      <c r="G106" s="617">
        <f>Q16</f>
        <v>22.7</v>
      </c>
      <c r="H106" s="1125">
        <f>Q16</f>
        <v>22.7</v>
      </c>
      <c r="I106" s="1125"/>
      <c r="J106" s="635"/>
      <c r="K106" s="1124"/>
      <c r="L106" s="1124"/>
      <c r="M106" s="638"/>
    </row>
    <row r="107" spans="2:13">
      <c r="B107" s="193" t="s">
        <v>904</v>
      </c>
      <c r="C107" s="613"/>
      <c r="D107" s="614"/>
      <c r="E107" s="615"/>
      <c r="F107" s="616"/>
      <c r="G107" s="617"/>
      <c r="H107" s="1125"/>
      <c r="I107" s="1125"/>
      <c r="J107" s="635"/>
      <c r="K107" s="1124"/>
      <c r="L107" s="1124"/>
      <c r="M107" s="638"/>
    </row>
    <row r="108" spans="2:13">
      <c r="B108" s="600" t="s">
        <v>82</v>
      </c>
      <c r="C108" s="613">
        <f>T_1</f>
        <v>0</v>
      </c>
      <c r="D108" s="614">
        <f>T_1B</f>
        <v>0</v>
      </c>
      <c r="E108" s="615">
        <f>K19</f>
        <v>0.4</v>
      </c>
      <c r="F108" s="616">
        <v>0.9</v>
      </c>
      <c r="G108" s="617">
        <f>N10</f>
        <v>0.5</v>
      </c>
      <c r="H108" s="1125">
        <f>T_5</f>
        <v>1.1000000000000001</v>
      </c>
      <c r="I108" s="1125"/>
      <c r="J108" s="635">
        <f>t_ND</f>
        <v>10</v>
      </c>
      <c r="K108" s="1124"/>
      <c r="L108" s="1124"/>
      <c r="M108" s="638"/>
    </row>
    <row r="112" spans="2:13">
      <c r="E112"/>
      <c r="G112"/>
    </row>
    <row r="113" spans="3:7">
      <c r="E113"/>
      <c r="G113"/>
    </row>
    <row r="114" spans="3:7">
      <c r="E114"/>
      <c r="G114"/>
    </row>
    <row r="127" spans="3:7">
      <c r="C127"/>
      <c r="E127"/>
    </row>
    <row r="128" spans="3:7">
      <c r="C128"/>
      <c r="E128"/>
    </row>
    <row r="129" spans="2:10">
      <c r="C129"/>
      <c r="E129"/>
      <c r="G129" s="1118" t="s">
        <v>1182</v>
      </c>
      <c r="H129" s="1119"/>
      <c r="I129" s="1119"/>
      <c r="J129" s="1120"/>
    </row>
    <row r="130" spans="2:10">
      <c r="B130" s="640" t="s">
        <v>1176</v>
      </c>
      <c r="C130" s="750">
        <f t="shared" ref="C130:F135" si="4">AE53</f>
        <v>57.736720554272516</v>
      </c>
      <c r="D130" s="435">
        <f t="shared" si="4"/>
        <v>0</v>
      </c>
      <c r="E130" s="750">
        <f t="shared" si="4"/>
        <v>23.960739030023092</v>
      </c>
      <c r="F130" s="435">
        <f t="shared" si="4"/>
        <v>0</v>
      </c>
      <c r="G130" s="1099">
        <f t="shared" ref="G130:G135" si="5">E137</f>
        <v>39.187143619949367</v>
      </c>
      <c r="H130" s="1102">
        <f t="shared" ref="H130:H135" si="6">MOD(F137-150,360)</f>
        <v>342.55068818841437</v>
      </c>
      <c r="I130" s="1100">
        <f t="shared" ref="I130:J135" si="7">E144</f>
        <v>30.600461893764436</v>
      </c>
      <c r="J130" s="1103">
        <f t="shared" si="7"/>
        <v>0</v>
      </c>
    </row>
    <row r="131" spans="2:10">
      <c r="B131" s="403"/>
      <c r="C131" s="750">
        <f t="shared" si="4"/>
        <v>57.736720554272516</v>
      </c>
      <c r="D131" s="435">
        <f t="shared" si="4"/>
        <v>-120</v>
      </c>
      <c r="E131" s="750">
        <f t="shared" si="4"/>
        <v>57.736720554272516</v>
      </c>
      <c r="F131" s="435">
        <f t="shared" si="4"/>
        <v>-120</v>
      </c>
      <c r="G131" s="1099">
        <f t="shared" si="5"/>
        <v>39.187143619949367</v>
      </c>
      <c r="H131" s="1102">
        <f t="shared" si="6"/>
        <v>257.44931181158563</v>
      </c>
      <c r="I131" s="1100">
        <f t="shared" si="7"/>
        <v>30.600461893764436</v>
      </c>
      <c r="J131" s="1103">
        <f t="shared" si="7"/>
        <v>-120</v>
      </c>
    </row>
    <row r="132" spans="2:10">
      <c r="B132" s="403"/>
      <c r="C132" s="750">
        <f t="shared" si="4"/>
        <v>57.736720554272516</v>
      </c>
      <c r="D132" s="435">
        <f t="shared" si="4"/>
        <v>120</v>
      </c>
      <c r="E132" s="750">
        <f t="shared" si="4"/>
        <v>57.736720554272516</v>
      </c>
      <c r="F132" s="435">
        <f t="shared" si="4"/>
        <v>120</v>
      </c>
      <c r="G132" s="1099">
        <f t="shared" si="5"/>
        <v>57.736720554272516</v>
      </c>
      <c r="H132" s="1102">
        <f t="shared" si="6"/>
        <v>120</v>
      </c>
      <c r="I132" s="1100">
        <f t="shared" si="7"/>
        <v>30.600461893764436</v>
      </c>
      <c r="J132" s="1103">
        <f t="shared" si="7"/>
        <v>120</v>
      </c>
    </row>
    <row r="133" spans="2:10">
      <c r="B133" s="403"/>
      <c r="C133" s="750">
        <f t="shared" si="4"/>
        <v>0</v>
      </c>
      <c r="D133" s="435">
        <f t="shared" si="4"/>
        <v>0</v>
      </c>
      <c r="E133" s="750">
        <f t="shared" si="4"/>
        <v>0.46600000000000003</v>
      </c>
      <c r="F133" s="435">
        <f t="shared" si="4"/>
        <v>148</v>
      </c>
      <c r="G133" s="1099">
        <f t="shared" si="5"/>
        <v>3.3050000000000002</v>
      </c>
      <c r="H133" s="1102">
        <f t="shared" si="6"/>
        <v>132</v>
      </c>
      <c r="I133" s="1100">
        <f t="shared" si="7"/>
        <v>3.8163972286374137</v>
      </c>
      <c r="J133" s="1103">
        <f t="shared" si="7"/>
        <v>102</v>
      </c>
    </row>
    <row r="134" spans="2:10">
      <c r="B134" s="403"/>
      <c r="C134" s="750">
        <f t="shared" si="4"/>
        <v>0</v>
      </c>
      <c r="D134" s="435">
        <f t="shared" si="4"/>
        <v>0</v>
      </c>
      <c r="E134" s="750">
        <f t="shared" si="4"/>
        <v>0</v>
      </c>
      <c r="F134" s="435">
        <f t="shared" si="4"/>
        <v>0</v>
      </c>
      <c r="G134" s="1099">
        <f t="shared" si="5"/>
        <v>3.3050000000000002</v>
      </c>
      <c r="H134" s="1102">
        <f t="shared" si="6"/>
        <v>312</v>
      </c>
      <c r="I134" s="1100">
        <f t="shared" si="7"/>
        <v>3.8163972286374137</v>
      </c>
      <c r="J134" s="1103">
        <f t="shared" si="7"/>
        <v>342</v>
      </c>
    </row>
    <row r="135" spans="2:10">
      <c r="B135" s="403"/>
      <c r="C135" s="750">
        <f t="shared" si="4"/>
        <v>0</v>
      </c>
      <c r="D135" s="435">
        <f t="shared" si="4"/>
        <v>0</v>
      </c>
      <c r="E135" s="750">
        <f t="shared" si="4"/>
        <v>0</v>
      </c>
      <c r="F135" s="435">
        <f t="shared" si="4"/>
        <v>0</v>
      </c>
      <c r="G135" s="1099">
        <f t="shared" si="5"/>
        <v>0</v>
      </c>
      <c r="H135" s="1102">
        <f t="shared" si="6"/>
        <v>210</v>
      </c>
      <c r="I135" s="1100">
        <f t="shared" si="7"/>
        <v>3.8163972286374137</v>
      </c>
      <c r="J135" s="1103">
        <f t="shared" si="7"/>
        <v>222</v>
      </c>
    </row>
    <row r="136" spans="2:10">
      <c r="B136" s="403"/>
      <c r="C136" s="403"/>
      <c r="D136" s="1101"/>
      <c r="E136" s="403"/>
      <c r="F136" s="1101"/>
    </row>
    <row r="137" spans="2:10">
      <c r="B137" s="640" t="s">
        <v>1177</v>
      </c>
      <c r="C137" s="750">
        <f t="shared" ref="C137:F142" si="8">AE61</f>
        <v>57.736720554272516</v>
      </c>
      <c r="D137" s="435">
        <f t="shared" si="8"/>
        <v>150</v>
      </c>
      <c r="E137" s="750">
        <f t="shared" si="8"/>
        <v>39.187143619949367</v>
      </c>
      <c r="F137" s="435">
        <f t="shared" si="8"/>
        <v>132.55068818841437</v>
      </c>
    </row>
    <row r="138" spans="2:10">
      <c r="B138" s="403"/>
      <c r="C138" s="750">
        <f t="shared" si="8"/>
        <v>57.736720554272516</v>
      </c>
      <c r="D138" s="435">
        <f t="shared" si="8"/>
        <v>30</v>
      </c>
      <c r="E138" s="750">
        <f t="shared" si="8"/>
        <v>39.187143619949367</v>
      </c>
      <c r="F138" s="435">
        <f t="shared" si="8"/>
        <v>47.44931181158563</v>
      </c>
    </row>
    <row r="139" spans="2:10">
      <c r="B139" s="403"/>
      <c r="C139" s="750">
        <f t="shared" si="8"/>
        <v>57.736720554272516</v>
      </c>
      <c r="D139" s="435">
        <f t="shared" si="8"/>
        <v>270</v>
      </c>
      <c r="E139" s="750">
        <f t="shared" si="8"/>
        <v>57.736720554272516</v>
      </c>
      <c r="F139" s="435">
        <f t="shared" si="8"/>
        <v>270</v>
      </c>
    </row>
    <row r="140" spans="2:10">
      <c r="B140" s="403"/>
      <c r="C140" s="750">
        <f t="shared" si="8"/>
        <v>0</v>
      </c>
      <c r="D140" s="435">
        <f t="shared" si="8"/>
        <v>0</v>
      </c>
      <c r="E140" s="750">
        <f t="shared" si="8"/>
        <v>3.3050000000000002</v>
      </c>
      <c r="F140" s="435">
        <f t="shared" si="8"/>
        <v>282</v>
      </c>
    </row>
    <row r="141" spans="2:10">
      <c r="B141" s="403"/>
      <c r="C141" s="750">
        <f t="shared" si="8"/>
        <v>0</v>
      </c>
      <c r="D141" s="435">
        <f t="shared" si="8"/>
        <v>0</v>
      </c>
      <c r="E141" s="750">
        <f t="shared" si="8"/>
        <v>3.3050000000000002</v>
      </c>
      <c r="F141" s="435">
        <f t="shared" si="8"/>
        <v>102</v>
      </c>
    </row>
    <row r="142" spans="2:10">
      <c r="B142" s="403"/>
      <c r="C142" s="750">
        <f t="shared" si="8"/>
        <v>0</v>
      </c>
      <c r="D142" s="435">
        <f t="shared" si="8"/>
        <v>0</v>
      </c>
      <c r="E142" s="750">
        <f t="shared" si="8"/>
        <v>0</v>
      </c>
      <c r="F142" s="435">
        <f t="shared" si="8"/>
        <v>0</v>
      </c>
    </row>
    <row r="143" spans="2:10">
      <c r="B143" s="403"/>
      <c r="C143" s="1062"/>
      <c r="D143" s="1101"/>
      <c r="E143" s="1062"/>
      <c r="F143" s="1101"/>
    </row>
    <row r="144" spans="2:10">
      <c r="B144" s="640" t="s">
        <v>1178</v>
      </c>
      <c r="C144" s="750">
        <f t="shared" ref="C144:F149" si="9">AI61</f>
        <v>57.736720554272516</v>
      </c>
      <c r="D144" s="435">
        <f t="shared" si="9"/>
        <v>0</v>
      </c>
      <c r="E144" s="750">
        <f t="shared" si="9"/>
        <v>30.600461893764436</v>
      </c>
      <c r="F144" s="435">
        <f t="shared" si="9"/>
        <v>0</v>
      </c>
    </row>
    <row r="145" spans="2:6">
      <c r="B145" s="403"/>
      <c r="C145" s="750">
        <f t="shared" si="9"/>
        <v>57.736720554272516</v>
      </c>
      <c r="D145" s="435">
        <f t="shared" si="9"/>
        <v>-120</v>
      </c>
      <c r="E145" s="750">
        <f t="shared" si="9"/>
        <v>30.600461893764436</v>
      </c>
      <c r="F145" s="435">
        <f t="shared" si="9"/>
        <v>-120</v>
      </c>
    </row>
    <row r="146" spans="2:6">
      <c r="B146" s="403"/>
      <c r="C146" s="750">
        <f t="shared" si="9"/>
        <v>57.736720554272516</v>
      </c>
      <c r="D146" s="435">
        <f t="shared" si="9"/>
        <v>120</v>
      </c>
      <c r="E146" s="750">
        <f t="shared" si="9"/>
        <v>30.600461893764436</v>
      </c>
      <c r="F146" s="435">
        <f t="shared" si="9"/>
        <v>120</v>
      </c>
    </row>
    <row r="147" spans="2:6">
      <c r="B147" s="403"/>
      <c r="C147" s="750">
        <f t="shared" si="9"/>
        <v>0</v>
      </c>
      <c r="D147" s="435">
        <f t="shared" si="9"/>
        <v>0</v>
      </c>
      <c r="E147" s="750">
        <f t="shared" si="9"/>
        <v>3.8163972286374137</v>
      </c>
      <c r="F147" s="435">
        <f t="shared" si="9"/>
        <v>102</v>
      </c>
    </row>
    <row r="148" spans="2:6">
      <c r="B148" s="403"/>
      <c r="C148" s="750">
        <f t="shared" si="9"/>
        <v>0</v>
      </c>
      <c r="D148" s="435">
        <f t="shared" si="9"/>
        <v>0</v>
      </c>
      <c r="E148" s="750">
        <f t="shared" si="9"/>
        <v>3.8163972286374137</v>
      </c>
      <c r="F148" s="435">
        <f t="shared" si="9"/>
        <v>342</v>
      </c>
    </row>
    <row r="149" spans="2:6">
      <c r="B149" s="403"/>
      <c r="C149" s="750">
        <f t="shared" si="9"/>
        <v>0</v>
      </c>
      <c r="D149" s="435">
        <f t="shared" si="9"/>
        <v>0</v>
      </c>
      <c r="E149" s="750">
        <f t="shared" si="9"/>
        <v>3.8163972286374137</v>
      </c>
      <c r="F149" s="435">
        <f t="shared" si="9"/>
        <v>222</v>
      </c>
    </row>
    <row r="150" spans="2:6">
      <c r="C150"/>
      <c r="E150"/>
    </row>
    <row r="151" spans="2:6">
      <c r="C151"/>
      <c r="E151"/>
    </row>
    <row r="152" spans="2:6">
      <c r="C152"/>
      <c r="E152"/>
    </row>
    <row r="153" spans="2:6">
      <c r="C153"/>
      <c r="E153"/>
    </row>
    <row r="154" spans="2:6">
      <c r="C154"/>
      <c r="E154"/>
    </row>
    <row r="155" spans="2:6">
      <c r="C155"/>
      <c r="E155"/>
    </row>
    <row r="156" spans="2:6">
      <c r="C156"/>
      <c r="E156"/>
    </row>
    <row r="157" spans="2:6">
      <c r="C157"/>
      <c r="E157"/>
    </row>
    <row r="158" spans="2:6">
      <c r="C158"/>
      <c r="E158"/>
    </row>
    <row r="159" spans="2:6">
      <c r="C159"/>
      <c r="E159"/>
    </row>
    <row r="160" spans="2:6">
      <c r="C160"/>
      <c r="E160"/>
    </row>
    <row r="161" spans="3:7">
      <c r="C161"/>
      <c r="E161"/>
    </row>
    <row r="162" spans="3:7">
      <c r="C162"/>
      <c r="E162"/>
    </row>
    <row r="163" spans="3:7">
      <c r="C163"/>
      <c r="E163"/>
    </row>
    <row r="164" spans="3:7">
      <c r="C164"/>
      <c r="E164"/>
    </row>
    <row r="165" spans="3:7">
      <c r="C165"/>
      <c r="E165"/>
    </row>
    <row r="166" spans="3:7">
      <c r="C166"/>
      <c r="E166"/>
    </row>
    <row r="167" spans="3:7">
      <c r="C167"/>
      <c r="E167"/>
    </row>
    <row r="168" spans="3:7">
      <c r="C168"/>
      <c r="E168"/>
    </row>
    <row r="169" spans="3:7">
      <c r="C169"/>
      <c r="E169"/>
    </row>
    <row r="170" spans="3:7">
      <c r="C170"/>
      <c r="E170"/>
    </row>
    <row r="171" spans="3:7">
      <c r="C171"/>
      <c r="E171"/>
    </row>
    <row r="172" spans="3:7">
      <c r="C172"/>
      <c r="E172"/>
      <c r="G172"/>
    </row>
    <row r="173" spans="3:7">
      <c r="C173"/>
      <c r="E173"/>
    </row>
    <row r="174" spans="3:7">
      <c r="C174"/>
      <c r="E174"/>
    </row>
    <row r="175" spans="3:7">
      <c r="C175"/>
      <c r="E175"/>
    </row>
    <row r="176" spans="3:7">
      <c r="C176"/>
      <c r="E176"/>
    </row>
    <row r="177" spans="3:5">
      <c r="C177"/>
      <c r="E177"/>
    </row>
    <row r="178" spans="3:5">
      <c r="C178"/>
      <c r="E178"/>
    </row>
    <row r="179" spans="3:5">
      <c r="C179"/>
      <c r="E179"/>
    </row>
    <row r="180" spans="3:5">
      <c r="C180"/>
      <c r="E180"/>
    </row>
    <row r="181" spans="3:5">
      <c r="C181"/>
      <c r="E181"/>
    </row>
    <row r="182" spans="3:5">
      <c r="C182"/>
      <c r="E182"/>
    </row>
    <row r="183" spans="3:5">
      <c r="C183"/>
      <c r="E183"/>
    </row>
    <row r="184" spans="3:5">
      <c r="C184"/>
      <c r="E184"/>
    </row>
    <row r="185" spans="3:5">
      <c r="C185"/>
      <c r="E185"/>
    </row>
    <row r="186" spans="3:5">
      <c r="C186"/>
      <c r="E186"/>
    </row>
    <row r="187" spans="3:5">
      <c r="C187"/>
      <c r="E187"/>
    </row>
    <row r="188" spans="3:5">
      <c r="C188"/>
      <c r="E188"/>
    </row>
    <row r="189" spans="3:5">
      <c r="C189"/>
      <c r="E189"/>
    </row>
    <row r="190" spans="3:5">
      <c r="C190"/>
      <c r="E190"/>
    </row>
    <row r="191" spans="3:5">
      <c r="C191"/>
      <c r="E191"/>
    </row>
    <row r="192" spans="3:5">
      <c r="C192"/>
      <c r="E192"/>
    </row>
    <row r="193" spans="3:5">
      <c r="C193"/>
      <c r="E193"/>
    </row>
    <row r="194" spans="3:5">
      <c r="C194"/>
      <c r="E194"/>
    </row>
    <row r="195" spans="3:5">
      <c r="C195"/>
      <c r="E195"/>
    </row>
    <row r="196" spans="3:5">
      <c r="C196"/>
      <c r="E196"/>
    </row>
    <row r="197" spans="3:5">
      <c r="C197"/>
      <c r="E197"/>
    </row>
    <row r="198" spans="3:5">
      <c r="C198"/>
      <c r="E198"/>
    </row>
    <row r="199" spans="3:5">
      <c r="C199"/>
      <c r="E199"/>
    </row>
    <row r="200" spans="3:5">
      <c r="C200"/>
      <c r="E200"/>
    </row>
    <row r="201" spans="3:5">
      <c r="C201"/>
      <c r="E201"/>
    </row>
    <row r="202" spans="3:5">
      <c r="C202"/>
      <c r="E202"/>
    </row>
    <row r="203" spans="3:5">
      <c r="C203"/>
      <c r="E203"/>
    </row>
    <row r="204" spans="3:5">
      <c r="C204"/>
      <c r="E204"/>
    </row>
    <row r="205" spans="3:5">
      <c r="C205"/>
      <c r="E205"/>
    </row>
    <row r="206" spans="3:5">
      <c r="C206"/>
      <c r="E206"/>
    </row>
    <row r="207" spans="3:5">
      <c r="C207"/>
      <c r="E207"/>
    </row>
    <row r="208" spans="3:5">
      <c r="C208"/>
      <c r="E208"/>
    </row>
    <row r="209" spans="3:5">
      <c r="C209"/>
      <c r="E209"/>
    </row>
    <row r="210" spans="3:5">
      <c r="C210"/>
      <c r="E210"/>
    </row>
    <row r="211" spans="3:5">
      <c r="C211"/>
      <c r="E211"/>
    </row>
    <row r="212" spans="3:5">
      <c r="C212"/>
      <c r="E212"/>
    </row>
    <row r="213" spans="3:5">
      <c r="C213"/>
      <c r="E213"/>
    </row>
    <row r="214" spans="3:5">
      <c r="C214"/>
      <c r="E214"/>
    </row>
    <row r="215" spans="3:5">
      <c r="C215"/>
      <c r="E215"/>
    </row>
    <row r="216" spans="3:5">
      <c r="C216"/>
      <c r="E216"/>
    </row>
    <row r="217" spans="3:5">
      <c r="C217"/>
      <c r="E217"/>
    </row>
    <row r="326" spans="3:4">
      <c r="C326" s="162"/>
      <c r="D326" s="14"/>
    </row>
  </sheetData>
  <mergeCells count="44">
    <mergeCell ref="B71:C71"/>
    <mergeCell ref="AI60:AL60"/>
    <mergeCell ref="J71:K71"/>
    <mergeCell ref="AJ69:AK69"/>
    <mergeCell ref="AF78:AG78"/>
    <mergeCell ref="AH78:AI78"/>
    <mergeCell ref="AJ78:AK78"/>
    <mergeCell ref="S71:W71"/>
    <mergeCell ref="AE60:AG60"/>
    <mergeCell ref="E73:F73"/>
    <mergeCell ref="AF69:AG69"/>
    <mergeCell ref="AH69:AI69"/>
    <mergeCell ref="P70:Q70"/>
    <mergeCell ref="AJ1:AL1"/>
    <mergeCell ref="AL5:AL6"/>
    <mergeCell ref="AL3:AL4"/>
    <mergeCell ref="H102:I102"/>
    <mergeCell ref="Q2:S2"/>
    <mergeCell ref="AD1:AG1"/>
    <mergeCell ref="AD3:AH3"/>
    <mergeCell ref="Q4:R4"/>
    <mergeCell ref="AC27:AI27"/>
    <mergeCell ref="G101:I101"/>
    <mergeCell ref="AA49:AC49"/>
    <mergeCell ref="AE52:AJ52"/>
    <mergeCell ref="AA92:AB92"/>
    <mergeCell ref="K104:L104"/>
    <mergeCell ref="H104:I104"/>
    <mergeCell ref="H103:I103"/>
    <mergeCell ref="K103:L103"/>
    <mergeCell ref="Q5:R5"/>
    <mergeCell ref="K102:L102"/>
    <mergeCell ref="H105:I105"/>
    <mergeCell ref="K105:L105"/>
    <mergeCell ref="P71:Q71"/>
    <mergeCell ref="G129:J129"/>
    <mergeCell ref="C93:E93"/>
    <mergeCell ref="K106:L106"/>
    <mergeCell ref="K108:L108"/>
    <mergeCell ref="H106:I106"/>
    <mergeCell ref="H108:I108"/>
    <mergeCell ref="H107:I107"/>
    <mergeCell ref="K107:L107"/>
    <mergeCell ref="C101:F101"/>
  </mergeCells>
  <phoneticPr fontId="30" type="noConversion"/>
  <conditionalFormatting sqref="G12:H12 D105:D108 AA93:AB93 M14:N14">
    <cfRule type="expression" dxfId="173" priority="1" stopIfTrue="1">
      <formula>$D$103="Off"</formula>
    </cfRule>
  </conditionalFormatting>
  <conditionalFormatting sqref="G14:H14 AG47 M18:N18">
    <cfRule type="expression" dxfId="172" priority="2" stopIfTrue="1">
      <formula>OR($D$103="Off",$AB$15="COM(1)")</formula>
    </cfRule>
  </conditionalFormatting>
  <conditionalFormatting sqref="Q76 K80">
    <cfRule type="cellIs" dxfId="171" priority="3" stopIfTrue="1" operator="equal">
      <formula>"blocked"</formula>
    </cfRule>
  </conditionalFormatting>
  <conditionalFormatting sqref="P76">
    <cfRule type="expression" dxfId="170" priority="4" stopIfTrue="1">
      <formula>$Q$76="blocked"</formula>
    </cfRule>
  </conditionalFormatting>
  <conditionalFormatting sqref="E105:E108 M19:N19 N20 I13 G15:H15 J19:K19">
    <cfRule type="expression" dxfId="169" priority="5" stopIfTrue="1">
      <formula>$E$103="Off"</formula>
    </cfRule>
  </conditionalFormatting>
  <conditionalFormatting sqref="F105:F108 P9:Q9 Q11 I15 G17:H17 M9:N9">
    <cfRule type="expression" dxfId="168" priority="6" stopIfTrue="1">
      <formula>$F$103="Off"</formula>
    </cfRule>
  </conditionalFormatting>
  <conditionalFormatting sqref="G104:G108">
    <cfRule type="expression" dxfId="167" priority="7" stopIfTrue="1">
      <formula>$G$103="Off"</formula>
    </cfRule>
  </conditionalFormatting>
  <conditionalFormatting sqref="H104:H108">
    <cfRule type="expression" dxfId="166" priority="8" stopIfTrue="1">
      <formula>$H$103="Off"</formula>
    </cfRule>
  </conditionalFormatting>
  <conditionalFormatting sqref="J104:J108">
    <cfRule type="expression" dxfId="165" priority="9" stopIfTrue="1">
      <formula>$J$103="Off"</formula>
    </cfRule>
  </conditionalFormatting>
  <conditionalFormatting sqref="F104">
    <cfRule type="expression" dxfId="164" priority="10" stopIfTrue="1">
      <formula>$F$103="Off"</formula>
    </cfRule>
    <cfRule type="expression" dxfId="163" priority="11" stopIfTrue="1">
      <formula>$AB$15="Common"</formula>
    </cfRule>
  </conditionalFormatting>
  <conditionalFormatting sqref="Q75">
    <cfRule type="cellIs" dxfId="162" priority="12" stopIfTrue="1" operator="greaterThan">
      <formula>30</formula>
    </cfRule>
    <cfRule type="cellIs" dxfId="161" priority="13" stopIfTrue="1" operator="lessThan">
      <formula>$AC$21</formula>
    </cfRule>
  </conditionalFormatting>
  <conditionalFormatting sqref="AA95:AH96 G30:M31 O30:O31">
    <cfRule type="expression" dxfId="160" priority="14" stopIfTrue="1">
      <formula>$AB$6="7SA611"</formula>
    </cfRule>
  </conditionalFormatting>
  <conditionalFormatting sqref="T12 S12:S16 V19:V20 T16">
    <cfRule type="expression" dxfId="159" priority="15" stopIfTrue="1">
      <formula>$AD$19&lt;7</formula>
    </cfRule>
  </conditionalFormatting>
  <conditionalFormatting sqref="S19:T20">
    <cfRule type="expression" dxfId="158" priority="16" stopIfTrue="1">
      <formula>$AO$16=$AA$22</formula>
    </cfRule>
  </conditionalFormatting>
  <conditionalFormatting sqref="S21:T22">
    <cfRule type="expression" dxfId="157" priority="17" stopIfTrue="1">
      <formula>$AO$17=$AA$22</formula>
    </cfRule>
  </conditionalFormatting>
  <conditionalFormatting sqref="T14">
    <cfRule type="expression" dxfId="156" priority="18" stopIfTrue="1">
      <formula>$AD$19&lt;7</formula>
    </cfRule>
    <cfRule type="cellIs" dxfId="155" priority="19" stopIfTrue="1" operator="greaterThan">
      <formula>$T$12</formula>
    </cfRule>
  </conditionalFormatting>
  <conditionalFormatting sqref="T15">
    <cfRule type="expression" dxfId="154" priority="20" stopIfTrue="1">
      <formula>$AD$19&lt;7</formula>
    </cfRule>
    <cfRule type="cellIs" dxfId="153" priority="21" stopIfTrue="1" operator="greaterThan">
      <formula>$T$13</formula>
    </cfRule>
  </conditionalFormatting>
  <conditionalFormatting sqref="T13">
    <cfRule type="expression" dxfId="152" priority="22" stopIfTrue="1">
      <formula>$AD$19&lt;7</formula>
    </cfRule>
    <cfRule type="cellIs" dxfId="151" priority="23" stopIfTrue="1" operator="greaterThan">
      <formula>1.7</formula>
    </cfRule>
  </conditionalFormatting>
  <conditionalFormatting sqref="T10 S9:T9 AL2">
    <cfRule type="expression" dxfId="150" priority="24" stopIfTrue="1">
      <formula>$AB$6="7SA611"</formula>
    </cfRule>
  </conditionalFormatting>
  <conditionalFormatting sqref="C75">
    <cfRule type="cellIs" dxfId="149" priority="25" stopIfTrue="1" operator="greaterThan">
      <formula>30</formula>
    </cfRule>
    <cfRule type="cellIs" dxfId="148" priority="26" stopIfTrue="1" operator="lessThan">
      <formula>$AB$11</formula>
    </cfRule>
  </conditionalFormatting>
  <conditionalFormatting sqref="B75">
    <cfRule type="expression" dxfId="147" priority="27" stopIfTrue="1">
      <formula>$C$75&gt;30</formula>
    </cfRule>
  </conditionalFormatting>
  <conditionalFormatting sqref="L24">
    <cfRule type="expression" dxfId="146" priority="28" stopIfTrue="1">
      <formula>#REF!=""</formula>
    </cfRule>
  </conditionalFormatting>
  <conditionalFormatting sqref="AE45:AE48">
    <cfRule type="expression" dxfId="145" priority="29" stopIfTrue="1">
      <formula>#REF!=FALSE</formula>
    </cfRule>
  </conditionalFormatting>
  <conditionalFormatting sqref="Q16">
    <cfRule type="expression" dxfId="144" priority="30" stopIfTrue="1">
      <formula>$G$103="Inactive"</formula>
    </cfRule>
  </conditionalFormatting>
  <conditionalFormatting sqref="P16">
    <cfRule type="expression" dxfId="143" priority="31" stopIfTrue="1">
      <formula>#REF!=FALSE</formula>
    </cfRule>
  </conditionalFormatting>
  <conditionalFormatting sqref="M10:N10 J12:K12">
    <cfRule type="expression" dxfId="142" priority="32" stopIfTrue="1">
      <formula>$G$103="Off"</formula>
    </cfRule>
  </conditionalFormatting>
  <conditionalFormatting sqref="M12:N12 J16:K17 J20:K21">
    <cfRule type="expression" dxfId="141" priority="33" stopIfTrue="1">
      <formula>$J$103="Off"</formula>
    </cfRule>
  </conditionalFormatting>
  <conditionalFormatting sqref="M11:N11 J13:K13">
    <cfRule type="expression" dxfId="140" priority="34" stopIfTrue="1">
      <formula>$H$103="Off"</formula>
    </cfRule>
  </conditionalFormatting>
  <conditionalFormatting sqref="I11 G13:H13 N17">
    <cfRule type="expression" dxfId="139" priority="35" stopIfTrue="1">
      <formula>$AB$15="Common"</formula>
    </cfRule>
  </conditionalFormatting>
  <conditionalFormatting sqref="J15:K15">
    <cfRule type="expression" dxfId="138" priority="36" stopIfTrue="1">
      <formula>AND($G$103="Off",$H$103="Off")</formula>
    </cfRule>
  </conditionalFormatting>
  <conditionalFormatting sqref="P75">
    <cfRule type="expression" dxfId="137" priority="37" stopIfTrue="1">
      <formula>$Q$75&gt;30</formula>
    </cfRule>
    <cfRule type="expression" dxfId="136" priority="38" stopIfTrue="1">
      <formula>$Q$75&lt;$AC$21</formula>
    </cfRule>
  </conditionalFormatting>
  <conditionalFormatting sqref="I14 G16:H16">
    <cfRule type="expression" dxfId="135" priority="39" stopIfTrue="1">
      <formula>$E$103="Off"</formula>
    </cfRule>
    <cfRule type="expression" dxfId="134" priority="40" stopIfTrue="1">
      <formula>$AB$15="Common"</formula>
    </cfRule>
  </conditionalFormatting>
  <conditionalFormatting sqref="P70:Q70">
    <cfRule type="cellIs" dxfId="133" priority="41" stopIfTrue="1" operator="equal">
      <formula>"DCEF: Forward PU"</formula>
    </cfRule>
    <cfRule type="cellIs" dxfId="132" priority="42" stopIfTrue="1" operator="equal">
      <formula>"DCEF: Reverse PU"</formula>
    </cfRule>
  </conditionalFormatting>
  <conditionalFormatting sqref="J80">
    <cfRule type="expression" dxfId="131" priority="43" stopIfTrue="1">
      <formula>$K$80="blocked"</formula>
    </cfRule>
  </conditionalFormatting>
  <conditionalFormatting sqref="W19:W20">
    <cfRule type="expression" dxfId="130" priority="44" stopIfTrue="1">
      <formula>$AD$19&lt;7</formula>
    </cfRule>
    <cfRule type="cellIs" dxfId="129" priority="45" stopIfTrue="1" operator="greaterThan">
      <formula>0</formula>
    </cfRule>
  </conditionalFormatting>
  <conditionalFormatting sqref="W21">
    <cfRule type="cellIs" dxfId="128" priority="46" stopIfTrue="1" operator="notEqual">
      <formula>0.1</formula>
    </cfRule>
  </conditionalFormatting>
  <conditionalFormatting sqref="B25 B27:C27">
    <cfRule type="expression" dxfId="127" priority="47" stopIfTrue="1">
      <formula>OR($AN$7="TPAR(3)",$AN$7="Disable(1)")</formula>
    </cfRule>
  </conditionalFormatting>
  <conditionalFormatting sqref="B26:C26">
    <cfRule type="expression" dxfId="126" priority="48" stopIfTrue="1">
      <formula>OR($AN$7="SPAR(2)",$AN$7="Disable(1)")</formula>
    </cfRule>
  </conditionalFormatting>
  <conditionalFormatting sqref="B29">
    <cfRule type="expression" dxfId="125" priority="49" stopIfTrue="1">
      <formula>$AN$7="Disable(1)"</formula>
    </cfRule>
  </conditionalFormatting>
  <conditionalFormatting sqref="C29 B28">
    <cfRule type="expression" dxfId="124" priority="50" stopIfTrue="1">
      <formula>$AN$7="Disable(1)"</formula>
    </cfRule>
  </conditionalFormatting>
  <conditionalFormatting sqref="C28">
    <cfRule type="cellIs" dxfId="123" priority="51" stopIfTrue="1" operator="lessThanOrEqual">
      <formula>$AO$8</formula>
    </cfRule>
    <cfRule type="expression" dxfId="122" priority="52" stopIfTrue="1">
      <formula>$AN$7="Disable(1)"</formula>
    </cfRule>
  </conditionalFormatting>
  <conditionalFormatting sqref="C25">
    <cfRule type="expression" dxfId="121" priority="53" stopIfTrue="1">
      <formula>OR($AN$7="TPAR(3)",$AN$7="Disable(1)")</formula>
    </cfRule>
    <cfRule type="expression" dxfId="120" priority="54" stopIfTrue="1">
      <formula>$AO$7&lt;&gt;"OK"</formula>
    </cfRule>
  </conditionalFormatting>
  <pageMargins left="0.75" right="0.57999999999999996" top="0.59" bottom="0.78" header="0.31" footer="0.5"/>
  <pageSetup paperSize="9" orientation="portrait" horizontalDpi="360" verticalDpi="360" r:id="rId1"/>
  <headerFooter alignWithMargins="0"/>
  <drawing r:id="rId2"/>
  <legacyDrawing r:id="rId3"/>
  <controls>
    <mc:AlternateContent xmlns:mc="http://schemas.openxmlformats.org/markup-compatibility/2006">
      <mc:Choice Requires="x14">
        <control shapeId="1104" r:id="rId4" name="CheckBox1">
          <controlPr defaultSize="0" autoLine="0" linkedCell="AC33" r:id="rId5">
            <anchor moveWithCells="1">
              <from>
                <xdr:col>41</xdr:col>
                <xdr:colOff>0</xdr:colOff>
                <xdr:row>94</xdr:row>
                <xdr:rowOff>0</xdr:rowOff>
              </from>
              <to>
                <xdr:col>42</xdr:col>
                <xdr:colOff>600075</xdr:colOff>
                <xdr:row>95</xdr:row>
                <xdr:rowOff>57150</xdr:rowOff>
              </to>
            </anchor>
          </controlPr>
        </control>
      </mc:Choice>
      <mc:Fallback>
        <control shapeId="1104" r:id="rId4" name="CheckBox1"/>
      </mc:Fallback>
    </mc:AlternateContent>
    <mc:AlternateContent xmlns:mc="http://schemas.openxmlformats.org/markup-compatibility/2006">
      <mc:Choice Requires="x14">
        <control shapeId="1074" r:id="rId6" name="TextBox5">
          <controlPr defaultSize="0" print="0" autoLine="0" r:id="rId7">
            <anchor moveWithCells="1" sizeWithCells="1">
              <from>
                <xdr:col>5</xdr:col>
                <xdr:colOff>390525</xdr:colOff>
                <xdr:row>1</xdr:row>
                <xdr:rowOff>57150</xdr:rowOff>
              </from>
              <to>
                <xdr:col>6</xdr:col>
                <xdr:colOff>371475</xdr:colOff>
                <xdr:row>4</xdr:row>
                <xdr:rowOff>104775</xdr:rowOff>
              </to>
            </anchor>
          </controlPr>
        </control>
      </mc:Choice>
      <mc:Fallback>
        <control shapeId="1074" r:id="rId6" name="TextBox5"/>
      </mc:Fallback>
    </mc:AlternateContent>
    <mc:AlternateContent xmlns:mc="http://schemas.openxmlformats.org/markup-compatibility/2006">
      <mc:Choice Requires="x14">
        <control shapeId="1062" r:id="rId8" name="TextBox1">
          <controlPr defaultSize="0" autoLine="0" linkedCell="AB3" r:id="rId9">
            <anchor moveWithCells="1" sizeWithCells="1">
              <from>
                <xdr:col>5</xdr:col>
                <xdr:colOff>704850</xdr:colOff>
                <xdr:row>3</xdr:row>
                <xdr:rowOff>0</xdr:rowOff>
              </from>
              <to>
                <xdr:col>6</xdr:col>
                <xdr:colOff>104775</xdr:colOff>
                <xdr:row>4</xdr:row>
                <xdr:rowOff>57150</xdr:rowOff>
              </to>
            </anchor>
          </controlPr>
        </control>
      </mc:Choice>
      <mc:Fallback>
        <control shapeId="1062" r:id="rId8" name="TextBox1"/>
      </mc:Fallback>
    </mc:AlternateContent>
    <mc:AlternateContent xmlns:mc="http://schemas.openxmlformats.org/markup-compatibility/2006">
      <mc:Choice Requires="x14">
        <control shapeId="1064" r:id="rId10" name="SpinButton1">
          <controlPr defaultSize="0" print="0" autoLine="0" linkedCell="AB5" r:id="rId11">
            <anchor moveWithCells="1" sizeWithCells="1">
              <from>
                <xdr:col>6</xdr:col>
                <xdr:colOff>142875</xdr:colOff>
                <xdr:row>3</xdr:row>
                <xdr:rowOff>0</xdr:rowOff>
              </from>
              <to>
                <xdr:col>6</xdr:col>
                <xdr:colOff>295275</xdr:colOff>
                <xdr:row>4</xdr:row>
                <xdr:rowOff>66675</xdr:rowOff>
              </to>
            </anchor>
          </controlPr>
        </control>
      </mc:Choice>
      <mc:Fallback>
        <control shapeId="1064" r:id="rId10" name="SpinButton1"/>
      </mc:Fallback>
    </mc:AlternateContent>
    <mc:AlternateContent xmlns:mc="http://schemas.openxmlformats.org/markup-compatibility/2006">
      <mc:Choice Requires="x14">
        <control shapeId="1080" r:id="rId12" name="ComboBox1">
          <controlPr locked="0" defaultSize="0" autoLine="0" linkedCell="AB6" listFillRange="AC3:AC3" r:id="rId13">
            <anchor moveWithCells="1" sizeWithCells="1">
              <from>
                <xdr:col>5</xdr:col>
                <xdr:colOff>419100</xdr:colOff>
                <xdr:row>1</xdr:row>
                <xdr:rowOff>95250</xdr:rowOff>
              </from>
              <to>
                <xdr:col>6</xdr:col>
                <xdr:colOff>295275</xdr:colOff>
                <xdr:row>2</xdr:row>
                <xdr:rowOff>142875</xdr:rowOff>
              </to>
            </anchor>
          </controlPr>
        </control>
      </mc:Choice>
      <mc:Fallback>
        <control shapeId="1080" r:id="rId12" name="ComboBox1"/>
      </mc:Fallback>
    </mc:AlternateContent>
    <mc:AlternateContent xmlns:mc="http://schemas.openxmlformats.org/markup-compatibility/2006">
      <mc:Choice Requires="x14">
        <control shapeId="1099" r:id="rId14" name="ComboBox2">
          <controlPr locked="0" defaultSize="0" autoLine="0" linkedCell="AA38" listFillRange="AA34:AA37" r:id="rId15">
            <anchor moveWithCells="1">
              <from>
                <xdr:col>41</xdr:col>
                <xdr:colOff>0</xdr:colOff>
                <xdr:row>93</xdr:row>
                <xdr:rowOff>133350</xdr:rowOff>
              </from>
              <to>
                <xdr:col>42</xdr:col>
                <xdr:colOff>504825</xdr:colOff>
                <xdr:row>95</xdr:row>
                <xdr:rowOff>0</xdr:rowOff>
              </to>
            </anchor>
          </controlPr>
        </control>
      </mc:Choice>
      <mc:Fallback>
        <control shapeId="1099" r:id="rId14" name="ComboBox2"/>
      </mc:Fallback>
    </mc:AlternateContent>
    <mc:AlternateContent xmlns:mc="http://schemas.openxmlformats.org/markup-compatibility/2006">
      <mc:Choice Requires="x14">
        <control shapeId="1133" r:id="rId16" name="ComboBox4">
          <controlPr defaultSize="0" autoLine="0" linkedCell="AE18" listFillRange="AD13:AD17" r:id="rId17">
            <anchor moveWithCells="1">
              <from>
                <xdr:col>2</xdr:col>
                <xdr:colOff>0</xdr:colOff>
                <xdr:row>8</xdr:row>
                <xdr:rowOff>9525</xdr:rowOff>
              </from>
              <to>
                <xdr:col>4</xdr:col>
                <xdr:colOff>476250</xdr:colOff>
                <xdr:row>8</xdr:row>
                <xdr:rowOff>190500</xdr:rowOff>
              </to>
            </anchor>
          </controlPr>
        </control>
      </mc:Choice>
      <mc:Fallback>
        <control shapeId="1133" r:id="rId16" name="ComboBox4"/>
      </mc:Fallback>
    </mc:AlternateContent>
    <mc:AlternateContent xmlns:mc="http://schemas.openxmlformats.org/markup-compatibility/2006">
      <mc:Choice Requires="x14">
        <control shapeId="1161" r:id="rId18" name="SpinButton2">
          <controlPr locked="0" defaultSize="0" print="0" autoLine="0" linkedCell="Characteristic!AD10" r:id="rId19">
            <anchor moveWithCells="1">
              <from>
                <xdr:col>1</xdr:col>
                <xdr:colOff>114300</xdr:colOff>
                <xdr:row>55</xdr:row>
                <xdr:rowOff>76200</xdr:rowOff>
              </from>
              <to>
                <xdr:col>1</xdr:col>
                <xdr:colOff>476250</xdr:colOff>
                <xdr:row>57</xdr:row>
                <xdr:rowOff>66675</xdr:rowOff>
              </to>
            </anchor>
          </controlPr>
        </control>
      </mc:Choice>
      <mc:Fallback>
        <control shapeId="1161" r:id="rId18" name="SpinButton2"/>
      </mc:Fallback>
    </mc:AlternateContent>
    <mc:AlternateContent xmlns:mc="http://schemas.openxmlformats.org/markup-compatibility/2006">
      <mc:Choice Requires="x14">
        <control shapeId="1166" r:id="rId20" name="SpinButton4">
          <controlPr locked="0" defaultSize="0" print="0" autoLine="0" linkedCell="Characteristic!AD32" r:id="rId21">
            <anchor moveWithCells="1">
              <from>
                <xdr:col>10</xdr:col>
                <xdr:colOff>342900</xdr:colOff>
                <xdr:row>55</xdr:row>
                <xdr:rowOff>104775</xdr:rowOff>
              </from>
              <to>
                <xdr:col>12</xdr:col>
                <xdr:colOff>95250</xdr:colOff>
                <xdr:row>57</xdr:row>
                <xdr:rowOff>104775</xdr:rowOff>
              </to>
            </anchor>
          </controlPr>
        </control>
      </mc:Choice>
      <mc:Fallback>
        <control shapeId="1166" r:id="rId20" name="SpinButton4"/>
      </mc:Fallback>
    </mc:AlternateContent>
    <mc:AlternateContent xmlns:mc="http://schemas.openxmlformats.org/markup-compatibility/2006">
      <mc:Choice Requires="x14">
        <control shapeId="1199" r:id="rId22" name="TextBox6">
          <controlPr defaultSize="0" autoLine="0" r:id="rId23">
            <anchor moveWithCells="1" sizeWithCells="1">
              <from>
                <xdr:col>12</xdr:col>
                <xdr:colOff>685800</xdr:colOff>
                <xdr:row>1</xdr:row>
                <xdr:rowOff>0</xdr:rowOff>
              </from>
              <to>
                <xdr:col>15</xdr:col>
                <xdr:colOff>685800</xdr:colOff>
                <xdr:row>4</xdr:row>
                <xdr:rowOff>133350</xdr:rowOff>
              </to>
            </anchor>
          </controlPr>
        </control>
      </mc:Choice>
      <mc:Fallback>
        <control shapeId="1199" r:id="rId22" name="TextBox6"/>
      </mc:Fallback>
    </mc:AlternateContent>
    <mc:AlternateContent xmlns:mc="http://schemas.openxmlformats.org/markup-compatibility/2006">
      <mc:Choice Requires="x14">
        <control shapeId="1200" r:id="rId24" name="OptionButton1">
          <controlPr defaultSize="0" disabled="1" autoLine="0" linkedCell="AE9" r:id="rId25">
            <anchor moveWithCells="1" sizeWithCells="1">
              <from>
                <xdr:col>13</xdr:col>
                <xdr:colOff>400050</xdr:colOff>
                <xdr:row>1</xdr:row>
                <xdr:rowOff>66675</xdr:rowOff>
              </from>
              <to>
                <xdr:col>15</xdr:col>
                <xdr:colOff>600075</xdr:colOff>
                <xdr:row>2</xdr:row>
                <xdr:rowOff>123825</xdr:rowOff>
              </to>
            </anchor>
          </controlPr>
        </control>
      </mc:Choice>
      <mc:Fallback>
        <control shapeId="1200" r:id="rId24" name="OptionButton1"/>
      </mc:Fallback>
    </mc:AlternateContent>
    <mc:AlternateContent xmlns:mc="http://schemas.openxmlformats.org/markup-compatibility/2006">
      <mc:Choice Requires="x14">
        <control shapeId="1201" r:id="rId26" name="OptionButton2">
          <controlPr defaultSize="0" disabled="1" autoLine="0" r:id="rId27">
            <anchor moveWithCells="1" sizeWithCells="1">
              <from>
                <xdr:col>13</xdr:col>
                <xdr:colOff>400050</xdr:colOff>
                <xdr:row>3</xdr:row>
                <xdr:rowOff>0</xdr:rowOff>
              </from>
              <to>
                <xdr:col>15</xdr:col>
                <xdr:colOff>600075</xdr:colOff>
                <xdr:row>4</xdr:row>
                <xdr:rowOff>95250</xdr:rowOff>
              </to>
            </anchor>
          </controlPr>
        </control>
      </mc:Choice>
      <mc:Fallback>
        <control shapeId="1201" r:id="rId26" name="OptionButton2"/>
      </mc:Fallback>
    </mc:AlternateContent>
    <mc:AlternateContent xmlns:mc="http://schemas.openxmlformats.org/markup-compatibility/2006">
      <mc:Choice Requires="x14">
        <control shapeId="1221" r:id="rId28" name="Label3">
          <controlPr autoLine="0" r:id="rId29">
            <anchor moveWithCells="1" sizeWithCells="1">
              <from>
                <xdr:col>1</xdr:col>
                <xdr:colOff>104775</xdr:colOff>
                <xdr:row>36</xdr:row>
                <xdr:rowOff>28575</xdr:rowOff>
              </from>
              <to>
                <xdr:col>1</xdr:col>
                <xdr:colOff>600075</xdr:colOff>
                <xdr:row>37</xdr:row>
                <xdr:rowOff>38100</xdr:rowOff>
              </to>
            </anchor>
          </controlPr>
        </control>
      </mc:Choice>
      <mc:Fallback>
        <control shapeId="1221" r:id="rId28" name="Label3"/>
      </mc:Fallback>
    </mc:AlternateContent>
    <mc:AlternateContent xmlns:mc="http://schemas.openxmlformats.org/markup-compatibility/2006">
      <mc:Choice Requires="x14">
        <control shapeId="1217" r:id="rId30" name="CheckBox10">
          <controlPr locked="0" defaultSize="0" autoLine="0" linkedCell="AM29" r:id="rId31">
            <anchor moveWithCells="1" sizeWithCells="1">
              <from>
                <xdr:col>1</xdr:col>
                <xdr:colOff>123825</xdr:colOff>
                <xdr:row>37</xdr:row>
                <xdr:rowOff>104775</xdr:rowOff>
              </from>
              <to>
                <xdr:col>2</xdr:col>
                <xdr:colOff>95250</xdr:colOff>
                <xdr:row>38</xdr:row>
                <xdr:rowOff>152400</xdr:rowOff>
              </to>
            </anchor>
          </controlPr>
        </control>
      </mc:Choice>
      <mc:Fallback>
        <control shapeId="1217" r:id="rId30" name="CheckBox10"/>
      </mc:Fallback>
    </mc:AlternateContent>
    <mc:AlternateContent xmlns:mc="http://schemas.openxmlformats.org/markup-compatibility/2006">
      <mc:Choice Requires="x14">
        <control shapeId="1218" r:id="rId32" name="CheckBox11">
          <controlPr locked="0" defaultSize="0" autoLine="0" linkedCell="AL23" r:id="rId33">
            <anchor moveWithCells="1" sizeWithCells="1">
              <from>
                <xdr:col>1</xdr:col>
                <xdr:colOff>66675</xdr:colOff>
                <xdr:row>57</xdr:row>
                <xdr:rowOff>142875</xdr:rowOff>
              </from>
              <to>
                <xdr:col>1</xdr:col>
                <xdr:colOff>647700</xdr:colOff>
                <xdr:row>59</xdr:row>
                <xdr:rowOff>9525</xdr:rowOff>
              </to>
            </anchor>
          </controlPr>
        </control>
      </mc:Choice>
      <mc:Fallback>
        <control shapeId="1218" r:id="rId32" name="CheckBox11"/>
      </mc:Fallback>
    </mc:AlternateContent>
    <mc:AlternateContent xmlns:mc="http://schemas.openxmlformats.org/markup-compatibility/2006">
      <mc:Choice Requires="x14">
        <control shapeId="1219" r:id="rId34" name="CheckBox12">
          <controlPr locked="0" defaultSize="0" autoLine="0" linkedCell="AH23" r:id="rId35">
            <anchor moveWithCells="1" sizeWithCells="1">
              <from>
                <xdr:col>1</xdr:col>
                <xdr:colOff>123825</xdr:colOff>
                <xdr:row>43</xdr:row>
                <xdr:rowOff>142875</xdr:rowOff>
              </from>
              <to>
                <xdr:col>1</xdr:col>
                <xdr:colOff>657225</xdr:colOff>
                <xdr:row>45</xdr:row>
                <xdr:rowOff>28575</xdr:rowOff>
              </to>
            </anchor>
          </controlPr>
        </control>
      </mc:Choice>
      <mc:Fallback>
        <control shapeId="1219" r:id="rId34" name="CheckBox12"/>
      </mc:Fallback>
    </mc:AlternateContent>
    <mc:AlternateContent xmlns:mc="http://schemas.openxmlformats.org/markup-compatibility/2006">
      <mc:Choice Requires="x14">
        <control shapeId="1220" r:id="rId36" name="CheckBox13">
          <controlPr locked="0" defaultSize="0" autoLine="0" linkedCell="AG23" r:id="rId37">
            <anchor moveWithCells="1" sizeWithCells="1">
              <from>
                <xdr:col>1</xdr:col>
                <xdr:colOff>123825</xdr:colOff>
                <xdr:row>42</xdr:row>
                <xdr:rowOff>104775</xdr:rowOff>
              </from>
              <to>
                <xdr:col>1</xdr:col>
                <xdr:colOff>657225</xdr:colOff>
                <xdr:row>43</xdr:row>
                <xdr:rowOff>152400</xdr:rowOff>
              </to>
            </anchor>
          </controlPr>
        </control>
      </mc:Choice>
      <mc:Fallback>
        <control shapeId="1220" r:id="rId36" name="CheckBox13"/>
      </mc:Fallback>
    </mc:AlternateContent>
    <mc:AlternateContent xmlns:mc="http://schemas.openxmlformats.org/markup-compatibility/2006">
      <mc:Choice Requires="x14">
        <control shapeId="1222" r:id="rId38" name="CheckBox14">
          <controlPr locked="0" defaultSize="0" autoLine="0" linkedCell="AF23" r:id="rId39">
            <anchor moveWithCells="1" sizeWithCells="1">
              <from>
                <xdr:col>1</xdr:col>
                <xdr:colOff>123825</xdr:colOff>
                <xdr:row>41</xdr:row>
                <xdr:rowOff>76200</xdr:rowOff>
              </from>
              <to>
                <xdr:col>1</xdr:col>
                <xdr:colOff>657225</xdr:colOff>
                <xdr:row>42</xdr:row>
                <xdr:rowOff>123825</xdr:rowOff>
              </to>
            </anchor>
          </controlPr>
        </control>
      </mc:Choice>
      <mc:Fallback>
        <control shapeId="1222" r:id="rId38" name="CheckBox14"/>
      </mc:Fallback>
    </mc:AlternateContent>
    <mc:AlternateContent xmlns:mc="http://schemas.openxmlformats.org/markup-compatibility/2006">
      <mc:Choice Requires="x14">
        <control shapeId="1213" r:id="rId40" name="Label2">
          <controlPr autoLine="0" r:id="rId41">
            <anchor moveWithCells="1" sizeWithCells="1">
              <from>
                <xdr:col>10</xdr:col>
                <xdr:colOff>257175</xdr:colOff>
                <xdr:row>35</xdr:row>
                <xdr:rowOff>123825</xdr:rowOff>
              </from>
              <to>
                <xdr:col>12</xdr:col>
                <xdr:colOff>123825</xdr:colOff>
                <xdr:row>36</xdr:row>
                <xdr:rowOff>133350</xdr:rowOff>
              </to>
            </anchor>
          </controlPr>
        </control>
      </mc:Choice>
      <mc:Fallback>
        <control shapeId="1213" r:id="rId40" name="Label2"/>
      </mc:Fallback>
    </mc:AlternateContent>
    <mc:AlternateContent xmlns:mc="http://schemas.openxmlformats.org/markup-compatibility/2006">
      <mc:Choice Requires="x14">
        <control shapeId="1269" r:id="rId42" name="CheckBox2">
          <controlPr disabled="1" autoLine="0" linkedCell="AB10" r:id="rId43">
            <anchor moveWithCells="1">
              <from>
                <xdr:col>10</xdr:col>
                <xdr:colOff>190500</xdr:colOff>
                <xdr:row>1</xdr:row>
                <xdr:rowOff>123825</xdr:rowOff>
              </from>
              <to>
                <xdr:col>12</xdr:col>
                <xdr:colOff>552450</xdr:colOff>
                <xdr:row>4</xdr:row>
                <xdr:rowOff>19050</xdr:rowOff>
              </to>
            </anchor>
          </controlPr>
        </control>
      </mc:Choice>
      <mc:Fallback>
        <control shapeId="1269" r:id="rId42" name="CheckBox2"/>
      </mc:Fallback>
    </mc:AlternateContent>
    <mc:AlternateContent xmlns:mc="http://schemas.openxmlformats.org/markup-compatibility/2006">
      <mc:Choice Requires="x14">
        <control shapeId="1338" r:id="rId44" name="CheckBox19">
          <controlPr defaultSize="0" disabled="1" autoLine="0" linkedCell="AE23" r:id="rId45">
            <anchor moveWithCells="1" sizeWithCells="1">
              <from>
                <xdr:col>1</xdr:col>
                <xdr:colOff>123825</xdr:colOff>
                <xdr:row>40</xdr:row>
                <xdr:rowOff>47625</xdr:rowOff>
              </from>
              <to>
                <xdr:col>1</xdr:col>
                <xdr:colOff>657225</xdr:colOff>
                <xdr:row>41</xdr:row>
                <xdr:rowOff>85725</xdr:rowOff>
              </to>
            </anchor>
          </controlPr>
        </control>
      </mc:Choice>
      <mc:Fallback>
        <control shapeId="1338" r:id="rId44" name="CheckBox19"/>
      </mc:Fallback>
    </mc:AlternateContent>
    <mc:AlternateContent xmlns:mc="http://schemas.openxmlformats.org/markup-compatibility/2006">
      <mc:Choice Requires="x14">
        <control shapeId="1208" r:id="rId46" name="CheckBox6">
          <controlPr locked="0" defaultSize="0" autoLine="0" linkedCell="AN29" r:id="rId47">
            <anchor moveWithCells="1" sizeWithCells="1">
              <from>
                <xdr:col>10</xdr:col>
                <xdr:colOff>342900</xdr:colOff>
                <xdr:row>36</xdr:row>
                <xdr:rowOff>114300</xdr:rowOff>
              </from>
              <to>
                <xdr:col>12</xdr:col>
                <xdr:colOff>676275</xdr:colOff>
                <xdr:row>38</xdr:row>
                <xdr:rowOff>9525</xdr:rowOff>
              </to>
            </anchor>
          </controlPr>
        </control>
      </mc:Choice>
      <mc:Fallback>
        <control shapeId="1208" r:id="rId46" name="CheckBox6"/>
      </mc:Fallback>
    </mc:AlternateContent>
    <mc:AlternateContent xmlns:mc="http://schemas.openxmlformats.org/markup-compatibility/2006">
      <mc:Choice Requires="x14">
        <control shapeId="1209" r:id="rId48" name="CheckBox7">
          <controlPr locked="0" defaultSize="0" autoLine="0" linkedCell="AI24" r:id="rId49">
            <anchor moveWithCells="1" sizeWithCells="1">
              <from>
                <xdr:col>10</xdr:col>
                <xdr:colOff>342900</xdr:colOff>
                <xdr:row>43</xdr:row>
                <xdr:rowOff>57150</xdr:rowOff>
              </from>
              <to>
                <xdr:col>12</xdr:col>
                <xdr:colOff>247650</xdr:colOff>
                <xdr:row>44</xdr:row>
                <xdr:rowOff>104775</xdr:rowOff>
              </to>
            </anchor>
          </controlPr>
        </control>
      </mc:Choice>
      <mc:Fallback>
        <control shapeId="1209" r:id="rId48" name="CheckBox7"/>
      </mc:Fallback>
    </mc:AlternateContent>
    <mc:AlternateContent xmlns:mc="http://schemas.openxmlformats.org/markup-compatibility/2006">
      <mc:Choice Requires="x14">
        <control shapeId="1210" r:id="rId50" name="CheckBox8">
          <controlPr locked="0" defaultSize="0" autoLine="0" linkedCell="AH24" r:id="rId51">
            <anchor moveWithCells="1" sizeWithCells="1">
              <from>
                <xdr:col>10</xdr:col>
                <xdr:colOff>342900</xdr:colOff>
                <xdr:row>41</xdr:row>
                <xdr:rowOff>152400</xdr:rowOff>
              </from>
              <to>
                <xdr:col>12</xdr:col>
                <xdr:colOff>247650</xdr:colOff>
                <xdr:row>43</xdr:row>
                <xdr:rowOff>38100</xdr:rowOff>
              </to>
            </anchor>
          </controlPr>
        </control>
      </mc:Choice>
      <mc:Fallback>
        <control shapeId="1210" r:id="rId50" name="CheckBox8"/>
      </mc:Fallback>
    </mc:AlternateContent>
    <mc:AlternateContent xmlns:mc="http://schemas.openxmlformats.org/markup-compatibility/2006">
      <mc:Choice Requires="x14">
        <control shapeId="1211" r:id="rId52" name="CheckBox9">
          <controlPr locked="0" defaultSize="0" autoLine="0" linkedCell="AG24" r:id="rId53">
            <anchor moveWithCells="1" sizeWithCells="1">
              <from>
                <xdr:col>10</xdr:col>
                <xdr:colOff>342900</xdr:colOff>
                <xdr:row>40</xdr:row>
                <xdr:rowOff>104775</xdr:rowOff>
              </from>
              <to>
                <xdr:col>12</xdr:col>
                <xdr:colOff>247650</xdr:colOff>
                <xdr:row>41</xdr:row>
                <xdr:rowOff>142875</xdr:rowOff>
              </to>
            </anchor>
          </controlPr>
        </control>
      </mc:Choice>
      <mc:Fallback>
        <control shapeId="1211" r:id="rId52" name="CheckBox9"/>
      </mc:Fallback>
    </mc:AlternateContent>
    <mc:AlternateContent xmlns:mc="http://schemas.openxmlformats.org/markup-compatibility/2006">
      <mc:Choice Requires="x14">
        <control shapeId="1344" r:id="rId54" name="CheckBox15">
          <controlPr locked="0" defaultSize="0" autoLine="0" linkedCell="AF24" r:id="rId55">
            <anchor moveWithCells="1" sizeWithCells="1">
              <from>
                <xdr:col>10</xdr:col>
                <xdr:colOff>342900</xdr:colOff>
                <xdr:row>39</xdr:row>
                <xdr:rowOff>47625</xdr:rowOff>
              </from>
              <to>
                <xdr:col>12</xdr:col>
                <xdr:colOff>247650</xdr:colOff>
                <xdr:row>40</xdr:row>
                <xdr:rowOff>85725</xdr:rowOff>
              </to>
            </anchor>
          </controlPr>
        </control>
      </mc:Choice>
      <mc:Fallback>
        <control shapeId="1344" r:id="rId54" name="CheckBox15"/>
      </mc:Fallback>
    </mc:AlternateContent>
    <mc:AlternateContent xmlns:mc="http://schemas.openxmlformats.org/markup-compatibility/2006">
      <mc:Choice Requires="x14">
        <control shapeId="1345" r:id="rId56" name="CheckBox20">
          <controlPr locked="0" defaultSize="0" autoLine="0" linkedCell="AE24" r:id="rId57">
            <anchor moveWithCells="1" sizeWithCells="1">
              <from>
                <xdr:col>10</xdr:col>
                <xdr:colOff>342900</xdr:colOff>
                <xdr:row>37</xdr:row>
                <xdr:rowOff>152400</xdr:rowOff>
              </from>
              <to>
                <xdr:col>12</xdr:col>
                <xdr:colOff>523875</xdr:colOff>
                <xdr:row>39</xdr:row>
                <xdr:rowOff>38100</xdr:rowOff>
              </to>
            </anchor>
          </controlPr>
        </control>
      </mc:Choice>
      <mc:Fallback>
        <control shapeId="1345" r:id="rId56" name="CheckBox20"/>
      </mc:Fallback>
    </mc:AlternateContent>
    <mc:AlternateContent xmlns:mc="http://schemas.openxmlformats.org/markup-compatibility/2006">
      <mc:Choice Requires="x14">
        <control shapeId="1348" r:id="rId58" name="CheckBox22">
          <controlPr defaultSize="0" autoLine="0" linkedCell="AK23" r:id="rId59">
            <anchor moveWithCells="1" sizeWithCells="1">
              <from>
                <xdr:col>1</xdr:col>
                <xdr:colOff>123825</xdr:colOff>
                <xdr:row>39</xdr:row>
                <xdr:rowOff>9525</xdr:rowOff>
              </from>
              <to>
                <xdr:col>1</xdr:col>
                <xdr:colOff>657225</xdr:colOff>
                <xdr:row>40</xdr:row>
                <xdr:rowOff>57150</xdr:rowOff>
              </to>
            </anchor>
          </controlPr>
        </control>
      </mc:Choice>
      <mc:Fallback>
        <control shapeId="1348" r:id="rId58" name="CheckBox22"/>
      </mc:Fallback>
    </mc:AlternateContent>
    <mc:AlternateContent xmlns:mc="http://schemas.openxmlformats.org/markup-compatibility/2006">
      <mc:Choice Requires="x14">
        <control shapeId="1371" r:id="rId60" name="ComboBox5">
          <controlPr locked="0" defaultSize="0" autoLine="0" linkedCell="AB15" listFillRange="AB13:AB14" r:id="rId61">
            <anchor moveWithCells="1">
              <from>
                <xdr:col>2</xdr:col>
                <xdr:colOff>0</xdr:colOff>
                <xdr:row>9</xdr:row>
                <xdr:rowOff>0</xdr:rowOff>
              </from>
              <to>
                <xdr:col>2</xdr:col>
                <xdr:colOff>762000</xdr:colOff>
                <xdr:row>10</xdr:row>
                <xdr:rowOff>0</xdr:rowOff>
              </to>
            </anchor>
          </controlPr>
        </control>
      </mc:Choice>
      <mc:Fallback>
        <control shapeId="1371" r:id="rId60" name="ComboBox5"/>
      </mc:Fallback>
    </mc:AlternateContent>
    <mc:AlternateContent xmlns:mc="http://schemas.openxmlformats.org/markup-compatibility/2006">
      <mc:Choice Requires="x14">
        <control shapeId="1408" r:id="rId62" name="ZR1BT">
          <controlPr locked="0" defaultSize="0" autoLine="0" linkedCell="AH22" listFillRange="AA22:AA23" r:id="rId63">
            <anchor moveWithCells="1">
              <from>
                <xdr:col>2</xdr:col>
                <xdr:colOff>0</xdr:colOff>
                <xdr:row>17</xdr:row>
                <xdr:rowOff>0</xdr:rowOff>
              </from>
              <to>
                <xdr:col>2</xdr:col>
                <xdr:colOff>762000</xdr:colOff>
                <xdr:row>18</xdr:row>
                <xdr:rowOff>0</xdr:rowOff>
              </to>
            </anchor>
          </controlPr>
        </control>
      </mc:Choice>
      <mc:Fallback>
        <control shapeId="1408" r:id="rId62" name="ZR1BT"/>
      </mc:Fallback>
    </mc:AlternateContent>
    <mc:AlternateContent xmlns:mc="http://schemas.openxmlformats.org/markup-compatibility/2006">
      <mc:Choice Requires="x14">
        <control shapeId="1409" r:id="rId64" name="ZR2BT">
          <controlPr locked="0" defaultSize="0" autoLine="0" linkedCell="AI22" listFillRange="AA22:AA23" r:id="rId65">
            <anchor moveWithCells="1">
              <from>
                <xdr:col>2</xdr:col>
                <xdr:colOff>0</xdr:colOff>
                <xdr:row>18</xdr:row>
                <xdr:rowOff>9525</xdr:rowOff>
              </from>
              <to>
                <xdr:col>2</xdr:col>
                <xdr:colOff>762000</xdr:colOff>
                <xdr:row>19</xdr:row>
                <xdr:rowOff>9525</xdr:rowOff>
              </to>
            </anchor>
          </controlPr>
        </control>
      </mc:Choice>
      <mc:Fallback>
        <control shapeId="1409" r:id="rId64" name="ZR2BT"/>
      </mc:Fallback>
    </mc:AlternateContent>
    <mc:AlternateContent xmlns:mc="http://schemas.openxmlformats.org/markup-compatibility/2006">
      <mc:Choice Requires="x14">
        <control shapeId="1418" r:id="rId66" name="ComboBox6">
          <controlPr locked="0" defaultSize="0" disabled="1" autoLine="0" linkedCell="AK22" listFillRange="AA22:AA23" r:id="rId67">
            <anchor moveWithCells="1">
              <from>
                <xdr:col>2</xdr:col>
                <xdr:colOff>0</xdr:colOff>
                <xdr:row>19</xdr:row>
                <xdr:rowOff>9525</xdr:rowOff>
              </from>
              <to>
                <xdr:col>2</xdr:col>
                <xdr:colOff>762000</xdr:colOff>
                <xdr:row>20</xdr:row>
                <xdr:rowOff>9525</xdr:rowOff>
              </to>
            </anchor>
          </controlPr>
        </control>
      </mc:Choice>
      <mc:Fallback>
        <control shapeId="1418" r:id="rId66" name="ComboBox6"/>
      </mc:Fallback>
    </mc:AlternateContent>
    <mc:AlternateContent xmlns:mc="http://schemas.openxmlformats.org/markup-compatibility/2006">
      <mc:Choice Requires="x14">
        <control shapeId="1454" r:id="rId68" name="OptionButton3">
          <controlPr locked="0" defaultSize="0" autoLine="0" linkedCell="AB1" r:id="rId69">
            <anchor moveWithCells="1" sizeWithCells="1">
              <from>
                <xdr:col>16</xdr:col>
                <xdr:colOff>66675</xdr:colOff>
                <xdr:row>1</xdr:row>
                <xdr:rowOff>142875</xdr:rowOff>
              </from>
              <to>
                <xdr:col>18</xdr:col>
                <xdr:colOff>76200</xdr:colOff>
                <xdr:row>2</xdr:row>
                <xdr:rowOff>142875</xdr:rowOff>
              </to>
            </anchor>
          </controlPr>
        </control>
      </mc:Choice>
      <mc:Fallback>
        <control shapeId="1454" r:id="rId68" name="OptionButton3"/>
      </mc:Fallback>
    </mc:AlternateContent>
    <mc:AlternateContent xmlns:mc="http://schemas.openxmlformats.org/markup-compatibility/2006">
      <mc:Choice Requires="x14">
        <control shapeId="1455" r:id="rId70" name="OptionButton4">
          <controlPr locked="0" defaultSize="0" autoLine="0" r:id="rId71">
            <anchor moveWithCells="1" sizeWithCells="1">
              <from>
                <xdr:col>18</xdr:col>
                <xdr:colOff>161925</xdr:colOff>
                <xdr:row>1</xdr:row>
                <xdr:rowOff>142875</xdr:rowOff>
              </from>
              <to>
                <xdr:col>18</xdr:col>
                <xdr:colOff>685800</xdr:colOff>
                <xdr:row>2</xdr:row>
                <xdr:rowOff>142875</xdr:rowOff>
              </to>
            </anchor>
          </controlPr>
        </control>
      </mc:Choice>
      <mc:Fallback>
        <control shapeId="1455" r:id="rId70" name="OptionButton4"/>
      </mc:Fallback>
    </mc:AlternateContent>
    <mc:AlternateContent xmlns:mc="http://schemas.openxmlformats.org/markup-compatibility/2006">
      <mc:Choice Requires="x14">
        <control shapeId="1527" r:id="rId72" name="ComboBox8">
          <controlPr locked="0" defaultSize="0" autoLine="0" linkedCell="AO16" listFillRange="AA22:AA23" r:id="rId73">
            <anchor moveWithCells="1">
              <from>
                <xdr:col>4</xdr:col>
                <xdr:colOff>0</xdr:colOff>
                <xdr:row>9</xdr:row>
                <xdr:rowOff>9525</xdr:rowOff>
              </from>
              <to>
                <xdr:col>5</xdr:col>
                <xdr:colOff>9525</xdr:colOff>
                <xdr:row>10</xdr:row>
                <xdr:rowOff>9525</xdr:rowOff>
              </to>
            </anchor>
          </controlPr>
        </control>
      </mc:Choice>
      <mc:Fallback>
        <control shapeId="1527" r:id="rId72" name="ComboBox8"/>
      </mc:Fallback>
    </mc:AlternateContent>
    <mc:AlternateContent xmlns:mc="http://schemas.openxmlformats.org/markup-compatibility/2006">
      <mc:Choice Requires="x14">
        <control shapeId="1528" r:id="rId74" name="ComboBox9">
          <controlPr locked="0" defaultSize="0" autoLine="0" linkedCell="AB15" listFillRange="AB13:AB14" r:id="rId75">
            <anchor moveWithCells="1">
              <from>
                <xdr:col>2</xdr:col>
                <xdr:colOff>0</xdr:colOff>
                <xdr:row>9</xdr:row>
                <xdr:rowOff>19050</xdr:rowOff>
              </from>
              <to>
                <xdr:col>2</xdr:col>
                <xdr:colOff>762000</xdr:colOff>
                <xdr:row>10</xdr:row>
                <xdr:rowOff>19050</xdr:rowOff>
              </to>
            </anchor>
          </controlPr>
        </control>
      </mc:Choice>
      <mc:Fallback>
        <control shapeId="1528" r:id="rId74" name="ComboBox9"/>
      </mc:Fallback>
    </mc:AlternateContent>
    <mc:AlternateContent xmlns:mc="http://schemas.openxmlformats.org/markup-compatibility/2006">
      <mc:Choice Requires="x14">
        <control shapeId="1542" r:id="rId76" name="ComboBox10">
          <controlPr locked="0" defaultSize="0" autoLine="0" linkedCell="AH12" listFillRange="AH10:AH11" r:id="rId77">
            <anchor moveWithCells="1">
              <from>
                <xdr:col>4</xdr:col>
                <xdr:colOff>0</xdr:colOff>
                <xdr:row>14</xdr:row>
                <xdr:rowOff>9525</xdr:rowOff>
              </from>
              <to>
                <xdr:col>5</xdr:col>
                <xdr:colOff>9525</xdr:colOff>
                <xdr:row>15</xdr:row>
                <xdr:rowOff>9525</xdr:rowOff>
              </to>
            </anchor>
          </controlPr>
        </control>
      </mc:Choice>
      <mc:Fallback>
        <control shapeId="1542" r:id="rId76" name="ComboBox10"/>
      </mc:Fallback>
    </mc:AlternateContent>
    <mc:AlternateContent xmlns:mc="http://schemas.openxmlformats.org/markup-compatibility/2006">
      <mc:Choice Requires="x14">
        <control shapeId="1545" r:id="rId78" name="CheckBox3">
          <controlPr locked="0" defaultSize="0" autoLine="0" linkedCell="AJ23" r:id="rId79">
            <anchor moveWithCells="1" sizeWithCells="1">
              <from>
                <xdr:col>1</xdr:col>
                <xdr:colOff>123825</xdr:colOff>
                <xdr:row>46</xdr:row>
                <xdr:rowOff>47625</xdr:rowOff>
              </from>
              <to>
                <xdr:col>1</xdr:col>
                <xdr:colOff>657225</xdr:colOff>
                <xdr:row>47</xdr:row>
                <xdr:rowOff>95250</xdr:rowOff>
              </to>
            </anchor>
          </controlPr>
        </control>
      </mc:Choice>
      <mc:Fallback>
        <control shapeId="1545" r:id="rId78" name="CheckBox3"/>
      </mc:Fallback>
    </mc:AlternateContent>
    <mc:AlternateContent xmlns:mc="http://schemas.openxmlformats.org/markup-compatibility/2006">
      <mc:Choice Requires="x14">
        <control shapeId="1546" r:id="rId80" name="ComboBox11">
          <controlPr locked="0" defaultSize="0" autoLine="0" linkedCell="AO18" listFillRange="AA22:AA23" r:id="rId81">
            <anchor moveWithCells="1">
              <from>
                <xdr:col>4</xdr:col>
                <xdr:colOff>0</xdr:colOff>
                <xdr:row>15</xdr:row>
                <xdr:rowOff>190500</xdr:rowOff>
              </from>
              <to>
                <xdr:col>5</xdr:col>
                <xdr:colOff>9525</xdr:colOff>
                <xdr:row>16</xdr:row>
                <xdr:rowOff>190500</xdr:rowOff>
              </to>
            </anchor>
          </controlPr>
        </control>
      </mc:Choice>
      <mc:Fallback>
        <control shapeId="1546" r:id="rId80" name="ComboBox11"/>
      </mc:Fallback>
    </mc:AlternateContent>
    <mc:AlternateContent xmlns:mc="http://schemas.openxmlformats.org/markup-compatibility/2006">
      <mc:Choice Requires="x14">
        <control shapeId="1549" r:id="rId82" name="ComboBox12">
          <controlPr locked="0" defaultSize="0" autoLine="0" linkedCell="AO19" listFillRange="AA22:AA23" r:id="rId83">
            <anchor moveWithCells="1">
              <from>
                <xdr:col>4</xdr:col>
                <xdr:colOff>0</xdr:colOff>
                <xdr:row>17</xdr:row>
                <xdr:rowOff>9525</xdr:rowOff>
              </from>
              <to>
                <xdr:col>5</xdr:col>
                <xdr:colOff>9525</xdr:colOff>
                <xdr:row>18</xdr:row>
                <xdr:rowOff>9525</xdr:rowOff>
              </to>
            </anchor>
          </controlPr>
        </control>
      </mc:Choice>
      <mc:Fallback>
        <control shapeId="1549" r:id="rId82" name="ComboBox12"/>
      </mc:Fallback>
    </mc:AlternateContent>
    <mc:AlternateContent xmlns:mc="http://schemas.openxmlformats.org/markup-compatibility/2006">
      <mc:Choice Requires="x14">
        <control shapeId="1552" r:id="rId84" name="CheckBox5">
          <controlPr locked="0" defaultSize="0" autoLine="0" linkedCell="AJ24" r:id="rId85">
            <anchor moveWithCells="1" sizeWithCells="1">
              <from>
                <xdr:col>10</xdr:col>
                <xdr:colOff>342900</xdr:colOff>
                <xdr:row>44</xdr:row>
                <xdr:rowOff>95250</xdr:rowOff>
              </from>
              <to>
                <xdr:col>12</xdr:col>
                <xdr:colOff>247650</xdr:colOff>
                <xdr:row>45</xdr:row>
                <xdr:rowOff>142875</xdr:rowOff>
              </to>
            </anchor>
          </controlPr>
        </control>
      </mc:Choice>
      <mc:Fallback>
        <control shapeId="1552" r:id="rId84" name="CheckBox5"/>
      </mc:Fallback>
    </mc:AlternateContent>
    <mc:AlternateContent xmlns:mc="http://schemas.openxmlformats.org/markup-compatibility/2006">
      <mc:Choice Requires="x14">
        <control shapeId="1557" r:id="rId86" name="ComboBox13">
          <controlPr locked="0" defaultSize="0" autoLine="0" linkedCell="AK2" listFillRange="AA22:AA23" r:id="rId87">
            <anchor moveWithCells="1">
              <from>
                <xdr:col>2</xdr:col>
                <xdr:colOff>0</xdr:colOff>
                <xdr:row>12</xdr:row>
                <xdr:rowOff>9525</xdr:rowOff>
              </from>
              <to>
                <xdr:col>2</xdr:col>
                <xdr:colOff>762000</xdr:colOff>
                <xdr:row>13</xdr:row>
                <xdr:rowOff>9525</xdr:rowOff>
              </to>
            </anchor>
          </controlPr>
        </control>
      </mc:Choice>
      <mc:Fallback>
        <control shapeId="1557" r:id="rId86" name="ComboBox13"/>
      </mc:Fallback>
    </mc:AlternateContent>
    <mc:AlternateContent xmlns:mc="http://schemas.openxmlformats.org/markup-compatibility/2006">
      <mc:Choice Requires="x14">
        <control shapeId="1558" r:id="rId88" name="ComboBox14">
          <controlPr locked="0" defaultSize="0" autoLine="0" linkedCell="AK3" listFillRange="AA22:AA23" r:id="rId89">
            <anchor moveWithCells="1">
              <from>
                <xdr:col>2</xdr:col>
                <xdr:colOff>0</xdr:colOff>
                <xdr:row>13</xdr:row>
                <xdr:rowOff>19050</xdr:rowOff>
              </from>
              <to>
                <xdr:col>2</xdr:col>
                <xdr:colOff>762000</xdr:colOff>
                <xdr:row>14</xdr:row>
                <xdr:rowOff>19050</xdr:rowOff>
              </to>
            </anchor>
          </controlPr>
        </control>
      </mc:Choice>
      <mc:Fallback>
        <control shapeId="1558" r:id="rId88" name="ComboBox14"/>
      </mc:Fallback>
    </mc:AlternateContent>
    <mc:AlternateContent xmlns:mc="http://schemas.openxmlformats.org/markup-compatibility/2006">
      <mc:Choice Requires="x14">
        <control shapeId="1559" r:id="rId90" name="ComboBox15">
          <controlPr locked="0" defaultSize="0" autoLine="0" linkedCell="AK4" listFillRange="AA22:AA23" r:id="rId91">
            <anchor moveWithCells="1">
              <from>
                <xdr:col>2</xdr:col>
                <xdr:colOff>0</xdr:colOff>
                <xdr:row>14</xdr:row>
                <xdr:rowOff>19050</xdr:rowOff>
              </from>
              <to>
                <xdr:col>2</xdr:col>
                <xdr:colOff>762000</xdr:colOff>
                <xdr:row>15</xdr:row>
                <xdr:rowOff>19050</xdr:rowOff>
              </to>
            </anchor>
          </controlPr>
        </control>
      </mc:Choice>
      <mc:Fallback>
        <control shapeId="1559" r:id="rId90" name="ComboBox15"/>
      </mc:Fallback>
    </mc:AlternateContent>
    <mc:AlternateContent xmlns:mc="http://schemas.openxmlformats.org/markup-compatibility/2006">
      <mc:Choice Requires="x14">
        <control shapeId="1560" r:id="rId92" name="ComboBox16">
          <controlPr locked="0" defaultSize="0" autoLine="0" linkedCell="AK5" listFillRange="AA22:AA23" r:id="rId93">
            <anchor moveWithCells="1">
              <from>
                <xdr:col>2</xdr:col>
                <xdr:colOff>0</xdr:colOff>
                <xdr:row>15</xdr:row>
                <xdr:rowOff>19050</xdr:rowOff>
              </from>
              <to>
                <xdr:col>2</xdr:col>
                <xdr:colOff>762000</xdr:colOff>
                <xdr:row>16</xdr:row>
                <xdr:rowOff>19050</xdr:rowOff>
              </to>
            </anchor>
          </controlPr>
        </control>
      </mc:Choice>
      <mc:Fallback>
        <control shapeId="1560" r:id="rId92" name="ComboBox16"/>
      </mc:Fallback>
    </mc:AlternateContent>
    <mc:AlternateContent xmlns:mc="http://schemas.openxmlformats.org/markup-compatibility/2006">
      <mc:Choice Requires="x14">
        <control shapeId="1561" r:id="rId94" name="ComboBox17">
          <controlPr locked="0" defaultSize="0" autoLine="0" linkedCell="AK6" listFillRange="AA22:AA23" r:id="rId95">
            <anchor moveWithCells="1">
              <from>
                <xdr:col>2</xdr:col>
                <xdr:colOff>0</xdr:colOff>
                <xdr:row>16</xdr:row>
                <xdr:rowOff>19050</xdr:rowOff>
              </from>
              <to>
                <xdr:col>2</xdr:col>
                <xdr:colOff>762000</xdr:colOff>
                <xdr:row>17</xdr:row>
                <xdr:rowOff>19050</xdr:rowOff>
              </to>
            </anchor>
          </controlPr>
        </control>
      </mc:Choice>
      <mc:Fallback>
        <control shapeId="1561" r:id="rId94" name="ComboBox17"/>
      </mc:Fallback>
    </mc:AlternateContent>
    <mc:AlternateContent xmlns:mc="http://schemas.openxmlformats.org/markup-compatibility/2006">
      <mc:Choice Requires="x14">
        <control shapeId="1568" r:id="rId96" name="CheckBox4">
          <controlPr locked="0" defaultSize="0" autoLine="0" linkedCell="AI23" r:id="rId97">
            <anchor moveWithCells="1" sizeWithCells="1">
              <from>
                <xdr:col>1</xdr:col>
                <xdr:colOff>123825</xdr:colOff>
                <xdr:row>45</xdr:row>
                <xdr:rowOff>9525</xdr:rowOff>
              </from>
              <to>
                <xdr:col>1</xdr:col>
                <xdr:colOff>657225</xdr:colOff>
                <xdr:row>46</xdr:row>
                <xdr:rowOff>57150</xdr:rowOff>
              </to>
            </anchor>
          </controlPr>
        </control>
      </mc:Choice>
      <mc:Fallback>
        <control shapeId="1568" r:id="rId96" name="CheckBox4"/>
      </mc:Fallback>
    </mc:AlternateContent>
    <mc:AlternateContent xmlns:mc="http://schemas.openxmlformats.org/markup-compatibility/2006">
      <mc:Choice Requires="x14">
        <control shapeId="1569" r:id="rId98" name="CheckBox16">
          <controlPr locked="0" defaultSize="0" autoLine="0" linkedCell="AL24" r:id="rId99">
            <anchor moveWithCells="1" sizeWithCells="1">
              <from>
                <xdr:col>10</xdr:col>
                <xdr:colOff>304800</xdr:colOff>
                <xdr:row>58</xdr:row>
                <xdr:rowOff>9525</xdr:rowOff>
              </from>
              <to>
                <xdr:col>12</xdr:col>
                <xdr:colOff>209550</xdr:colOff>
                <xdr:row>59</xdr:row>
                <xdr:rowOff>57150</xdr:rowOff>
              </to>
            </anchor>
          </controlPr>
        </control>
      </mc:Choice>
      <mc:Fallback>
        <control shapeId="1569" r:id="rId98" name="CheckBox16"/>
      </mc:Fallback>
    </mc:AlternateContent>
    <mc:AlternateContent xmlns:mc="http://schemas.openxmlformats.org/markup-compatibility/2006">
      <mc:Choice Requires="x14">
        <control shapeId="1570" r:id="rId100" name="CheckBox17">
          <controlPr locked="0" defaultSize="0" autoLine="0" linkedCell="AM23" r:id="rId101">
            <anchor moveWithCells="1" sizeWithCells="1">
              <from>
                <xdr:col>1</xdr:col>
                <xdr:colOff>66675</xdr:colOff>
                <xdr:row>60</xdr:row>
                <xdr:rowOff>38100</xdr:rowOff>
              </from>
              <to>
                <xdr:col>1</xdr:col>
                <xdr:colOff>895350</xdr:colOff>
                <xdr:row>62</xdr:row>
                <xdr:rowOff>95250</xdr:rowOff>
              </to>
            </anchor>
          </controlPr>
        </control>
      </mc:Choice>
      <mc:Fallback>
        <control shapeId="1570" r:id="rId100" name="CheckBox17"/>
      </mc:Fallback>
    </mc:AlternateContent>
    <mc:AlternateContent xmlns:mc="http://schemas.openxmlformats.org/markup-compatibility/2006">
      <mc:Choice Requires="x14">
        <control shapeId="1571" r:id="rId102" name="CheckBox18">
          <controlPr locked="0" defaultSize="0" autoLine="0" linkedCell="AM24" r:id="rId103">
            <anchor moveWithCells="1" sizeWithCells="1">
              <from>
                <xdr:col>10</xdr:col>
                <xdr:colOff>304800</xdr:colOff>
                <xdr:row>60</xdr:row>
                <xdr:rowOff>76200</xdr:rowOff>
              </from>
              <to>
                <xdr:col>12</xdr:col>
                <xdr:colOff>504825</xdr:colOff>
                <xdr:row>62</xdr:row>
                <xdr:rowOff>152400</xdr:rowOff>
              </to>
            </anchor>
          </controlPr>
        </control>
      </mc:Choice>
      <mc:Fallback>
        <control shapeId="1571" r:id="rId102" name="CheckBox18"/>
      </mc:Fallback>
    </mc:AlternateContent>
    <mc:AlternateContent xmlns:mc="http://schemas.openxmlformats.org/markup-compatibility/2006">
      <mc:Choice Requires="x14">
        <control shapeId="1589" r:id="rId104" name="OptionButton8">
          <controlPr locked="0" autoLine="0" linkedCell="AG81" r:id="rId105">
            <anchor moveWithCells="1" sizeWithCells="1">
              <from>
                <xdr:col>17</xdr:col>
                <xdr:colOff>38100</xdr:colOff>
                <xdr:row>67</xdr:row>
                <xdr:rowOff>142875</xdr:rowOff>
              </from>
              <to>
                <xdr:col>18</xdr:col>
                <xdr:colOff>400050</xdr:colOff>
                <xdr:row>68</xdr:row>
                <xdr:rowOff>142875</xdr:rowOff>
              </to>
            </anchor>
          </controlPr>
        </control>
      </mc:Choice>
      <mc:Fallback>
        <control shapeId="1589" r:id="rId104" name="OptionButton8"/>
      </mc:Fallback>
    </mc:AlternateContent>
    <mc:AlternateContent xmlns:mc="http://schemas.openxmlformats.org/markup-compatibility/2006">
      <mc:Choice Requires="x14">
        <control shapeId="1590" r:id="rId106" name="OptionButton9">
          <controlPr locked="0" autoLine="0" linkedCell="AI81" r:id="rId107">
            <anchor moveWithCells="1" sizeWithCells="1">
              <from>
                <xdr:col>18</xdr:col>
                <xdr:colOff>428625</xdr:colOff>
                <xdr:row>67</xdr:row>
                <xdr:rowOff>142875</xdr:rowOff>
              </from>
              <to>
                <xdr:col>19</xdr:col>
                <xdr:colOff>180975</xdr:colOff>
                <xdr:row>68</xdr:row>
                <xdr:rowOff>142875</xdr:rowOff>
              </to>
            </anchor>
          </controlPr>
        </control>
      </mc:Choice>
      <mc:Fallback>
        <control shapeId="1590" r:id="rId106" name="OptionButton9"/>
      </mc:Fallback>
    </mc:AlternateContent>
    <mc:AlternateContent xmlns:mc="http://schemas.openxmlformats.org/markup-compatibility/2006">
      <mc:Choice Requires="x14">
        <control shapeId="1591" r:id="rId108" name="OptionButton10">
          <controlPr locked="0" autoLine="0" linkedCell="AK81" r:id="rId109">
            <anchor moveWithCells="1" sizeWithCells="1">
              <from>
                <xdr:col>19</xdr:col>
                <xdr:colOff>219075</xdr:colOff>
                <xdr:row>67</xdr:row>
                <xdr:rowOff>142875</xdr:rowOff>
              </from>
              <to>
                <xdr:col>21</xdr:col>
                <xdr:colOff>85725</xdr:colOff>
                <xdr:row>68</xdr:row>
                <xdr:rowOff>142875</xdr:rowOff>
              </to>
            </anchor>
          </controlPr>
        </control>
      </mc:Choice>
      <mc:Fallback>
        <control shapeId="1591" r:id="rId108" name="OptionButton10"/>
      </mc:Fallback>
    </mc:AlternateContent>
    <mc:AlternateContent xmlns:mc="http://schemas.openxmlformats.org/markup-compatibility/2006">
      <mc:Choice Requires="x14">
        <control shapeId="1592" r:id="rId110" name="CheckBox21">
          <controlPr locked="0" defaultSize="0" autoLine="0" linkedCell="AG83" r:id="rId111">
            <anchor moveWithCells="1" sizeWithCells="1">
              <from>
                <xdr:col>17</xdr:col>
                <xdr:colOff>47625</xdr:colOff>
                <xdr:row>66</xdr:row>
                <xdr:rowOff>104775</xdr:rowOff>
              </from>
              <to>
                <xdr:col>19</xdr:col>
                <xdr:colOff>238125</xdr:colOff>
                <xdr:row>67</xdr:row>
                <xdr:rowOff>152400</xdr:rowOff>
              </to>
            </anchor>
          </controlPr>
        </control>
      </mc:Choice>
      <mc:Fallback>
        <control shapeId="1592" r:id="rId110" name="CheckBox21"/>
      </mc:Fallback>
    </mc:AlternateContent>
    <mc:AlternateContent xmlns:mc="http://schemas.openxmlformats.org/markup-compatibility/2006">
      <mc:Choice Requires="x14">
        <control shapeId="1572" r:id="rId112" name="OptionButton5">
          <controlPr locked="0" autoLine="0" linkedCell="AG74" r:id="rId113">
            <anchor moveWithCells="1" sizeWithCells="1">
              <from>
                <xdr:col>4</xdr:col>
                <xdr:colOff>0</xdr:colOff>
                <xdr:row>67</xdr:row>
                <xdr:rowOff>161925</xdr:rowOff>
              </from>
              <to>
                <xdr:col>4</xdr:col>
                <xdr:colOff>542925</xdr:colOff>
                <xdr:row>69</xdr:row>
                <xdr:rowOff>0</xdr:rowOff>
              </to>
            </anchor>
          </controlPr>
        </control>
      </mc:Choice>
      <mc:Fallback>
        <control shapeId="1572" r:id="rId112" name="OptionButton5"/>
      </mc:Fallback>
    </mc:AlternateContent>
    <mc:AlternateContent xmlns:mc="http://schemas.openxmlformats.org/markup-compatibility/2006">
      <mc:Choice Requires="x14">
        <control shapeId="1573" r:id="rId114" name="OptionButton6">
          <controlPr locked="0" autoLine="0" linkedCell="AI74" r:id="rId115">
            <anchor moveWithCells="1" sizeWithCells="1">
              <from>
                <xdr:col>4</xdr:col>
                <xdr:colOff>571500</xdr:colOff>
                <xdr:row>67</xdr:row>
                <xdr:rowOff>161925</xdr:rowOff>
              </from>
              <to>
                <xdr:col>5</xdr:col>
                <xdr:colOff>361950</xdr:colOff>
                <xdr:row>69</xdr:row>
                <xdr:rowOff>0</xdr:rowOff>
              </to>
            </anchor>
          </controlPr>
        </control>
      </mc:Choice>
      <mc:Fallback>
        <control shapeId="1573" r:id="rId114" name="OptionButton6"/>
      </mc:Fallback>
    </mc:AlternateContent>
    <mc:AlternateContent xmlns:mc="http://schemas.openxmlformats.org/markup-compatibility/2006">
      <mc:Choice Requires="x14">
        <control shapeId="1574" r:id="rId116" name="OptionButton7">
          <controlPr locked="0" autoLine="0" linkedCell="AK74" r:id="rId117">
            <anchor moveWithCells="1" sizeWithCells="1">
              <from>
                <xdr:col>5</xdr:col>
                <xdr:colOff>400050</xdr:colOff>
                <xdr:row>67</xdr:row>
                <xdr:rowOff>161925</xdr:rowOff>
              </from>
              <to>
                <xdr:col>6</xdr:col>
                <xdr:colOff>28575</xdr:colOff>
                <xdr:row>69</xdr:row>
                <xdr:rowOff>0</xdr:rowOff>
              </to>
            </anchor>
          </controlPr>
        </control>
      </mc:Choice>
      <mc:Fallback>
        <control shapeId="1574" r:id="rId116" name="OptionButton7"/>
      </mc:Fallback>
    </mc:AlternateContent>
    <mc:AlternateContent xmlns:mc="http://schemas.openxmlformats.org/markup-compatibility/2006">
      <mc:Choice Requires="x14">
        <control shapeId="1594" r:id="rId118" name="CheckBox23">
          <controlPr locked="0" defaultSize="0" autoLine="0" linkedCell="AG76" r:id="rId119">
            <anchor moveWithCells="1" sizeWithCells="1">
              <from>
                <xdr:col>4</xdr:col>
                <xdr:colOff>28575</xdr:colOff>
                <xdr:row>66</xdr:row>
                <xdr:rowOff>114300</xdr:rowOff>
              </from>
              <to>
                <xdr:col>5</xdr:col>
                <xdr:colOff>752475</xdr:colOff>
                <xdr:row>67</xdr:row>
                <xdr:rowOff>161925</xdr:rowOff>
              </to>
            </anchor>
          </controlPr>
        </control>
      </mc:Choice>
      <mc:Fallback>
        <control shapeId="1594" r:id="rId118" name="CheckBox23"/>
      </mc:Fallback>
    </mc:AlternateContent>
    <mc:AlternateContent xmlns:mc="http://schemas.openxmlformats.org/markup-compatibility/2006">
      <mc:Choice Requires="x14">
        <control shapeId="1597" r:id="rId120" name="SpinButton3">
          <controlPr locked="0" defaultSize="0" autoLine="0" linkedCell="C73" r:id="rId121">
            <anchor moveWithCells="1">
              <from>
                <xdr:col>1</xdr:col>
                <xdr:colOff>742950</xdr:colOff>
                <xdr:row>72</xdr:row>
                <xdr:rowOff>9525</xdr:rowOff>
              </from>
              <to>
                <xdr:col>2</xdr:col>
                <xdr:colOff>0</xdr:colOff>
                <xdr:row>73</xdr:row>
                <xdr:rowOff>0</xdr:rowOff>
              </to>
            </anchor>
          </controlPr>
        </control>
      </mc:Choice>
      <mc:Fallback>
        <control shapeId="1597" r:id="rId120" name="SpinButton3"/>
      </mc:Fallback>
    </mc:AlternateContent>
    <mc:AlternateContent xmlns:mc="http://schemas.openxmlformats.org/markup-compatibility/2006">
      <mc:Choice Requires="x14">
        <control shapeId="1598" r:id="rId122" name="SpinButton5">
          <controlPr locked="0" defaultSize="0" autoLine="0" linkedCell="AK14" r:id="rId123">
            <anchor moveWithCells="1">
              <from>
                <xdr:col>1</xdr:col>
                <xdr:colOff>742950</xdr:colOff>
                <xdr:row>70</xdr:row>
                <xdr:rowOff>161925</xdr:rowOff>
              </from>
              <to>
                <xdr:col>2</xdr:col>
                <xdr:colOff>0</xdr:colOff>
                <xdr:row>72</xdr:row>
                <xdr:rowOff>9525</xdr:rowOff>
              </to>
            </anchor>
          </controlPr>
        </control>
      </mc:Choice>
      <mc:Fallback>
        <control shapeId="1598" r:id="rId122" name="SpinButton5"/>
      </mc:Fallback>
    </mc:AlternateContent>
    <mc:AlternateContent xmlns:mc="http://schemas.openxmlformats.org/markup-compatibility/2006">
      <mc:Choice Requires="x14">
        <control shapeId="1599" r:id="rId124" name="SpinButton6">
          <controlPr locked="0" defaultSize="0" autoLine="0" linkedCell="AJ67" r:id="rId125">
            <anchor moveWithCells="1">
              <from>
                <xdr:col>1</xdr:col>
                <xdr:colOff>733425</xdr:colOff>
                <xdr:row>73</xdr:row>
                <xdr:rowOff>0</xdr:rowOff>
              </from>
              <to>
                <xdr:col>2</xdr:col>
                <xdr:colOff>0</xdr:colOff>
                <xdr:row>75</xdr:row>
                <xdr:rowOff>0</xdr:rowOff>
              </to>
            </anchor>
          </controlPr>
        </control>
      </mc:Choice>
      <mc:Fallback>
        <control shapeId="1599" r:id="rId124" name="SpinButton6"/>
      </mc:Fallback>
    </mc:AlternateContent>
    <mc:AlternateContent xmlns:mc="http://schemas.openxmlformats.org/markup-compatibility/2006">
      <mc:Choice Requires="x14">
        <control shapeId="1600" r:id="rId126" name="SpinButton7">
          <controlPr locked="0" defaultSize="0" autoLine="0" linkedCell="Q73" r:id="rId121">
            <anchor moveWithCells="1">
              <from>
                <xdr:col>15</xdr:col>
                <xdr:colOff>695325</xdr:colOff>
                <xdr:row>72</xdr:row>
                <xdr:rowOff>9525</xdr:rowOff>
              </from>
              <to>
                <xdr:col>16</xdr:col>
                <xdr:colOff>76200</xdr:colOff>
                <xdr:row>73</xdr:row>
                <xdr:rowOff>0</xdr:rowOff>
              </to>
            </anchor>
          </controlPr>
        </control>
      </mc:Choice>
      <mc:Fallback>
        <control shapeId="1600" r:id="rId126" name="SpinButton7"/>
      </mc:Fallback>
    </mc:AlternateContent>
    <mc:AlternateContent xmlns:mc="http://schemas.openxmlformats.org/markup-compatibility/2006">
      <mc:Choice Requires="x14">
        <control shapeId="1601" r:id="rId127" name="SpinButton8">
          <controlPr locked="0" defaultSize="0" autoLine="0" linkedCell="AL14" r:id="rId123">
            <anchor moveWithCells="1">
              <from>
                <xdr:col>15</xdr:col>
                <xdr:colOff>695325</xdr:colOff>
                <xdr:row>70</xdr:row>
                <xdr:rowOff>161925</xdr:rowOff>
              </from>
              <to>
                <xdr:col>16</xdr:col>
                <xdr:colOff>76200</xdr:colOff>
                <xdr:row>72</xdr:row>
                <xdr:rowOff>9525</xdr:rowOff>
              </to>
            </anchor>
          </controlPr>
        </control>
      </mc:Choice>
      <mc:Fallback>
        <control shapeId="1601" r:id="rId127" name="SpinButton8"/>
      </mc:Fallback>
    </mc:AlternateContent>
    <mc:AlternateContent xmlns:mc="http://schemas.openxmlformats.org/markup-compatibility/2006">
      <mc:Choice Requires="x14">
        <control shapeId="1602" r:id="rId128" name="SpinButton9">
          <controlPr locked="0" defaultSize="0" autoLine="0" linkedCell="AJ54" r:id="rId125">
            <anchor moveWithCells="1">
              <from>
                <xdr:col>15</xdr:col>
                <xdr:colOff>695325</xdr:colOff>
                <xdr:row>73</xdr:row>
                <xdr:rowOff>0</xdr:rowOff>
              </from>
              <to>
                <xdr:col>16</xdr:col>
                <xdr:colOff>85725</xdr:colOff>
                <xdr:row>75</xdr:row>
                <xdr:rowOff>0</xdr:rowOff>
              </to>
            </anchor>
          </controlPr>
        </control>
      </mc:Choice>
      <mc:Fallback>
        <control shapeId="1602" r:id="rId128" name="SpinButton9"/>
      </mc:Fallback>
    </mc:AlternateContent>
    <mc:AlternateContent xmlns:mc="http://schemas.openxmlformats.org/markup-compatibility/2006">
      <mc:Choice Requires="x14">
        <control shapeId="1603" r:id="rId129" name="CommandButton1">
          <controlPr locked="0" defaultSize="0" autoLine="0" r:id="rId130">
            <anchor moveWithCells="1">
              <from>
                <xdr:col>15</xdr:col>
                <xdr:colOff>28575</xdr:colOff>
                <xdr:row>76</xdr:row>
                <xdr:rowOff>9525</xdr:rowOff>
              </from>
              <to>
                <xdr:col>17</xdr:col>
                <xdr:colOff>19050</xdr:colOff>
                <xdr:row>78</xdr:row>
                <xdr:rowOff>9525</xdr:rowOff>
              </to>
            </anchor>
          </controlPr>
        </control>
      </mc:Choice>
      <mc:Fallback>
        <control shapeId="1603" r:id="rId129" name="CommandButton1"/>
      </mc:Fallback>
    </mc:AlternateContent>
    <mc:AlternateContent xmlns:mc="http://schemas.openxmlformats.org/markup-compatibility/2006">
      <mc:Choice Requires="x14">
        <control shapeId="1605" r:id="rId131" name="CommandButton2">
          <controlPr locked="0" defaultSize="0" autoLine="0" r:id="rId132">
            <anchor moveWithCells="1">
              <from>
                <xdr:col>1</xdr:col>
                <xdr:colOff>0</xdr:colOff>
                <xdr:row>75</xdr:row>
                <xdr:rowOff>9525</xdr:rowOff>
              </from>
              <to>
                <xdr:col>2</xdr:col>
                <xdr:colOff>9525</xdr:colOff>
                <xdr:row>76</xdr:row>
                <xdr:rowOff>161925</xdr:rowOff>
              </to>
            </anchor>
          </controlPr>
        </control>
      </mc:Choice>
      <mc:Fallback>
        <control shapeId="1605" r:id="rId131" name="CommandButton2"/>
      </mc:Fallback>
    </mc:AlternateContent>
    <mc:AlternateContent xmlns:mc="http://schemas.openxmlformats.org/markup-compatibility/2006">
      <mc:Choice Requires="x14">
        <control shapeId="1606" r:id="rId133" name="CommandButton4">
          <controlPr locked="0" defaultSize="0" autoLine="0" r:id="rId134">
            <anchor moveWithCells="1">
              <from>
                <xdr:col>2</xdr:col>
                <xdr:colOff>0</xdr:colOff>
                <xdr:row>75</xdr:row>
                <xdr:rowOff>9525</xdr:rowOff>
              </from>
              <to>
                <xdr:col>3</xdr:col>
                <xdr:colOff>0</xdr:colOff>
                <xdr:row>76</xdr:row>
                <xdr:rowOff>161925</xdr:rowOff>
              </to>
            </anchor>
          </controlPr>
        </control>
      </mc:Choice>
      <mc:Fallback>
        <control shapeId="1606" r:id="rId133" name="CommandButton4"/>
      </mc:Fallback>
    </mc:AlternateContent>
    <mc:AlternateContent xmlns:mc="http://schemas.openxmlformats.org/markup-compatibility/2006">
      <mc:Choice Requires="x14">
        <control shapeId="1607" r:id="rId135" name="CheckBox24">
          <controlPr locked="0" defaultSize="0" autoLine="0" linkedCell="AI54" r:id="rId136">
            <anchor moveWithCells="1" sizeWithCells="1">
              <from>
                <xdr:col>10</xdr:col>
                <xdr:colOff>438150</xdr:colOff>
                <xdr:row>67</xdr:row>
                <xdr:rowOff>9525</xdr:rowOff>
              </from>
              <to>
                <xdr:col>13</xdr:col>
                <xdr:colOff>66675</xdr:colOff>
                <xdr:row>68</xdr:row>
                <xdr:rowOff>57150</xdr:rowOff>
              </to>
            </anchor>
          </controlPr>
        </control>
      </mc:Choice>
      <mc:Fallback>
        <control shapeId="1607" r:id="rId135" name="CheckBox24"/>
      </mc:Fallback>
    </mc:AlternateContent>
    <mc:AlternateContent xmlns:mc="http://schemas.openxmlformats.org/markup-compatibility/2006">
      <mc:Choice Requires="x14">
        <control shapeId="1609" r:id="rId137" name="CheckBox25">
          <controlPr locked="0" defaultSize="0" autoLine="0" linkedCell="AI67" r:id="rId138">
            <anchor moveWithCells="1" sizeWithCells="1">
              <from>
                <xdr:col>1</xdr:col>
                <xdr:colOff>114300</xdr:colOff>
                <xdr:row>67</xdr:row>
                <xdr:rowOff>66675</xdr:rowOff>
              </from>
              <to>
                <xdr:col>2</xdr:col>
                <xdr:colOff>247650</xdr:colOff>
                <xdr:row>68</xdr:row>
                <xdr:rowOff>114300</xdr:rowOff>
              </to>
            </anchor>
          </controlPr>
        </control>
      </mc:Choice>
      <mc:Fallback>
        <control shapeId="1609" r:id="rId137" name="CheckBox25"/>
      </mc:Fallback>
    </mc:AlternateContent>
    <mc:AlternateContent xmlns:mc="http://schemas.openxmlformats.org/markup-compatibility/2006">
      <mc:Choice Requires="x14">
        <control shapeId="1617" r:id="rId139" name="ComboBox3">
          <controlPr locked="0" defaultSize="0" autoLine="0" linkedCell="AN7" listFillRange="AN2:AN5" r:id="rId140">
            <anchor moveWithCells="1">
              <from>
                <xdr:col>1</xdr:col>
                <xdr:colOff>895350</xdr:colOff>
                <xdr:row>22</xdr:row>
                <xdr:rowOff>190500</xdr:rowOff>
              </from>
              <to>
                <xdr:col>3</xdr:col>
                <xdr:colOff>180975</xdr:colOff>
                <xdr:row>24</xdr:row>
                <xdr:rowOff>19050</xdr:rowOff>
              </to>
            </anchor>
          </controlPr>
        </control>
      </mc:Choice>
      <mc:Fallback>
        <control shapeId="1617" r:id="rId139" name="ComboBox3"/>
      </mc:Fallback>
    </mc:AlternateContent>
    <mc:AlternateContent xmlns:mc="http://schemas.openxmlformats.org/markup-compatibility/2006">
      <mc:Choice Requires="x14">
        <control shapeId="1619" r:id="rId141" name="CheckBox26">
          <controlPr locked="0" defaultSize="0" autoLine="0" linkedCell="AN23" r:id="rId142">
            <anchor moveWithCells="1" sizeWithCells="1">
              <from>
                <xdr:col>1</xdr:col>
                <xdr:colOff>66675</xdr:colOff>
                <xdr:row>59</xdr:row>
                <xdr:rowOff>19050</xdr:rowOff>
              </from>
              <to>
                <xdr:col>1</xdr:col>
                <xdr:colOff>600075</xdr:colOff>
                <xdr:row>60</xdr:row>
                <xdr:rowOff>85725</xdr:rowOff>
              </to>
            </anchor>
          </controlPr>
        </control>
      </mc:Choice>
      <mc:Fallback>
        <control shapeId="1619" r:id="rId141" name="CheckBox26"/>
      </mc:Fallback>
    </mc:AlternateContent>
    <mc:AlternateContent xmlns:mc="http://schemas.openxmlformats.org/markup-compatibility/2006">
      <mc:Choice Requires="x14">
        <control shapeId="1625" r:id="rId143" name="CheckBox27">
          <controlPr locked="0" defaultSize="0" autoLine="0" linkedCell="AN24" r:id="rId144">
            <anchor moveWithCells="1" sizeWithCells="1">
              <from>
                <xdr:col>10</xdr:col>
                <xdr:colOff>304800</xdr:colOff>
                <xdr:row>59</xdr:row>
                <xdr:rowOff>66675</xdr:rowOff>
              </from>
              <to>
                <xdr:col>12</xdr:col>
                <xdr:colOff>209550</xdr:colOff>
                <xdr:row>60</xdr:row>
                <xdr:rowOff>123825</xdr:rowOff>
              </to>
            </anchor>
          </controlPr>
        </control>
      </mc:Choice>
      <mc:Fallback>
        <control shapeId="1625" r:id="rId143" name="CheckBox27"/>
      </mc:Fallback>
    </mc:AlternateContent>
    <mc:AlternateContent xmlns:mc="http://schemas.openxmlformats.org/markup-compatibility/2006">
      <mc:Choice Requires="x14">
        <control shapeId="1627" r:id="rId145" name="ComboBox7">
          <controlPr locked="0" defaultSize="0" autoLine="0" linkedCell="AI17" listFillRange="AI15:AI16" r:id="rId146">
            <anchor moveWithCells="1">
              <from>
                <xdr:col>2</xdr:col>
                <xdr:colOff>9525</xdr:colOff>
                <xdr:row>10</xdr:row>
                <xdr:rowOff>0</xdr:rowOff>
              </from>
              <to>
                <xdr:col>2</xdr:col>
                <xdr:colOff>771525</xdr:colOff>
                <xdr:row>11</xdr:row>
                <xdr:rowOff>0</xdr:rowOff>
              </to>
            </anchor>
          </controlPr>
        </control>
      </mc:Choice>
      <mc:Fallback>
        <control shapeId="1627" r:id="rId145" name="ComboBox7"/>
      </mc:Fallback>
    </mc:AlternateContent>
    <mc:AlternateContent xmlns:mc="http://schemas.openxmlformats.org/markup-compatibility/2006">
      <mc:Choice Requires="x14">
        <control shapeId="1637" r:id="rId147" name="ComboBox18">
          <controlPr locked="0" defaultSize="0" disabled="1" autoLine="0" linkedCell="AO12" listFillRange="AA22:AA23" r:id="rId148">
            <anchor moveWithCells="1">
              <from>
                <xdr:col>4</xdr:col>
                <xdr:colOff>0</xdr:colOff>
                <xdr:row>11</xdr:row>
                <xdr:rowOff>9525</xdr:rowOff>
              </from>
              <to>
                <xdr:col>5</xdr:col>
                <xdr:colOff>9525</xdr:colOff>
                <xdr:row>12</xdr:row>
                <xdr:rowOff>9525</xdr:rowOff>
              </to>
            </anchor>
          </controlPr>
        </control>
      </mc:Choice>
      <mc:Fallback>
        <control shapeId="1637" r:id="rId147" name="ComboBox18"/>
      </mc:Fallback>
    </mc:AlternateContent>
    <mc:AlternateContent xmlns:mc="http://schemas.openxmlformats.org/markup-compatibility/2006">
      <mc:Choice Requires="x14">
        <control shapeId="1638" r:id="rId149" name="ComboBox19">
          <controlPr locked="0" defaultSize="0" disabled="1" autoLine="0" linkedCell="AO13" listFillRange="AA22:AA23" r:id="rId150">
            <anchor moveWithCells="1">
              <from>
                <xdr:col>4</xdr:col>
                <xdr:colOff>0</xdr:colOff>
                <xdr:row>12</xdr:row>
                <xdr:rowOff>0</xdr:rowOff>
              </from>
              <to>
                <xdr:col>5</xdr:col>
                <xdr:colOff>9525</xdr:colOff>
                <xdr:row>13</xdr:row>
                <xdr:rowOff>0</xdr:rowOff>
              </to>
            </anchor>
          </controlPr>
        </control>
      </mc:Choice>
      <mc:Fallback>
        <control shapeId="1638" r:id="rId149" name="ComboBox19"/>
      </mc:Fallback>
    </mc:AlternateContent>
    <mc:AlternateContent xmlns:mc="http://schemas.openxmlformats.org/markup-compatibility/2006">
      <mc:Choice Requires="x14">
        <control shapeId="1641" r:id="rId151" name="ComboBox20">
          <controlPr locked="0" defaultSize="0" autoLine="0" linkedCell="AO17" listFillRange="AA22:AA23" r:id="rId152">
            <anchor moveWithCells="1">
              <from>
                <xdr:col>4</xdr:col>
                <xdr:colOff>0</xdr:colOff>
                <xdr:row>10</xdr:row>
                <xdr:rowOff>0</xdr:rowOff>
              </from>
              <to>
                <xdr:col>5</xdr:col>
                <xdr:colOff>9525</xdr:colOff>
                <xdr:row>11</xdr:row>
                <xdr:rowOff>0</xdr:rowOff>
              </to>
            </anchor>
          </controlPr>
        </control>
      </mc:Choice>
      <mc:Fallback>
        <control shapeId="1641" r:id="rId151" name="ComboBox20"/>
      </mc:Fallback>
    </mc:AlternateContent>
    <mc:AlternateContent xmlns:mc="http://schemas.openxmlformats.org/markup-compatibility/2006">
      <mc:Choice Requires="x14">
        <control shapeId="1642" r:id="rId153" name="ComboBox21">
          <controlPr locked="0" defaultSize="0" disabled="1" autoLine="0" listFillRange="AA22:AA23" r:id="rId154">
            <anchor moveWithCells="1">
              <from>
                <xdr:col>4</xdr:col>
                <xdr:colOff>0</xdr:colOff>
                <xdr:row>13</xdr:row>
                <xdr:rowOff>0</xdr:rowOff>
              </from>
              <to>
                <xdr:col>5</xdr:col>
                <xdr:colOff>9525</xdr:colOff>
                <xdr:row>14</xdr:row>
                <xdr:rowOff>0</xdr:rowOff>
              </to>
            </anchor>
          </controlPr>
        </control>
      </mc:Choice>
      <mc:Fallback>
        <control shapeId="1642" r:id="rId153" name="ComboBox21"/>
      </mc:Fallback>
    </mc:AlternateContent>
    <mc:AlternateContent xmlns:mc="http://schemas.openxmlformats.org/markup-compatibility/2006">
      <mc:Choice Requires="x14">
        <control shapeId="1657" r:id="rId155" name="CheckBox28">
          <controlPr locked="0" defaultSize="0" autoLine="0" linkedCell="AO14" r:id="rId156">
            <anchor moveWithCells="1" sizeWithCells="1">
              <from>
                <xdr:col>10</xdr:col>
                <xdr:colOff>314325</xdr:colOff>
                <xdr:row>62</xdr:row>
                <xdr:rowOff>85725</xdr:rowOff>
              </from>
              <to>
                <xdr:col>12</xdr:col>
                <xdr:colOff>447675</xdr:colOff>
                <xdr:row>64</xdr:row>
                <xdr:rowOff>152400</xdr:rowOff>
              </to>
            </anchor>
          </controlPr>
        </control>
      </mc:Choice>
      <mc:Fallback>
        <control shapeId="1657" r:id="rId155" name="CheckBox28"/>
      </mc:Fallback>
    </mc:AlternateContent>
    <mc:AlternateContent xmlns:mc="http://schemas.openxmlformats.org/markup-compatibility/2006">
      <mc:Choice Requires="x14">
        <control shapeId="1664" r:id="rId157" name="CommandButton3">
          <controlPr locked="0" defaultSize="0" autoLine="0" r:id="rId158">
            <anchor moveWithCells="1">
              <from>
                <xdr:col>1</xdr:col>
                <xdr:colOff>0</xdr:colOff>
                <xdr:row>76</xdr:row>
                <xdr:rowOff>152400</xdr:rowOff>
              </from>
              <to>
                <xdr:col>3</xdr:col>
                <xdr:colOff>0</xdr:colOff>
                <xdr:row>78</xdr:row>
                <xdr:rowOff>142875</xdr:rowOff>
              </to>
            </anchor>
          </controlPr>
        </control>
      </mc:Choice>
      <mc:Fallback>
        <control shapeId="1664" r:id="rId157" name="CommandButton3"/>
      </mc:Fallback>
    </mc:AlternateContent>
    <mc:AlternateContent xmlns:mc="http://schemas.openxmlformats.org/markup-compatibility/2006">
      <mc:Choice Requires="x14">
        <control shapeId="1404" r:id="rId159" name="Group Box 380">
          <controlPr defaultSize="0" autoFill="0" autoPict="0">
            <anchor moveWithCells="1">
              <from>
                <xdr:col>5</xdr:col>
                <xdr:colOff>542925</xdr:colOff>
                <xdr:row>6</xdr:row>
                <xdr:rowOff>47625</xdr:rowOff>
              </from>
              <to>
                <xdr:col>23</xdr:col>
                <xdr:colOff>409575</xdr:colOff>
                <xdr:row>25</xdr:row>
                <xdr:rowOff>123825</xdr:rowOff>
              </to>
            </anchor>
          </controlPr>
        </control>
      </mc:Choice>
    </mc:AlternateContent>
    <mc:AlternateContent xmlns:mc="http://schemas.openxmlformats.org/markup-compatibility/2006">
      <mc:Choice Requires="x14">
        <control shapeId="1402" r:id="rId160" name="Group Box 378">
          <controlPr defaultSize="0" autoFill="0" autoPict="0">
            <anchor moveWithCells="1">
              <from>
                <xdr:col>0</xdr:col>
                <xdr:colOff>133350</xdr:colOff>
                <xdr:row>1</xdr:row>
                <xdr:rowOff>47625</xdr:rowOff>
              </from>
              <to>
                <xdr:col>3</xdr:col>
                <xdr:colOff>142875</xdr:colOff>
                <xdr:row>5</xdr:row>
                <xdr:rowOff>85725</xdr:rowOff>
              </to>
            </anchor>
          </controlPr>
        </control>
      </mc:Choice>
    </mc:AlternateContent>
    <mc:AlternateContent xmlns:mc="http://schemas.openxmlformats.org/markup-compatibility/2006">
      <mc:Choice Requires="x14">
        <control shapeId="1403" r:id="rId161" name="Group Box 379">
          <controlPr defaultSize="0" autoFill="0" autoPict="0">
            <anchor moveWithCells="1">
              <from>
                <xdr:col>0</xdr:col>
                <xdr:colOff>133350</xdr:colOff>
                <xdr:row>6</xdr:row>
                <xdr:rowOff>76200</xdr:rowOff>
              </from>
              <to>
                <xdr:col>5</xdr:col>
                <xdr:colOff>304800</xdr:colOff>
                <xdr:row>21</xdr:row>
                <xdr:rowOff>104775</xdr:rowOff>
              </to>
            </anchor>
          </controlPr>
        </control>
      </mc:Choice>
    </mc:AlternateContent>
    <mc:AlternateContent xmlns:mc="http://schemas.openxmlformats.org/markup-compatibility/2006">
      <mc:Choice Requires="x14">
        <control shapeId="1449" r:id="rId162" name="Group Box 425">
          <controlPr defaultSize="0" autoFill="0" autoPict="0">
            <anchor moveWithCells="1">
              <from>
                <xdr:col>5</xdr:col>
                <xdr:colOff>866775</xdr:colOff>
                <xdr:row>7</xdr:row>
                <xdr:rowOff>38100</xdr:rowOff>
              </from>
              <to>
                <xdr:col>8</xdr:col>
                <xdr:colOff>66675</xdr:colOff>
                <xdr:row>22</xdr:row>
                <xdr:rowOff>104775</xdr:rowOff>
              </to>
            </anchor>
          </controlPr>
        </control>
      </mc:Choice>
    </mc:AlternateContent>
    <mc:AlternateContent xmlns:mc="http://schemas.openxmlformats.org/markup-compatibility/2006">
      <mc:Choice Requires="x14">
        <control shapeId="1450" r:id="rId163" name="Group Box 426">
          <controlPr defaultSize="0" autoFill="0" autoPict="0">
            <anchor moveWithCells="1">
              <from>
                <xdr:col>8</xdr:col>
                <xdr:colOff>123825</xdr:colOff>
                <xdr:row>7</xdr:row>
                <xdr:rowOff>38100</xdr:rowOff>
              </from>
              <to>
                <xdr:col>11</xdr:col>
                <xdr:colOff>66675</xdr:colOff>
                <xdr:row>22</xdr:row>
                <xdr:rowOff>104775</xdr:rowOff>
              </to>
            </anchor>
          </controlPr>
        </control>
      </mc:Choice>
    </mc:AlternateContent>
    <mc:AlternateContent xmlns:mc="http://schemas.openxmlformats.org/markup-compatibility/2006">
      <mc:Choice Requires="x14">
        <control shapeId="1451" r:id="rId164" name="Group Box 427">
          <controlPr defaultSize="0" autoFill="0" autoPict="0">
            <anchor moveWithCells="1">
              <from>
                <xdr:col>11</xdr:col>
                <xdr:colOff>123825</xdr:colOff>
                <xdr:row>7</xdr:row>
                <xdr:rowOff>38100</xdr:rowOff>
              </from>
              <to>
                <xdr:col>14</xdr:col>
                <xdr:colOff>76200</xdr:colOff>
                <xdr:row>22</xdr:row>
                <xdr:rowOff>114300</xdr:rowOff>
              </to>
            </anchor>
          </controlPr>
        </control>
      </mc:Choice>
    </mc:AlternateContent>
    <mc:AlternateContent xmlns:mc="http://schemas.openxmlformats.org/markup-compatibility/2006">
      <mc:Choice Requires="x14">
        <control shapeId="1452" r:id="rId165" name="Group Box 428">
          <controlPr defaultSize="0" autoFill="0" autoPict="0">
            <anchor moveWithCells="1">
              <from>
                <xdr:col>14</xdr:col>
                <xdr:colOff>123825</xdr:colOff>
                <xdr:row>7</xdr:row>
                <xdr:rowOff>28575</xdr:rowOff>
              </from>
              <to>
                <xdr:col>17</xdr:col>
                <xdr:colOff>66675</xdr:colOff>
                <xdr:row>17</xdr:row>
                <xdr:rowOff>85725</xdr:rowOff>
              </to>
            </anchor>
          </controlPr>
        </control>
      </mc:Choice>
    </mc:AlternateContent>
    <mc:AlternateContent xmlns:mc="http://schemas.openxmlformats.org/markup-compatibility/2006">
      <mc:Choice Requires="x14">
        <control shapeId="1453" r:id="rId166" name="Group Box 429">
          <controlPr defaultSize="0" autoFill="0" autoPict="0">
            <anchor moveWithCells="1">
              <from>
                <xdr:col>17</xdr:col>
                <xdr:colOff>152400</xdr:colOff>
                <xdr:row>17</xdr:row>
                <xdr:rowOff>104775</xdr:rowOff>
              </from>
              <to>
                <xdr:col>20</xdr:col>
                <xdr:colOff>76200</xdr:colOff>
                <xdr:row>24</xdr:row>
                <xdr:rowOff>114300</xdr:rowOff>
              </to>
            </anchor>
          </controlPr>
        </control>
      </mc:Choice>
    </mc:AlternateContent>
    <mc:AlternateContent xmlns:mc="http://schemas.openxmlformats.org/markup-compatibility/2006">
      <mc:Choice Requires="x14">
        <control shapeId="1535" r:id="rId167" name="Group Box 511">
          <controlPr defaultSize="0" autoFill="0" autoPict="0">
            <anchor moveWithCells="1">
              <from>
                <xdr:col>14</xdr:col>
                <xdr:colOff>123825</xdr:colOff>
                <xdr:row>18</xdr:row>
                <xdr:rowOff>123825</xdr:rowOff>
              </from>
              <to>
                <xdr:col>17</xdr:col>
                <xdr:colOff>66675</xdr:colOff>
                <xdr:row>20</xdr:row>
                <xdr:rowOff>114300</xdr:rowOff>
              </to>
            </anchor>
          </controlPr>
        </control>
      </mc:Choice>
    </mc:AlternateContent>
    <mc:AlternateContent xmlns:mc="http://schemas.openxmlformats.org/markup-compatibility/2006">
      <mc:Choice Requires="x14">
        <control shapeId="1536" r:id="rId168" name="Group Box 512">
          <controlPr defaultSize="0" autoFill="0" autoPict="0">
            <anchor moveWithCells="1">
              <from>
                <xdr:col>20</xdr:col>
                <xdr:colOff>190500</xdr:colOff>
                <xdr:row>7</xdr:row>
                <xdr:rowOff>28575</xdr:rowOff>
              </from>
              <to>
                <xdr:col>23</xdr:col>
                <xdr:colOff>76200</xdr:colOff>
                <xdr:row>16</xdr:row>
                <xdr:rowOff>104775</xdr:rowOff>
              </to>
            </anchor>
          </controlPr>
        </control>
      </mc:Choice>
    </mc:AlternateContent>
    <mc:AlternateContent xmlns:mc="http://schemas.openxmlformats.org/markup-compatibility/2006">
      <mc:Choice Requires="x14">
        <control shapeId="1543" r:id="rId169" name="Group Box 519">
          <controlPr defaultSize="0" autoFill="0" autoPict="0">
            <anchor moveWithCells="1">
              <from>
                <xdr:col>17</xdr:col>
                <xdr:colOff>123825</xdr:colOff>
                <xdr:row>7</xdr:row>
                <xdr:rowOff>28575</xdr:rowOff>
              </from>
              <to>
                <xdr:col>20</xdr:col>
                <xdr:colOff>76200</xdr:colOff>
                <xdr:row>16</xdr:row>
                <xdr:rowOff>104775</xdr:rowOff>
              </to>
            </anchor>
          </controlPr>
        </control>
      </mc:Choice>
    </mc:AlternateContent>
    <mc:AlternateContent xmlns:mc="http://schemas.openxmlformats.org/markup-compatibility/2006">
      <mc:Choice Requires="x14">
        <control shapeId="1563" r:id="rId170" name="Group Box 539">
          <controlPr defaultSize="0" autoFill="0" autoPict="0">
            <anchor moveWithCells="1">
              <from>
                <xdr:col>14</xdr:col>
                <xdr:colOff>142875</xdr:colOff>
                <xdr:row>21</xdr:row>
                <xdr:rowOff>104775</xdr:rowOff>
              </from>
              <to>
                <xdr:col>17</xdr:col>
                <xdr:colOff>104775</xdr:colOff>
                <xdr:row>24</xdr:row>
                <xdr:rowOff>114300</xdr:rowOff>
              </to>
            </anchor>
          </controlPr>
        </control>
      </mc:Choice>
    </mc:AlternateContent>
    <mc:AlternateContent xmlns:mc="http://schemas.openxmlformats.org/markup-compatibility/2006">
      <mc:Choice Requires="x14">
        <control shapeId="1618" r:id="rId171" name="Group Box 594">
          <controlPr defaultSize="0" autoFill="0" autoPict="0">
            <anchor moveWithCells="1">
              <from>
                <xdr:col>0</xdr:col>
                <xdr:colOff>123825</xdr:colOff>
                <xdr:row>22</xdr:row>
                <xdr:rowOff>66675</xdr:rowOff>
              </from>
              <to>
                <xdr:col>5</xdr:col>
                <xdr:colOff>295275</xdr:colOff>
                <xdr:row>30</xdr:row>
                <xdr:rowOff>9525</xdr:rowOff>
              </to>
            </anchor>
          </controlPr>
        </control>
      </mc:Choice>
    </mc:AlternateContent>
    <mc:AlternateContent xmlns:mc="http://schemas.openxmlformats.org/markup-compatibility/2006">
      <mc:Choice Requires="x14">
        <control shapeId="1646" r:id="rId172" name="Group Box 622">
          <controlPr defaultSize="0" autoFill="0" autoPict="0">
            <anchor moveWithCells="1">
              <from>
                <xdr:col>20</xdr:col>
                <xdr:colOff>142875</xdr:colOff>
                <xdr:row>17</xdr:row>
                <xdr:rowOff>114300</xdr:rowOff>
              </from>
              <to>
                <xdr:col>23</xdr:col>
                <xdr:colOff>0</xdr:colOff>
                <xdr:row>24</xdr:row>
                <xdr:rowOff>114300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F1026"/>
  <sheetViews>
    <sheetView topLeftCell="AB1" zoomScale="110" zoomScaleNormal="110" workbookViewId="0">
      <selection activeCell="AP12" sqref="AP12"/>
    </sheetView>
  </sheetViews>
  <sheetFormatPr defaultRowHeight="12.75"/>
  <cols>
    <col min="1" max="1" width="12.42578125" bestFit="1" customWidth="1"/>
    <col min="2" max="2" width="11.42578125" customWidth="1"/>
    <col min="3" max="4" width="6.7109375" customWidth="1"/>
    <col min="5" max="5" width="6.28515625" customWidth="1"/>
    <col min="6" max="6" width="10.28515625" customWidth="1"/>
    <col min="7" max="7" width="6.7109375" customWidth="1"/>
    <col min="8" max="8" width="2.28515625" customWidth="1"/>
    <col min="9" max="10" width="6.7109375" customWidth="1"/>
    <col min="11" max="11" width="2.28515625" customWidth="1"/>
    <col min="12" max="13" width="6.7109375" customWidth="1"/>
    <col min="14" max="14" width="2.28515625" customWidth="1"/>
    <col min="15" max="16" width="6.7109375" customWidth="1"/>
    <col min="17" max="17" width="2.28515625" customWidth="1"/>
    <col min="18" max="19" width="6.7109375" customWidth="1"/>
    <col min="20" max="20" width="2.28515625" customWidth="1"/>
    <col min="21" max="22" width="6.7109375" customWidth="1"/>
    <col min="23" max="23" width="2.28515625" customWidth="1"/>
    <col min="24" max="25" width="6.7109375" customWidth="1"/>
    <col min="26" max="26" width="2.28515625" customWidth="1"/>
    <col min="27" max="27" width="6.7109375" customWidth="1"/>
    <col min="28" max="28" width="8" customWidth="1"/>
    <col min="29" max="29" width="2.28515625" customWidth="1"/>
    <col min="30" max="30" width="7.28515625" customWidth="1"/>
    <col min="31" max="31" width="6.7109375" customWidth="1"/>
    <col min="33" max="35" width="9.28515625" bestFit="1" customWidth="1"/>
    <col min="37" max="37" width="9.28515625" bestFit="1" customWidth="1"/>
    <col min="38" max="38" width="10.5703125" bestFit="1" customWidth="1"/>
    <col min="39" max="39" width="10.140625" bestFit="1" customWidth="1"/>
    <col min="40" max="40" width="9.140625" customWidth="1"/>
    <col min="41" max="41" width="9.28515625" customWidth="1"/>
    <col min="42" max="42" width="11.42578125" customWidth="1"/>
    <col min="43" max="50" width="9.28515625" customWidth="1"/>
    <col min="51" max="51" width="12.140625" customWidth="1"/>
    <col min="52" max="58" width="9.28515625" customWidth="1"/>
    <col min="59" max="59" width="9.5703125" customWidth="1"/>
    <col min="60" max="64" width="9.28515625" customWidth="1"/>
    <col min="65" max="65" width="9.28515625" style="3" customWidth="1"/>
    <col min="66" max="69" width="9.28515625" customWidth="1"/>
    <col min="70" max="70" width="9.140625" customWidth="1"/>
    <col min="71" max="72" width="9.28515625" customWidth="1"/>
    <col min="73" max="73" width="9.140625" customWidth="1"/>
    <col min="74" max="75" width="9.28515625" customWidth="1"/>
    <col min="76" max="78" width="9.140625" customWidth="1"/>
  </cols>
  <sheetData>
    <row r="1" spans="1:84" ht="24.95" customHeight="1">
      <c r="A1" s="52"/>
      <c r="B1" s="255" t="s">
        <v>0</v>
      </c>
      <c r="C1" s="256" t="str">
        <f>Station</f>
        <v>TH</v>
      </c>
      <c r="D1" s="257"/>
      <c r="E1" s="257"/>
      <c r="F1" s="257"/>
      <c r="G1" s="255" t="s">
        <v>1</v>
      </c>
      <c r="H1" s="256" t="str">
        <f>Feeder</f>
        <v>Duns</v>
      </c>
      <c r="I1" s="10"/>
      <c r="J1" s="6"/>
      <c r="K1" s="13"/>
      <c r="L1" s="57"/>
      <c r="M1" s="57"/>
      <c r="N1" s="57"/>
      <c r="O1" s="96"/>
      <c r="AG1" s="133"/>
      <c r="AH1" s="55"/>
      <c r="AI1" s="235"/>
      <c r="AJ1" s="57"/>
      <c r="AK1" s="54"/>
      <c r="AL1" s="55"/>
      <c r="AM1" s="55"/>
      <c r="AN1" s="56"/>
      <c r="AO1" s="53"/>
      <c r="AP1" s="461" t="str">
        <f>IF(OR(MAX(D35:D45)&gt;D33,MAX(G35:G45)&gt;G33,MAX(J35:J45)&gt;J33,MAX(M35:M45)&gt;M33,MAX(P35:P45)&gt;P33,MAX(S35:S45)&gt;S33),"EF Cut off","OK")</f>
        <v>OK</v>
      </c>
      <c r="AQ1" s="447"/>
      <c r="AR1" s="448" t="s">
        <v>676</v>
      </c>
      <c r="AS1" s="449">
        <v>0.03</v>
      </c>
      <c r="AT1" s="57"/>
      <c r="AU1" s="264"/>
      <c r="AV1" s="264" t="s">
        <v>63</v>
      </c>
      <c r="AW1" s="264" t="s">
        <v>757</v>
      </c>
      <c r="AX1" s="264" t="s">
        <v>65</v>
      </c>
      <c r="AY1" s="264" t="s">
        <v>66</v>
      </c>
      <c r="AZ1" s="264" t="s">
        <v>732</v>
      </c>
      <c r="BA1" s="264" t="s">
        <v>735</v>
      </c>
      <c r="BB1" s="667" t="s">
        <v>909</v>
      </c>
      <c r="BC1" s="519" t="s">
        <v>756</v>
      </c>
      <c r="BE1" s="264" t="s">
        <v>435</v>
      </c>
      <c r="BF1" s="264" t="s">
        <v>436</v>
      </c>
      <c r="BG1" s="264" t="s">
        <v>437</v>
      </c>
      <c r="BH1" s="264" t="s">
        <v>438</v>
      </c>
      <c r="BI1" s="264" t="s">
        <v>439</v>
      </c>
      <c r="BJ1" s="264" t="s">
        <v>440</v>
      </c>
      <c r="BK1" s="530"/>
      <c r="BL1" s="667" t="s">
        <v>909</v>
      </c>
      <c r="BM1" s="166"/>
      <c r="BN1" s="3" t="s">
        <v>86</v>
      </c>
      <c r="BO1" s="3" t="s">
        <v>85</v>
      </c>
      <c r="BP1" s="3" t="s">
        <v>250</v>
      </c>
      <c r="BQ1" s="3" t="s">
        <v>92</v>
      </c>
      <c r="BR1" s="57"/>
      <c r="BS1" s="57"/>
      <c r="BT1" s="57"/>
      <c r="BU1" s="57"/>
      <c r="BV1" s="57"/>
      <c r="BW1" s="57"/>
      <c r="BX1" s="57"/>
      <c r="BY1" s="57"/>
      <c r="BZ1" s="57"/>
      <c r="CA1" s="57"/>
    </row>
    <row r="2" spans="1:84" ht="13.5">
      <c r="A2" s="97" t="s">
        <v>17</v>
      </c>
      <c r="B2" s="16"/>
      <c r="C2" s="16"/>
      <c r="D2" s="17"/>
      <c r="E2" s="18"/>
      <c r="F2" s="16"/>
      <c r="G2" s="71" t="s">
        <v>50</v>
      </c>
      <c r="H2" s="72">
        <f>I_Nom</f>
        <v>1</v>
      </c>
      <c r="I2" s="16"/>
      <c r="J2" s="17"/>
      <c r="K2" s="17"/>
      <c r="L2" s="16"/>
      <c r="M2" s="17"/>
      <c r="N2" s="17"/>
      <c r="O2" s="16"/>
      <c r="P2" s="17"/>
      <c r="Q2" s="17"/>
      <c r="R2" s="16"/>
      <c r="S2" s="17"/>
      <c r="T2" s="17"/>
      <c r="U2" s="16"/>
      <c r="V2" s="17"/>
      <c r="W2" s="17"/>
      <c r="X2" s="870"/>
      <c r="Y2" s="17"/>
      <c r="Z2" s="17"/>
      <c r="AA2" s="16"/>
      <c r="AB2" s="17"/>
      <c r="AC2" s="17"/>
      <c r="AD2" s="17"/>
      <c r="AE2" s="17"/>
      <c r="AF2" s="17"/>
      <c r="AG2" s="34"/>
      <c r="AH2" s="6"/>
      <c r="AI2" s="6"/>
      <c r="AJ2" s="15"/>
      <c r="AK2" s="30"/>
      <c r="AL2" s="32"/>
      <c r="AM2" s="32"/>
      <c r="AN2" s="14"/>
      <c r="AO2" s="6"/>
      <c r="AP2" s="417" t="s">
        <v>695</v>
      </c>
      <c r="AQ2" s="462" t="str">
        <f>IF(OR(B55="Not Testable",B57="Not Testable",B59="Not Testable",B61="Not Testable"),"Warning","OK")</f>
        <v>OK</v>
      </c>
      <c r="AR2" s="462" t="str">
        <f>IF(C47&lt;&gt;"","Warning","OK")</f>
        <v>OK</v>
      </c>
      <c r="AS2" s="403"/>
      <c r="AT2" s="284"/>
      <c r="AU2" s="268" t="s">
        <v>405</v>
      </c>
      <c r="AV2" s="269">
        <f>DEGREES(ATAN(X_1/(R_1+X_1/TAN(RADIANS(Slope)))))+_Dir1</f>
        <v>25.870234814212917</v>
      </c>
      <c r="AW2" s="269">
        <f>DEGREES(ATAN(X_1B/(R_1B+X_1B/TAN(RADIANS(Slope)))))+Dir1B</f>
        <v>35.690267865654384</v>
      </c>
      <c r="AX2" s="269">
        <f>DEGREES(ATAN(X_2/(R_2+X_2/TAN(RADIANS(Slope)))))+_Dir2</f>
        <v>28.056322404466226</v>
      </c>
      <c r="AY2" s="269">
        <f>DEGREES(ATAN(X_3/(R_3+X_3/TAN(RADIANS(Slope)))))+_Dir3</f>
        <v>32.828533801454149</v>
      </c>
      <c r="AZ2" s="269">
        <f>DEGREES(ATAN(X_4/(R_4+X_4/TAN(RADIANS(Slope)))))+_Dir4</f>
        <v>209.75291280062561</v>
      </c>
      <c r="BA2" s="269">
        <f>DEGREES(ATAN(X_5/(R_5+X_5/TAN(RADIANS(Slope)))))+_Dir5</f>
        <v>240.46549356129381</v>
      </c>
      <c r="BB2" s="668">
        <f>DEGREES(ATAN(X_6/(R_6+X_6/TAN(RADIANS(Slope)))))+_Dir6</f>
        <v>238.62392774306983</v>
      </c>
      <c r="BC2" s="520">
        <f>DEGREES(ATAN(X_ND/(R_ND+X_ND/TAN(RADIANS(Slope)))))</f>
        <v>55.97321086315776</v>
      </c>
      <c r="BE2" s="269">
        <f>DEGREES(ATAN((EX_1)/(ER_1+(EX_1)/TAN(RADIANS(Slope)))))+_Dir1</f>
        <v>11.948304906792819</v>
      </c>
      <c r="BF2" s="269">
        <f>DEGREES(ATAN((EX_1B)/(ER_1B+(EX_1B)/TAN(RADIANS(Slope)))))+Dir1B</f>
        <v>25.621915440217933</v>
      </c>
      <c r="BG2" s="269">
        <f>DEGREES(ATAN((EX_2)/(ER_2+(EX_2)/TAN(RADIANS(Slope)))))+_Dir2</f>
        <v>10.929909476122836</v>
      </c>
      <c r="BH2" s="269">
        <f>DEGREES(ATAN((EX_3)/(ER_3+(EX_3)/TAN(RADIANS(Slope)))))+_Dir3</f>
        <v>18.859429503917497</v>
      </c>
      <c r="BI2" s="269">
        <f>DEGREES(ATAN((EX_4)/(ER_4+(EX_4)/TAN(RADIANS(Slope)))))+_Dir4</f>
        <v>206.26504615177132</v>
      </c>
      <c r="BJ2" s="269">
        <f>DEGREES(ATAN((EX_5)/(ER_5+(EX_5)/TAN(RADIANS(Slope)))))+_Dir6</f>
        <v>233.54641338816776</v>
      </c>
      <c r="BK2" s="531"/>
      <c r="BL2" s="668">
        <f>DEGREES(ATAN((EX_6)/(ER_6+(EX_6)/TAN(RADIANS(Slope)))))+_Dir6</f>
        <v>230.77666952019203</v>
      </c>
      <c r="BM2" s="531"/>
      <c r="BN2" s="103">
        <f>O13</f>
        <v>125</v>
      </c>
      <c r="BO2" s="99">
        <f>C15</f>
        <v>0</v>
      </c>
      <c r="BP2" s="101">
        <f>F15</f>
        <v>0</v>
      </c>
      <c r="BQ2" s="101">
        <f>BP2</f>
        <v>0</v>
      </c>
      <c r="BR2" s="6"/>
      <c r="BS2" s="6"/>
      <c r="BT2" s="6"/>
      <c r="BU2" s="6"/>
      <c r="BV2" s="6"/>
      <c r="BW2" s="6"/>
      <c r="BX2" s="6"/>
      <c r="BY2" s="6"/>
      <c r="BZ2" s="6"/>
      <c r="CA2" s="6"/>
    </row>
    <row r="3" spans="1:84" ht="13.5">
      <c r="A3" s="3"/>
      <c r="B3" s="61"/>
      <c r="C3" s="61"/>
      <c r="D3" s="61"/>
      <c r="E3" s="61"/>
      <c r="F3" s="3"/>
      <c r="G3" s="3"/>
      <c r="H3" s="3"/>
      <c r="I3" s="3"/>
      <c r="J3" s="3"/>
      <c r="K3" s="3"/>
      <c r="L3" s="3"/>
      <c r="M3" s="3"/>
      <c r="N3" s="3"/>
      <c r="O3" s="3"/>
      <c r="P3" s="3"/>
      <c r="Q3" s="3"/>
      <c r="R3" s="3"/>
      <c r="S3" s="3"/>
      <c r="T3" s="3"/>
      <c r="U3" s="3"/>
      <c r="V3" s="3"/>
      <c r="W3" s="3"/>
      <c r="X3" s="3"/>
      <c r="Y3" s="3"/>
      <c r="Z3" s="3"/>
      <c r="AA3" s="3"/>
      <c r="AB3" s="3"/>
      <c r="AC3" s="3"/>
      <c r="AD3" s="3"/>
      <c r="AE3" s="3"/>
      <c r="AF3" s="3"/>
      <c r="AG3" s="34"/>
      <c r="AH3" s="32" t="s">
        <v>18</v>
      </c>
      <c r="AI3" s="33"/>
      <c r="AJ3" s="15"/>
      <c r="AK3" s="30"/>
      <c r="AL3" s="32" t="s">
        <v>19</v>
      </c>
      <c r="AM3" s="32"/>
      <c r="AN3" s="14"/>
      <c r="AP3" s="308" t="s">
        <v>60</v>
      </c>
      <c r="AQ3" s="87" t="s">
        <v>68</v>
      </c>
      <c r="AR3" s="87" t="s">
        <v>67</v>
      </c>
      <c r="AS3" s="87" t="s">
        <v>69</v>
      </c>
      <c r="AT3" s="1060" t="b">
        <v>1</v>
      </c>
      <c r="AU3" s="268" t="s">
        <v>415</v>
      </c>
      <c r="AV3" s="296">
        <f>SQRT((R_1+X_1/TAN(RADIANS(Slope)))^2+X_1^2)*2</f>
        <v>34.743993818712177</v>
      </c>
      <c r="AW3" s="296">
        <f>SQRT((R_1B+X_1B/TAN(RADIANS(Slope)))^2+X_1B^2)*2</f>
        <v>32.019018653819998</v>
      </c>
      <c r="AX3" s="296">
        <f>SQRT((R_2+X_2/TAN(RADIANS(Slope)))^2+X_2^2)*2</f>
        <v>44.94627760754782</v>
      </c>
      <c r="AY3" s="296">
        <f>SQRT((R_3+X_3/TAN(RADIANS(Slope)))^2+X_3^2)*2</f>
        <v>71.938895857750893</v>
      </c>
      <c r="AZ3" s="296">
        <f>SQRT((R_4+X_4/TAN(RADIANS(Slope)))^2+X_4^2)*2</f>
        <v>21.762757548731287</v>
      </c>
      <c r="BA3" s="296">
        <f>SQRT((R_5+X_5/TAN(RADIANS(Slope)))^2+X_5^2)*2</f>
        <v>61.582032374441795</v>
      </c>
      <c r="BB3" s="669">
        <f>SQRT((R_6+X_6/TAN(RADIANS(Slope)))^2+X_6^2)*2</f>
        <v>54.815808554706351</v>
      </c>
      <c r="BC3" s="521">
        <f>SQRT((R_ND+X_ND/TAN(RADIANS(Slope)))^2+X_ND^2)*2</f>
        <v>106.66331695950501</v>
      </c>
      <c r="BE3" s="296">
        <f>SQRT(((ER_1)+(EX_1)/TAN(RADIANS(Slope)))^2+(EX_1)^2)</f>
        <v>70.541461247155112</v>
      </c>
      <c r="BF3" s="296">
        <f>SQRT(((ER_1B)+(EX_1B)/TAN(RADIANS(Slope)))^2+(EX_1B)^2)</f>
        <v>41.613761745029201</v>
      </c>
      <c r="BG3" s="296">
        <f>SQRT(((ER_2)+(EX_2)/TAN(RADIANS(Slope)))^2+(EX_2)^2)</f>
        <v>107.40509217798125</v>
      </c>
      <c r="BH3" s="296">
        <f>SQRT(((ER_3)+(EX_3)/TAN(RADIANS(Slope)))^2+(EX_3)^2)</f>
        <v>116.3195655435823</v>
      </c>
      <c r="BI3" s="296">
        <f>SQRT(((ER_4)+(EX_4)/TAN(RADIANS(Slope)))^2+(EX_4)^2)</f>
        <v>29.170532868396531</v>
      </c>
      <c r="BJ3" s="296">
        <f>SQRT(((ER_5)+(EX_5)/TAN(RADIANS(Slope)))^2+(EX_5)^2)</f>
        <v>59.949888547564179</v>
      </c>
      <c r="BK3" s="532"/>
      <c r="BL3" s="669">
        <f>SQRT(((ER_6)+(EX_6)/TAN(RADIANS(Slope)))^2+(EX_6)^2)</f>
        <v>53.440933520690194</v>
      </c>
      <c r="BM3" s="532"/>
      <c r="BN3" s="103">
        <f>O15</f>
        <v>180</v>
      </c>
      <c r="BO3" s="99">
        <f>C17</f>
        <v>18.67136398158295</v>
      </c>
      <c r="BP3" s="101">
        <f>F17</f>
        <v>26</v>
      </c>
      <c r="BQ3" s="101">
        <f t="shared" ref="BQ3:BQ49" si="0">BP3</f>
        <v>26</v>
      </c>
      <c r="BR3" s="3"/>
      <c r="BS3" s="3"/>
      <c r="BT3" s="3"/>
      <c r="BU3" s="3"/>
      <c r="BV3" s="3"/>
      <c r="BW3" s="3"/>
      <c r="BX3" s="3"/>
      <c r="BY3" s="3"/>
      <c r="BZ3" s="3"/>
      <c r="CA3" s="3"/>
      <c r="CB3" s="3"/>
      <c r="CC3" s="3"/>
      <c r="CD3" s="3"/>
      <c r="CE3" s="3"/>
      <c r="CF3" s="3"/>
    </row>
    <row r="4" spans="1:84" ht="13.5">
      <c r="A4" s="6"/>
      <c r="B4" s="6"/>
      <c r="C4" s="470" t="str">
        <f>"Z1S, " &amp; Settings!C103</f>
        <v>Z1S, Forward</v>
      </c>
      <c r="D4" s="471"/>
      <c r="E4" s="59"/>
      <c r="F4" s="470" t="str">
        <f>"Z1X, " &amp; Settings!D103</f>
        <v>Z1X, Off</v>
      </c>
      <c r="G4" s="471"/>
      <c r="H4" s="58"/>
      <c r="I4" s="470" t="str">
        <f>"Z2S, " &amp; Settings!E103</f>
        <v>Z2S, Forward</v>
      </c>
      <c r="J4" s="472"/>
      <c r="K4" s="14"/>
      <c r="L4" s="470" t="str">
        <f>"Z3S, " &amp; Settings!F103</f>
        <v>Z3S, Forward</v>
      </c>
      <c r="M4" s="473"/>
      <c r="N4" s="415"/>
      <c r="O4" s="474" t="str">
        <f>"ZR1S, " &amp; Settings!G103</f>
        <v>ZR1S, Reverse</v>
      </c>
      <c r="P4" s="475"/>
      <c r="Q4" s="415"/>
      <c r="R4" s="685" t="str">
        <f>"ZR2S, " &amp; Settings!H103</f>
        <v>ZR2S, Reverse</v>
      </c>
      <c r="S4" s="680"/>
      <c r="T4" s="415"/>
      <c r="U4" s="496" t="s">
        <v>713</v>
      </c>
      <c r="V4" s="497"/>
      <c r="W4" s="415"/>
      <c r="X4" s="665" t="s">
        <v>359</v>
      </c>
      <c r="Y4" s="666"/>
      <c r="Z4" s="14"/>
      <c r="AA4" s="60" t="s">
        <v>1015</v>
      </c>
      <c r="AB4" s="60" t="str">
        <f>RIGHT(PTTMode,4)&amp;", "&amp; LEFT(PTT_Rx_Z_Sel,2)</f>
        <v>POTT, Z2</v>
      </c>
      <c r="AC4" s="60"/>
      <c r="AD4" s="60" t="s">
        <v>84</v>
      </c>
      <c r="AE4" s="60" t="str">
        <f>IF(SOTF_OC_Only=TRUE,"OCH",IF(Settings!AK2="On(1)","OCH / ","")&amp;SOTF_Fwd &amp;" / "&amp;SOTF_Rev)</f>
        <v>OCH</v>
      </c>
      <c r="AF4" s="60"/>
      <c r="AG4" s="34"/>
      <c r="AH4" s="31" t="s">
        <v>20</v>
      </c>
      <c r="AI4" s="31" t="s">
        <v>21</v>
      </c>
      <c r="AJ4" s="15"/>
      <c r="AK4" s="29"/>
      <c r="AL4" s="31" t="s">
        <v>20</v>
      </c>
      <c r="AM4" s="31" t="s">
        <v>21</v>
      </c>
      <c r="AN4" s="14"/>
      <c r="AO4" s="6"/>
      <c r="AP4" s="308" t="s">
        <v>61</v>
      </c>
      <c r="AQ4" s="87" t="s">
        <v>69</v>
      </c>
      <c r="AR4" s="87" t="s">
        <v>68</v>
      </c>
      <c r="AS4" s="87" t="s">
        <v>67</v>
      </c>
      <c r="AT4" s="1060" t="b">
        <v>0</v>
      </c>
      <c r="AU4" s="193" t="s">
        <v>408</v>
      </c>
      <c r="AV4" s="253">
        <f>ABS(R_1*2*SIN(RADIANS(Z1_Ang-DeltaAng)))</f>
        <v>10.571153285523074</v>
      </c>
      <c r="AW4" s="253">
        <f>ABS(R_1B*2*SIN(RADIANS(Z1B_Ang-DeltaAng)))</f>
        <v>11.34204488603091</v>
      </c>
      <c r="AX4" s="253">
        <f>ABS(R_2*2*SIN(RADIANS(Z2_Ang-DeltaAng)))</f>
        <v>14.399304921992448</v>
      </c>
      <c r="AY4" s="253">
        <f>ABS(R_3*2*SIN(RADIANS(Z3_Ang-DeltaAng)))</f>
        <v>24.870302709976851</v>
      </c>
      <c r="AZ4" s="253">
        <f>ABS(R_4*2*SIN(RADIANS(Z4_Ang-DeltaAng)))</f>
        <v>7.2023014029569019</v>
      </c>
      <c r="BA4" s="253">
        <f>ABS(R_5*2*SIN(RADIANS(Z5_Ang-DeltaAng)))</f>
        <v>13.489083258740031</v>
      </c>
      <c r="BB4" s="670">
        <f>ABS(R_6*2*SIN(RADIANS(Z6_Ang-DeltaAng)))</f>
        <v>13.205589866442422</v>
      </c>
      <c r="BC4" s="522">
        <f>ABS(R_ND*2*SIN(RADIANS(ZND_Ang-DeltaAng)))</f>
        <v>28.740745402110051</v>
      </c>
      <c r="BE4" s="253">
        <f>ABS(ER_1*SIN(RADIANS(Z1E_Ang-DeltaAng)))</f>
        <v>10.125866232122442</v>
      </c>
      <c r="BF4" s="253">
        <f>ABS(ER_1B*SIN(RADIANS(Z1BE_Ang-DeltaAng)))</f>
        <v>12.5780033110481</v>
      </c>
      <c r="BG4" s="253">
        <f>ABS(ER_2*SIN(RADIANS(Z2E_Ang-DeltaAng)))</f>
        <v>13.796159188352997</v>
      </c>
      <c r="BH4" s="253">
        <f>ABS(ER_3*SIN(RADIANS(Z3E_Ang-DeltaAng)))</f>
        <v>27.327815188113124</v>
      </c>
      <c r="BI4" s="253">
        <f>ABS(ER_4*SIN(RADIANS(Z4E_Ang-DeltaAng)))</f>
        <v>8.9661622656193476</v>
      </c>
      <c r="BJ4" s="253">
        <f>ABS(ER_5*SIN(RADIANS(Z5E_Ang-DeltaAng)))</f>
        <v>17.527568824165343</v>
      </c>
      <c r="BK4" s="533"/>
      <c r="BL4" s="670">
        <f>ABS(ER_6*SIN(RADIANS(Z5E_Ang-DeltaAng)))</f>
        <v>17.527568824165343</v>
      </c>
      <c r="BM4" s="533"/>
      <c r="BN4" s="103">
        <f>O17</f>
        <v>199.83527520041707</v>
      </c>
      <c r="BO4" s="99">
        <f>C19</f>
        <v>36.032072301425075</v>
      </c>
      <c r="BP4" s="101">
        <f>F19</f>
        <v>46</v>
      </c>
      <c r="BQ4" s="101">
        <f t="shared" si="0"/>
        <v>46</v>
      </c>
      <c r="BR4" s="6"/>
      <c r="BS4" s="6"/>
      <c r="BT4" s="6"/>
      <c r="BU4" s="6"/>
      <c r="BV4" s="6"/>
      <c r="BW4">
        <f>IF(_Dir1=0,1,-1)</f>
        <v>1</v>
      </c>
      <c r="BX4" s="6"/>
      <c r="BY4" s="6"/>
      <c r="CA4" s="6"/>
      <c r="CB4" s="6" t="s">
        <v>21</v>
      </c>
      <c r="CC4" s="6"/>
      <c r="CD4" s="6"/>
      <c r="CE4" s="6"/>
      <c r="CF4" s="6"/>
    </row>
    <row r="5" spans="1:84" ht="13.5">
      <c r="A5" s="16" t="s">
        <v>70</v>
      </c>
      <c r="B5" s="16"/>
      <c r="C5" s="88">
        <f>VLOOKUP(VLOOKUP(AU25,$AP$3:$AS$5,2),$AP$22:$BL$24,6)</f>
        <v>38.850768655079897</v>
      </c>
      <c r="D5" s="89">
        <f>VLOOKUP(VLOOKUP(AU25,$AP$3:$AS$5,2),$AP$22:$BL$24,7)</f>
        <v>312.00746533102551</v>
      </c>
      <c r="E5" s="17"/>
      <c r="F5" s="88">
        <f>VLOOKUP(VLOOKUP(AW25,$AP$3:$AS$5,2),$AP$22:$BL$24,8)</f>
        <v>56.036789032619481</v>
      </c>
      <c r="G5" s="89">
        <f>VLOOKUP(VLOOKUP(AW25,$AP$3:$AS$5,2),$AP$22:$BL$24,9)</f>
        <v>211.00868469594195</v>
      </c>
      <c r="H5" s="17"/>
      <c r="I5" s="88">
        <f>VLOOKUP(VLOOKUP(AY25,$AP$3:$AS$5,2),$AP$22:$BL$24,10)</f>
        <v>62.115877399345649</v>
      </c>
      <c r="J5" s="89">
        <f>VLOOKUP(VLOOKUP(AY25,$AP$3:$AS$5,2),$AP$22:$BL$24,11)</f>
        <v>207.69405019705644</v>
      </c>
      <c r="K5" s="17"/>
      <c r="L5" s="88">
        <f>VLOOKUP(VLOOKUP(BA25,$AP$3:$AS$5,2),$AP$22:$BL$24,12)</f>
        <v>62.115877399345649</v>
      </c>
      <c r="M5" s="89">
        <f>VLOOKUP(VLOOKUP(BA25,$AP$3:$AS$5,2),$AP$22:$BL$24,13)</f>
        <v>207.69405019705644</v>
      </c>
      <c r="O5" s="88">
        <f>VLOOKUP(VLOOKUP(AQ25,$AP$3:$AS$5,2),$AP$22:$BL$24,2)</f>
        <v>43.577767971426383</v>
      </c>
      <c r="P5" s="89">
        <f>VLOOKUP(VLOOKUP(AQ25,$AP$3:$AS$5,2),$AP$22:$BL$24,3)</f>
        <v>318.5125373545298</v>
      </c>
      <c r="Q5" s="18"/>
      <c r="R5" s="88">
        <f>VLOOKUP(VLOOKUP($AS$25,$AP$3:$AS$5,2),$AP$22:$BL$24,4)</f>
        <v>29.320369410082726</v>
      </c>
      <c r="S5" s="89">
        <f>VLOOKUP(VLOOKUP(AS25,$AP$3:$AS$5,2),$AP$22:$BL$24,5)</f>
        <v>259.92636916420457</v>
      </c>
      <c r="T5" s="18"/>
      <c r="U5" s="88">
        <f>VLOOKUP(VLOOKUP($BI$25,$AP$3:$AS$5,2),$AP$22:$BL$24,20)</f>
        <v>62.115877399345649</v>
      </c>
      <c r="V5" s="89">
        <f>VLOOKUP(VLOOKUP($BI$25,$AP$3:$AS$5,2),$AP$22:$BL$24,21)</f>
        <v>207.69405019705644</v>
      </c>
      <c r="W5" s="18"/>
      <c r="X5" s="860">
        <f>VLOOKUP(VLOOKUP($BK$25,$AP$3:$AS$5,2),$AP$22:$BL$24,22)</f>
        <v>30.507980365762332</v>
      </c>
      <c r="Y5" s="861">
        <f>VLOOKUP(VLOOKUP($BK$25,$AP$3:$AS$5,2),$AP$22:$BL$24,23)</f>
        <v>251.13021162924139</v>
      </c>
      <c r="Z5" s="17"/>
      <c r="AA5" s="236">
        <f t="shared" ref="AA5:AB7" si="1">IF(PTT_Rx_Z_Sel="Z2(1)",I5,L5)</f>
        <v>62.115877399345649</v>
      </c>
      <c r="AB5" s="237">
        <f t="shared" si="1"/>
        <v>207.69405019705644</v>
      </c>
      <c r="AC5" s="104"/>
      <c r="AD5" s="891">
        <f>VLOOKUP(VLOOKUP(BA25,$AP$3:$AS$5,2),$AP$22:$BL$24,18)</f>
        <v>30.86468248808885</v>
      </c>
      <c r="AE5" s="880">
        <f>VLOOKUP(VLOOKUP(BA25,$AP$3:$AS$5,2),$AP$22:$BL$24,19)</f>
        <v>249.27993341050143</v>
      </c>
      <c r="AF5" s="104"/>
      <c r="AG5" s="287" t="s">
        <v>8</v>
      </c>
      <c r="AH5" s="806">
        <f>COS(RADIANS($C13))*$D13</f>
        <v>24.178922022650806</v>
      </c>
      <c r="AI5" s="806">
        <f>SIN(RADIANS($C13))*$D13</f>
        <v>-11.27481650509462</v>
      </c>
      <c r="AJ5" s="15"/>
      <c r="AK5" s="287" t="s">
        <v>8</v>
      </c>
      <c r="AL5" s="806">
        <f>COS(RADIANS($C35))*$D35</f>
        <v>57.86940528215321</v>
      </c>
      <c r="AM5" s="806">
        <f>SIN(RADIANS($C35))*$D35</f>
        <v>-26.98494685594337</v>
      </c>
      <c r="AN5" s="14"/>
      <c r="AO5" s="6"/>
      <c r="AP5" s="308" t="s">
        <v>62</v>
      </c>
      <c r="AQ5" s="87" t="s">
        <v>67</v>
      </c>
      <c r="AR5" s="87" t="s">
        <v>69</v>
      </c>
      <c r="AS5" s="87" t="s">
        <v>68</v>
      </c>
      <c r="AT5" s="1060" t="b">
        <v>0</v>
      </c>
      <c r="AU5" s="193" t="s">
        <v>407</v>
      </c>
      <c r="AV5" s="253">
        <f>ABS(R_1*2*COS(RADIANS(Z1_Ang-DeltaAng)))</f>
        <v>25.061738132339798</v>
      </c>
      <c r="AW5" s="253">
        <f>ABS(R_1B*2*COS(RADIANS(Z1B_Ang-DeltaAng)))</f>
        <v>17.673653210450297</v>
      </c>
      <c r="AX5" s="253">
        <f>ABS(R_2*2*COS(RADIANS(Z2_Ang-DeltaAng)))</f>
        <v>30.800324961978632</v>
      </c>
      <c r="AY5" s="253">
        <f>ABS(R_3*2*COS(RADIANS(Z3_Ang-DeltaAng)))</f>
        <v>43.375892418647922</v>
      </c>
      <c r="AZ5" s="253">
        <f>ABS(R_4*2*COS(RADIANS(Z4_Ang-DeltaAng)))</f>
        <v>14.287296962720593</v>
      </c>
      <c r="BA5" s="253">
        <f>ABS(R_5*2*COS(RADIANS(Z5_Ang-DeltaAng)))</f>
        <v>8.6049191070444948</v>
      </c>
      <c r="BB5" s="670">
        <f>ABS(R_6*2*COS(RADIANS(Z6_Ang-DeltaAng)))</f>
        <v>9.033957952044787</v>
      </c>
      <c r="BC5" s="522">
        <f>ABS(R_ND*2*COS(RADIANS(ZND_Ang-DeltaAng)))</f>
        <v>21.678781186475632</v>
      </c>
      <c r="BE5" s="253">
        <f>ABS(ER_1*COS(RADIANS(Z1E_Ang-DeltaAng)))</f>
        <v>64.307673205062869</v>
      </c>
      <c r="BF5" s="253">
        <f>ABS(ER_1B*COS(RADIANS(Z1BE_Ang-DeltaAng)))</f>
        <v>30.184165264377665</v>
      </c>
      <c r="BG5" s="253">
        <f>ABS(ER_2*COS(RADIANS(Z2E_Ang-DeltaAng)))</f>
        <v>99.043757964091924</v>
      </c>
      <c r="BH5" s="253">
        <f>ABS(ER_3*COS(RADIANS(Z3E_Ang-DeltaAng)))</f>
        <v>96.193505586626443</v>
      </c>
      <c r="BI5" s="253">
        <f>ABS(ER_4*COS(RADIANS(Z4E_Ang-DeltaAng)))</f>
        <v>20.854206631434909</v>
      </c>
      <c r="BJ5" s="253">
        <f>ABS(ER_5*COS(RADIANS(Z5E_Ang-DeltaAng)))</f>
        <v>14.424781839395253</v>
      </c>
      <c r="BK5" s="533"/>
      <c r="BL5" s="670">
        <f>ABS(ER_6*COS(RADIANS(Z5E_Ang-DeltaAng)))</f>
        <v>14.424781839395253</v>
      </c>
      <c r="BM5" s="533"/>
      <c r="BN5" s="103">
        <f>O19</f>
        <v>229.83527520041707</v>
      </c>
      <c r="BO5" s="99">
        <f>C21</f>
        <v>90</v>
      </c>
      <c r="BP5" s="101">
        <f>F21</f>
        <v>90</v>
      </c>
      <c r="BQ5" s="101">
        <f t="shared" si="0"/>
        <v>90</v>
      </c>
      <c r="BR5" s="6"/>
      <c r="BS5" s="32">
        <f t="shared" ref="BS5:BT36" si="2">AH5*$BW$4</f>
        <v>24.178922022650806</v>
      </c>
      <c r="BT5" s="32">
        <f t="shared" si="2"/>
        <v>-11.27481650509462</v>
      </c>
      <c r="BU5" s="6"/>
      <c r="BV5" s="32">
        <f t="shared" ref="BV5:BV15" si="3">AL5*$BW$4</f>
        <v>57.86940528215321</v>
      </c>
      <c r="BW5" s="32">
        <f t="shared" ref="BW5:BW15" si="4">AM5*$BW$4</f>
        <v>-26.98494685594337</v>
      </c>
      <c r="BX5" s="6"/>
      <c r="BY5" s="6"/>
      <c r="CA5" s="6"/>
      <c r="CB5" s="6"/>
      <c r="CC5" s="6"/>
      <c r="CD5" s="6"/>
      <c r="CE5" s="6"/>
      <c r="CF5" s="6"/>
    </row>
    <row r="6" spans="1:84" ht="13.5">
      <c r="A6" s="16" t="s">
        <v>71</v>
      </c>
      <c r="B6" s="16"/>
      <c r="C6" s="88">
        <f>VLOOKUP(VLOOKUP(AU25,$AP$3:$AS$5,3),$AP$22:$BL$24,6)</f>
        <v>38.850768655079897</v>
      </c>
      <c r="D6" s="89">
        <f>VLOOKUP(VLOOKUP(AU25,$AP$3:$AS$5,3),$AP$22:$BL$24,7)</f>
        <v>227.99253466897449</v>
      </c>
      <c r="E6" s="21"/>
      <c r="F6" s="88">
        <f>VLOOKUP(VLOOKUP(AW25,$AP$3:$AS$5,3),$AP$22:$BL$24,8)</f>
        <v>57.736720554272516</v>
      </c>
      <c r="G6" s="89">
        <f>VLOOKUP(VLOOKUP(AW25,$AP$3:$AS$5,3),$AP$22:$BL$24,9)</f>
        <v>90</v>
      </c>
      <c r="H6" s="20"/>
      <c r="I6" s="88">
        <f>VLOOKUP(VLOOKUP(AY25,$AP$3:$AS$5,3),$AP$22:$BL$24,10)</f>
        <v>57.736720554272516</v>
      </c>
      <c r="J6" s="89">
        <f>VLOOKUP(VLOOKUP(AY25,$AP$3:$AS$5,3),$AP$22:$BL$24,11)</f>
        <v>90</v>
      </c>
      <c r="K6" s="21"/>
      <c r="L6" s="88">
        <f>VLOOKUP(VLOOKUP(BA25,$AP$3:$AS$5,3),$AP$22:$BL$24,12)</f>
        <v>57.736720554272516</v>
      </c>
      <c r="M6" s="89">
        <f>VLOOKUP(VLOOKUP(BA25,$AP$3:$AS$5,3),$AP$22:$BL$24,13)</f>
        <v>90</v>
      </c>
      <c r="O6" s="88">
        <f>VLOOKUP(VLOOKUP(AQ25,$AP$3:$AS$5,3),$AP$22:$BL$24,2)</f>
        <v>43.577767971426383</v>
      </c>
      <c r="P6" s="89">
        <f>VLOOKUP(VLOOKUP(AQ25,$AP$3:$AS$5,3),$AP$22:$BL$24,3)</f>
        <v>221.4874626454702</v>
      </c>
      <c r="Q6" s="18"/>
      <c r="R6" s="88">
        <f>VLOOKUP(VLOOKUP($AS$25,$AP$3:$AS$5,3),$AP$22:$BL$24,4)</f>
        <v>57.736720554272516</v>
      </c>
      <c r="S6" s="89">
        <f>VLOOKUP(VLOOKUP(AS25,$AP$3:$AS$5,3),$AP$22:$BL$24,5)</f>
        <v>90</v>
      </c>
      <c r="T6" s="18"/>
      <c r="U6" s="88">
        <f>VLOOKUP(VLOOKUP($BI$25,$AP$3:$AS$5,3),$AP$22:$BL$24,20)</f>
        <v>57.736720554272516</v>
      </c>
      <c r="V6" s="89">
        <f>VLOOKUP(VLOOKUP($BI$25,$AP$3:$AS$5,3),$AP$22:$BL$24,21)</f>
        <v>90</v>
      </c>
      <c r="W6" s="18"/>
      <c r="X6" s="860">
        <f>VLOOKUP(VLOOKUP($BK$25,$AP$3:$AS$5,3),$AP$22:$BL$24,22)</f>
        <v>57.736720554272516</v>
      </c>
      <c r="Y6" s="861">
        <f>VLOOKUP(VLOOKUP($BK$25,$AP$3:$AS$5,3),$AP$22:$BL$24,23)</f>
        <v>90</v>
      </c>
      <c r="Z6" s="21"/>
      <c r="AA6" s="236">
        <f t="shared" si="1"/>
        <v>57.736720554272516</v>
      </c>
      <c r="AB6" s="237">
        <f t="shared" si="1"/>
        <v>90</v>
      </c>
      <c r="AC6" s="104"/>
      <c r="AD6" s="891">
        <f>VLOOKUP(VLOOKUP(BA25,$AP$3:$AS$5,3),$AP$22:$BL$24,18)</f>
        <v>57.736720554272516</v>
      </c>
      <c r="AE6" s="880">
        <f>VLOOKUP(VLOOKUP(BA25,$AP$3:$AS$5,3),$AP$22:$BL$24,19)</f>
        <v>90</v>
      </c>
      <c r="AF6" s="104"/>
      <c r="AG6" s="287">
        <f>C14</f>
        <v>-12.5</v>
      </c>
      <c r="AH6" s="806">
        <f>IF($D14="",AH5,COS(RADIANS($C14))*$D14)</f>
        <v>25.674839903246244</v>
      </c>
      <c r="AI6" s="806">
        <f>IF($D14="",AI5,SIN(RADIANS($C14))*$D14)</f>
        <v>-5.6919749707616685</v>
      </c>
      <c r="AJ6" s="15"/>
      <c r="AK6" s="287">
        <f>C36</f>
        <v>-12.5</v>
      </c>
      <c r="AL6" s="806">
        <f>IF($D36="",AL5,COS(RADIANS($C36))*$D36)</f>
        <v>61.449708739019499</v>
      </c>
      <c r="AM6" s="806">
        <f>IF($D36="",AM5,SIN(RADIANS($C36))*$D36)</f>
        <v>-13.623072448403844</v>
      </c>
      <c r="AN6" s="14"/>
      <c r="AO6" s="3"/>
      <c r="AP6" s="41" t="s">
        <v>22</v>
      </c>
      <c r="AQ6" s="41"/>
      <c r="AR6" s="41"/>
      <c r="AS6" s="41"/>
      <c r="AT6" s="490" t="str">
        <f>IF(AT3=TRUE,"R-S",IF(AT4=TRUE,"S-T","T-R"))</f>
        <v>R-S</v>
      </c>
      <c r="AU6" s="193" t="s">
        <v>409</v>
      </c>
      <c r="AV6" s="265">
        <f>AV4/TAN(RADIANS(Slope-Z1_Ang+DeltaAng))</f>
        <v>8.2206020073330741</v>
      </c>
      <c r="AW6" s="265">
        <f>AW4/TAN(RADIANS(Slope-Z1B_Ang+DeltaAng))</f>
        <v>12.460492026908586</v>
      </c>
      <c r="AX6" s="265">
        <f>AX4/TAN(RADIANS(Slope-Z2_Ang+DeltaAng))</f>
        <v>12.106592193956878</v>
      </c>
      <c r="AY6" s="265">
        <f>AY4/TAN(RADIANS(Slope-Z3_Ang+DeltaAng))</f>
        <v>24.721890204653029</v>
      </c>
      <c r="AZ6" s="265">
        <f>AZ4/TAN(RADIANS(Slope-Z4_Ang+DeltaAng))</f>
        <v>6.4289576381344409</v>
      </c>
      <c r="BA6" s="265">
        <f>BA4/TAN(RADIANS(Slope-Z5_Ang+DeltaAng))</f>
        <v>42.692236256285248</v>
      </c>
      <c r="BB6" s="671">
        <f>BB4/TAN(RADIANS(Slope-Z6_Ang+DeltaAng))</f>
        <v>37.549349242306121</v>
      </c>
      <c r="BC6" s="523">
        <f>BC4/TAN(RADIANS(Slope-ZND_Ang+DeltaAng))</f>
        <v>71.040191973655638</v>
      </c>
      <c r="BE6" s="265">
        <f>BE4/TAN(RADIANS(Slope-Z1E_Ang+DeltaAng))</f>
        <v>4.4973834163965707</v>
      </c>
      <c r="BF6" s="265">
        <f>BF4/TAN(RADIANS(Slope-Z1BE_Ang+DeltaAng))</f>
        <v>9.6940330782618851</v>
      </c>
      <c r="BG6" s="265">
        <f>BG4/TAN(RADIANS(Slope-Z2E_Ang+DeltaAng))</f>
        <v>5.8362146018595036</v>
      </c>
      <c r="BH6" s="265">
        <f>BH4/TAN(RADIANS(Slope-Z3E_Ang+DeltaAng))</f>
        <v>16.329089487115407</v>
      </c>
      <c r="BI6" s="265">
        <f>BI4/TAN(RADIANS(Slope-Z4E_Ang+DeltaAng))</f>
        <v>7.0721710384458776</v>
      </c>
      <c r="BJ6" s="265">
        <f>BJ4/TAN(RADIANS(Slope-Z5E_Ang+DeltaAng))</f>
        <v>38.543450156165697</v>
      </c>
      <c r="BK6" s="534"/>
      <c r="BL6" s="671">
        <f>BL4/TAN(RADIANS(Slope-Z5E_Ang+DeltaAng))</f>
        <v>38.543450156165697</v>
      </c>
      <c r="BM6" s="533"/>
      <c r="BN6" s="103">
        <f>O21</f>
        <v>270</v>
      </c>
      <c r="BO6" s="99">
        <f>180-BO4</f>
        <v>143.96792769857493</v>
      </c>
      <c r="BP6" s="101">
        <f>180-BP4</f>
        <v>134</v>
      </c>
      <c r="BQ6" s="101">
        <f t="shared" si="0"/>
        <v>134</v>
      </c>
      <c r="BR6" s="3"/>
      <c r="BS6" s="32">
        <f t="shared" si="2"/>
        <v>25.674839903246244</v>
      </c>
      <c r="BT6" s="32">
        <f t="shared" si="2"/>
        <v>-5.6919749707616685</v>
      </c>
      <c r="BU6" s="3"/>
      <c r="BV6" s="32">
        <f t="shared" si="3"/>
        <v>61.449708739019499</v>
      </c>
      <c r="BW6" s="32">
        <f t="shared" si="4"/>
        <v>-13.623072448403844</v>
      </c>
      <c r="BX6" s="3"/>
      <c r="BY6" s="3"/>
      <c r="CA6" s="3"/>
      <c r="CB6" s="3"/>
      <c r="CC6" s="3"/>
      <c r="CD6" s="3"/>
      <c r="CE6" s="3"/>
      <c r="CF6" s="3" t="s">
        <v>409</v>
      </c>
    </row>
    <row r="7" spans="1:84" ht="13.5">
      <c r="A7" s="16" t="s">
        <v>72</v>
      </c>
      <c r="B7" s="16"/>
      <c r="C7" s="88">
        <f>VLOOKUP(VLOOKUP(AU25,$AP$3:$AS$5,4),$AP$22:$BL$24,6)</f>
        <v>57.736720554272516</v>
      </c>
      <c r="D7" s="89">
        <f>VLOOKUP(VLOOKUP(AU25,$AP$3:$AS$5,4),$AP$22:$BL$24,7)</f>
        <v>90</v>
      </c>
      <c r="E7" s="21"/>
      <c r="F7" s="88">
        <f>VLOOKUP(VLOOKUP(AW25,$AP$3:$AS$5,4),$AP$22:$BL$24,8)</f>
        <v>56.036789032619481</v>
      </c>
      <c r="G7" s="89">
        <f>VLOOKUP(VLOOKUP(AW25,$AP$3:$AS$5,4),$AP$22:$BL$24,9)</f>
        <v>328.99131530405805</v>
      </c>
      <c r="H7" s="20"/>
      <c r="I7" s="88">
        <f>VLOOKUP(VLOOKUP(AY25,$AP$3:$AS$5,4),$AP$22:$BL$24,10)</f>
        <v>62.115877399345649</v>
      </c>
      <c r="J7" s="89">
        <f>VLOOKUP(VLOOKUP(AY25,$AP$3:$AS$5,4),$AP$22:$BL$24,11)</f>
        <v>332.30594980294353</v>
      </c>
      <c r="K7" s="21"/>
      <c r="L7" s="88">
        <f>VLOOKUP(VLOOKUP(BA25,$AP$3:$AS$5,4),$AP$22:$BL$24,12)</f>
        <v>62.115877399345649</v>
      </c>
      <c r="M7" s="89">
        <f>VLOOKUP(VLOOKUP(BA25,$AP$3:$AS$5,4),$AP$22:$BL$24,13)</f>
        <v>332.30594980294353</v>
      </c>
      <c r="O7" s="88">
        <f>VLOOKUP(VLOOKUP(AQ25,$AP$3:$AS$5,4),$AP$22:$BL$24,2)</f>
        <v>57.736720554272516</v>
      </c>
      <c r="P7" s="89">
        <f>VLOOKUP(VLOOKUP(AQ25,$AP$3:$AS$5,4),$AP$22:$BL$24,3)</f>
        <v>90</v>
      </c>
      <c r="Q7" s="18"/>
      <c r="R7" s="88">
        <f>VLOOKUP(VLOOKUP($AS$25,$AP$3:$AS$5,4),$AP$22:$BL$24,4)</f>
        <v>29.320369410082726</v>
      </c>
      <c r="S7" s="89">
        <f>VLOOKUP(VLOOKUP(AS25,$AP$3:$AS$5,4),$AP$22:$BL$24,5)</f>
        <v>280.07363083579543</v>
      </c>
      <c r="T7" s="18"/>
      <c r="U7" s="88">
        <f>VLOOKUP(VLOOKUP($BI$25,$AP$3:$AS$5,4),$AP$22:$BL$24,20)</f>
        <v>62.115877399345649</v>
      </c>
      <c r="V7" s="89">
        <f>VLOOKUP(VLOOKUP($BI$25,$AP$3:$AS$5,4),$AP$22:$BL$24,21)</f>
        <v>332.30594980294353</v>
      </c>
      <c r="W7" s="18"/>
      <c r="X7" s="860">
        <f>VLOOKUP(VLOOKUP($BK$25,$AP$3:$AS$5,4),$AP$22:$BL$24,22)</f>
        <v>30.507980365762332</v>
      </c>
      <c r="Y7" s="861">
        <f>VLOOKUP(VLOOKUP($BK$25,$AP$3:$AS$5,4),$AP$22:$BL$24,23)</f>
        <v>288.86978837075861</v>
      </c>
      <c r="Z7" s="21"/>
      <c r="AA7" s="236">
        <f t="shared" si="1"/>
        <v>62.115877399345649</v>
      </c>
      <c r="AB7" s="237">
        <f t="shared" si="1"/>
        <v>332.30594980294353</v>
      </c>
      <c r="AC7" s="104"/>
      <c r="AD7" s="891">
        <f>VLOOKUP(VLOOKUP(BA25,$AP$3:$AS$5,4),$AP$22:$BL$24,18)</f>
        <v>30.86468248808885</v>
      </c>
      <c r="AE7" s="880">
        <f>VLOOKUP(VLOOKUP(BA25,$AP$3:$AS$5,4),$AP$22:$BL$24,19)</f>
        <v>290.72006658949857</v>
      </c>
      <c r="AF7" s="104"/>
      <c r="AG7" s="287">
        <f t="shared" ref="AG7:AG15" si="5">C15</f>
        <v>0</v>
      </c>
      <c r="AH7" s="806">
        <f t="shared" ref="AH7:AH15" si="6">IF($D15="",AH6,COS(RADIANS($C15))*$D15)</f>
        <v>27.2</v>
      </c>
      <c r="AI7" s="806">
        <f t="shared" ref="AI7:AI15" si="7">IF($D15="",AI6,SIN(RADIANS($C15))*$D15)</f>
        <v>0</v>
      </c>
      <c r="AJ7" s="15"/>
      <c r="AK7" s="287">
        <f t="shared" ref="AK7:AK15" si="8">C37</f>
        <v>0</v>
      </c>
      <c r="AL7" s="806">
        <f t="shared" ref="AL7:AL15" si="9">IF($D37="",AL6,COS(RADIANS($C37))*$D37)</f>
        <v>65.099999999999994</v>
      </c>
      <c r="AM7" s="806">
        <f t="shared" ref="AM7:AM15" si="10">IF($D37="",AM6,SIN(RADIANS($C37))*$D37)</f>
        <v>0</v>
      </c>
      <c r="AN7" s="14"/>
      <c r="AO7" s="3"/>
      <c r="AP7" s="41" t="s">
        <v>4</v>
      </c>
      <c r="AQ7" s="41"/>
      <c r="AR7" s="41" t="s">
        <v>5</v>
      </c>
      <c r="AS7" s="41"/>
      <c r="AT7" s="3"/>
      <c r="AU7" s="295" t="s">
        <v>406</v>
      </c>
      <c r="AV7" s="189">
        <f t="shared" ref="AV7:BB7" si="11">SUM(AV5:AV6)</f>
        <v>33.282340139672868</v>
      </c>
      <c r="AW7" s="189">
        <f t="shared" si="11"/>
        <v>30.134145237358883</v>
      </c>
      <c r="AX7" s="189">
        <f t="shared" si="11"/>
        <v>42.90691715593551</v>
      </c>
      <c r="AY7" s="189">
        <f t="shared" si="11"/>
        <v>68.097782623300958</v>
      </c>
      <c r="AZ7" s="189">
        <f t="shared" si="11"/>
        <v>20.716254600855034</v>
      </c>
      <c r="BA7" s="189">
        <f t="shared" si="11"/>
        <v>51.297155363329743</v>
      </c>
      <c r="BB7" s="672">
        <f t="shared" si="11"/>
        <v>46.583307194350908</v>
      </c>
      <c r="BC7" s="524">
        <f>SUM(BC5:BC6)</f>
        <v>92.71897316013127</v>
      </c>
      <c r="BE7" s="189">
        <f t="shared" ref="BE7:BL7" si="12">BE5+BE6</f>
        <v>68.805056621459443</v>
      </c>
      <c r="BF7" s="189">
        <f t="shared" si="12"/>
        <v>39.87819834263955</v>
      </c>
      <c r="BG7" s="189">
        <f t="shared" si="12"/>
        <v>104.87997256595143</v>
      </c>
      <c r="BH7" s="189">
        <f t="shared" si="12"/>
        <v>112.52259507374185</v>
      </c>
      <c r="BI7" s="189">
        <f t="shared" si="12"/>
        <v>27.926377669880786</v>
      </c>
      <c r="BJ7" s="189">
        <f t="shared" si="12"/>
        <v>52.968231995560949</v>
      </c>
      <c r="BK7" s="535"/>
      <c r="BL7" s="672">
        <f t="shared" si="12"/>
        <v>52.968231995560949</v>
      </c>
      <c r="BM7" s="535"/>
      <c r="BN7" s="103">
        <f>O22</f>
        <v>297.5</v>
      </c>
      <c r="BO7" s="99">
        <f>180-BO3</f>
        <v>161.32863601841706</v>
      </c>
      <c r="BP7" s="101">
        <f>180-BP3</f>
        <v>154</v>
      </c>
      <c r="BQ7" s="101">
        <f t="shared" si="0"/>
        <v>154</v>
      </c>
      <c r="BR7" s="3"/>
      <c r="BS7" s="32">
        <f t="shared" si="2"/>
        <v>27.2</v>
      </c>
      <c r="BT7" s="32">
        <f t="shared" si="2"/>
        <v>0</v>
      </c>
      <c r="BU7" s="3"/>
      <c r="BV7" s="32">
        <f t="shared" si="3"/>
        <v>65.099999999999994</v>
      </c>
      <c r="BW7" s="32">
        <f t="shared" si="4"/>
        <v>0</v>
      </c>
      <c r="BX7" s="3"/>
      <c r="BY7" s="3"/>
      <c r="CA7" s="3"/>
      <c r="CB7" s="3"/>
      <c r="CC7" s="3"/>
      <c r="CD7" s="3"/>
      <c r="CE7" s="3"/>
      <c r="CF7" s="3"/>
    </row>
    <row r="8" spans="1:84" ht="13.5">
      <c r="A8" s="16" t="s">
        <v>1016</v>
      </c>
      <c r="B8" s="3"/>
      <c r="C8" s="69"/>
      <c r="D8" s="21">
        <f>TestVZ1/MIN(D13:D23)*I_Nom*1.1</f>
        <v>3.7730870712401057</v>
      </c>
      <c r="E8" s="824"/>
      <c r="F8" s="399"/>
      <c r="G8" s="21">
        <f>ROUND(TestVZ1B/MIN(G13:G23)*I_Nom*1.1,1)</f>
        <v>5.7</v>
      </c>
      <c r="H8" s="21"/>
      <c r="I8" s="824"/>
      <c r="J8" s="21">
        <f>TestVZ2/MIN(J13:J23)*I_Nom*1.1</f>
        <v>5.7237464522232742</v>
      </c>
      <c r="K8" s="824"/>
      <c r="L8" s="824"/>
      <c r="M8" s="21">
        <f>TestVZ3/MIN(M13:M23)*I_Nom*1.1</f>
        <v>3.1025641025641031</v>
      </c>
      <c r="N8" s="818"/>
      <c r="O8" s="399"/>
      <c r="P8" s="21">
        <f>TestVZ4/MIN(P13:P23)*I_Nom*1.1</f>
        <v>6.649731473223448</v>
      </c>
      <c r="Q8" s="399"/>
      <c r="R8" s="399"/>
      <c r="S8" s="21">
        <f>TestVZ5/MIN(S13:S23)*I_Nom*1.1</f>
        <v>0.70517310680985823</v>
      </c>
      <c r="T8" s="399"/>
      <c r="U8" s="21"/>
      <c r="V8" s="21">
        <f>TestVZND/MIN(V13:V22)*I_Nom*1.1</f>
        <v>3.3611111111111116</v>
      </c>
      <c r="W8" s="399"/>
      <c r="X8" s="862"/>
      <c r="Y8" s="862">
        <f>TestVZND/MIN(Y13:Y22)*I_Nom*1.1</f>
        <v>7.8218243783159389</v>
      </c>
      <c r="Z8" s="824"/>
      <c r="AA8" s="825"/>
      <c r="AB8" s="821">
        <f>IF(PTT_Rx_Z_Sel="Z2(1)",J8,M8)</f>
        <v>5.7237464522232742</v>
      </c>
      <c r="AC8" s="22"/>
      <c r="AD8" s="22"/>
      <c r="AE8" s="21">
        <f>TestVSOTF/MIN(AW30:AW40)*I_Nom*1.1</f>
        <v>1.5846965699208444</v>
      </c>
      <c r="AF8" s="22"/>
      <c r="AG8" s="287">
        <f t="shared" si="5"/>
        <v>10.035971563435497</v>
      </c>
      <c r="AH8" s="806">
        <f t="shared" si="6"/>
        <v>28.554036585751941</v>
      </c>
      <c r="AI8" s="806">
        <f t="shared" si="7"/>
        <v>5.0533333333333346</v>
      </c>
      <c r="AJ8" s="15"/>
      <c r="AK8" s="287">
        <f t="shared" si="8"/>
        <v>5</v>
      </c>
      <c r="AL8" s="806">
        <f t="shared" si="9"/>
        <v>66.662742455865924</v>
      </c>
      <c r="AM8" s="806">
        <f t="shared" si="10"/>
        <v>5.8322342444365818</v>
      </c>
      <c r="AN8" s="14"/>
      <c r="AO8" s="3"/>
      <c r="AP8" s="40" t="s">
        <v>352</v>
      </c>
      <c r="AQ8" s="40" t="s">
        <v>353</v>
      </c>
      <c r="AT8" s="3"/>
      <c r="AU8" s="270" t="s">
        <v>427</v>
      </c>
      <c r="AV8" s="271">
        <f>_Dir1-DEGREES(ATAN(X_1/(R_1-X_1/TAN(RADIANS(Slope)))))</f>
        <v>-33.232911027703281</v>
      </c>
      <c r="AW8" s="271">
        <f>Dir1B-DEGREES(ATAN(X_1B/(R_1B-X_1B/TAN(RADIANS(Slope)))))</f>
        <v>-49.428281251125661</v>
      </c>
      <c r="AX8" s="271">
        <f>_Dir2-DEGREES(ATAN(X_2/(R_2-X_2/TAN(RADIANS(Slope)))))</f>
        <v>-36.725116674474194</v>
      </c>
      <c r="AY8" s="271">
        <f>_Dir3-DEGREES(ATAN(X_3/(R_3-X_3/TAN(RADIANS(Slope)))))</f>
        <v>-44.598840089283442</v>
      </c>
      <c r="AZ8" s="271">
        <f>_Dir4-DEGREES(ATAN(X_4/(R_4-X_4/TAN(RADIANS(Slope)))))</f>
        <v>140.51008845272509</v>
      </c>
      <c r="BA8" s="271">
        <f>_Dir5-DEGREES(ATAN(X_5/(R_5-X_5/TAN(RADIANS(Slope)))))</f>
        <v>91.756693433144548</v>
      </c>
      <c r="BB8" s="673">
        <f>_Dir6-DEGREES(ATAN(X_6/(R_6-X_6/TAN(RADIANS(Slope)))))</f>
        <v>94.228250423031042</v>
      </c>
      <c r="BC8" s="525">
        <f>180-DEGREES(ATAN(X_ND/(R_ND-X_ND/TAN(RADIANS(Slope)))))</f>
        <v>97.929743724908434</v>
      </c>
      <c r="BE8" s="271">
        <f>_Dir1-DEGREES(ATAN(EX_1/(ER_1-EX_1/TAN(RADIANS(Slope)))))</f>
        <v>-13.424253434149941</v>
      </c>
      <c r="BF8" s="271">
        <f>Dir1B-DEGREES(ATAN(EX_1B/(ER_1B-EX_1B/TAN(RADIANS(Slope)))))</f>
        <v>-32.841756757249733</v>
      </c>
      <c r="BG8" s="271">
        <f>_Dir2-DEGREES(ATAN(EX_2/(ER_2-EX_2/TAN(RADIANS(Slope)))))</f>
        <v>-12.155929182292606</v>
      </c>
      <c r="BH8" s="271">
        <f>_Dir3-DEGREES(ATAN(EX_3/(ER_3-EX_3/TAN(RADIANS(Slope)))))</f>
        <v>-22.691058298915785</v>
      </c>
      <c r="BI8" s="271">
        <f>_Dir4-DEGREES(ATAN(EX_4/(ER_4-EX_4/TAN(RADIANS(Slope)))))</f>
        <v>146.14277009115762</v>
      </c>
      <c r="BJ8" s="271">
        <f>_Dir6-DEGREES(ATAN(EX_5/(ER_5-EX_5/TAN(RADIANS(Slope)))))</f>
        <v>101.46464784987184</v>
      </c>
      <c r="BK8" s="536"/>
      <c r="BL8" s="673">
        <f>_Dir6-DEGREES(ATAN(EX_6/(ER_6-EX_6/TAN(RADIANS(Slope)))))</f>
        <v>105.66137087113168</v>
      </c>
      <c r="BM8" s="988"/>
      <c r="BN8" s="103">
        <f>R13</f>
        <v>125</v>
      </c>
      <c r="BO8" s="99">
        <f t="shared" ref="BO8:BP13" si="13">BO2+180</f>
        <v>180</v>
      </c>
      <c r="BP8" s="101">
        <f t="shared" si="13"/>
        <v>180</v>
      </c>
      <c r="BQ8" s="101">
        <f t="shared" si="0"/>
        <v>180</v>
      </c>
      <c r="BR8" s="3"/>
      <c r="BS8" s="32">
        <f t="shared" si="2"/>
        <v>28.554036585751941</v>
      </c>
      <c r="BT8" s="32">
        <f t="shared" si="2"/>
        <v>5.0533333333333346</v>
      </c>
      <c r="BU8" s="3"/>
      <c r="BV8" s="32">
        <f t="shared" si="3"/>
        <v>66.662742455865924</v>
      </c>
      <c r="BW8" s="32">
        <f t="shared" si="4"/>
        <v>5.8322342444365818</v>
      </c>
      <c r="BX8" s="3"/>
      <c r="BY8" s="3"/>
      <c r="CA8" s="3"/>
      <c r="CB8" s="3"/>
      <c r="CC8" s="267"/>
      <c r="CD8" s="38" t="s">
        <v>407</v>
      </c>
      <c r="CE8" s="267" t="s">
        <v>408</v>
      </c>
      <c r="CF8" s="3"/>
    </row>
    <row r="9" spans="1:84" ht="13.5">
      <c r="A9" s="16" t="s">
        <v>23</v>
      </c>
      <c r="B9" s="14"/>
      <c r="C9" s="14"/>
      <c r="D9" s="39">
        <f>T_1*50+5</f>
        <v>5</v>
      </c>
      <c r="E9" s="14"/>
      <c r="F9" s="14"/>
      <c r="G9" s="39">
        <f>T_1B*50+5</f>
        <v>5</v>
      </c>
      <c r="H9" s="39"/>
      <c r="I9" s="14"/>
      <c r="J9" s="39">
        <f>T_2*50+5</f>
        <v>25</v>
      </c>
      <c r="K9" s="14"/>
      <c r="L9" s="14"/>
      <c r="M9" s="39">
        <f>T_3*50+5</f>
        <v>230</v>
      </c>
      <c r="O9" s="14"/>
      <c r="P9" s="39">
        <f>T_4*50+5</f>
        <v>30</v>
      </c>
      <c r="Q9" s="14"/>
      <c r="R9" s="14"/>
      <c r="S9" s="39">
        <f>T_5*50+5</f>
        <v>60.000000000000007</v>
      </c>
      <c r="T9" s="14"/>
      <c r="U9" s="21"/>
      <c r="V9" s="39">
        <f>t_ND*50+5</f>
        <v>505</v>
      </c>
      <c r="W9" s="14"/>
      <c r="X9" s="862"/>
      <c r="Y9" s="863"/>
      <c r="Z9" s="14"/>
      <c r="AA9" s="239"/>
      <c r="AB9" s="822">
        <v>5</v>
      </c>
      <c r="AC9" s="39"/>
      <c r="AD9" s="39"/>
      <c r="AE9" s="39">
        <f>IF(SOTF_OC_Only=TRUE,D9,5)</f>
        <v>5</v>
      </c>
      <c r="AF9" s="240"/>
      <c r="AG9" s="287">
        <f t="shared" si="5"/>
        <v>18.67136398158295</v>
      </c>
      <c r="AH9" s="806">
        <f t="shared" si="6"/>
        <v>29.908073171503879</v>
      </c>
      <c r="AI9" s="806">
        <f t="shared" si="7"/>
        <v>10.106666666666669</v>
      </c>
      <c r="AJ9" s="15"/>
      <c r="AK9" s="287">
        <f t="shared" si="8"/>
        <v>10</v>
      </c>
      <c r="AL9" s="806">
        <f t="shared" si="9"/>
        <v>68.328284029656061</v>
      </c>
      <c r="AM9" s="806">
        <f t="shared" si="10"/>
        <v>12.048120019939679</v>
      </c>
      <c r="AN9" s="14"/>
      <c r="AO9" s="3"/>
      <c r="AP9" s="42">
        <f>DEGREES(ATAN(TestVZ4/(Vh)))</f>
        <v>48.51253735452979</v>
      </c>
      <c r="AQ9" s="42">
        <f>DEGREES(ATAN(TestVZ5/(Vh)))</f>
        <v>10.073630835795415</v>
      </c>
      <c r="AT9" s="3"/>
      <c r="AU9" s="272" t="s">
        <v>441</v>
      </c>
      <c r="AV9" s="299">
        <f>SQRT((R_1-X_1/TAN(RADIANS(Slope)))^2+X_1^2)*2</f>
        <v>27.662023875437534</v>
      </c>
      <c r="AW9" s="299">
        <f>SQRT((R_1B-X_1B/TAN(RADIANS(Slope)))^2+X_1B^2)*2</f>
        <v>24.592135302290231</v>
      </c>
      <c r="AX9" s="299">
        <f>SQRT((R_2-X_2/TAN(RADIANS(Slope)))^2+X_2^2)*2</f>
        <v>35.352556124947732</v>
      </c>
      <c r="AY9" s="299">
        <f>SQRT((R_3-X_3/TAN(RADIANS(Slope)))^2+X_3^2)*2</f>
        <v>55.544586021227772</v>
      </c>
      <c r="AZ9" s="299">
        <f>SQRT((R_4-X_4/TAN(RADIANS(Slope)))^2+X_4^2)*2</f>
        <v>16.982671589489936</v>
      </c>
      <c r="BA9" s="299">
        <f>SQRT((R_5-X_5/TAN(RADIANS(Slope)))^2+X_5^2)*2</f>
        <v>53.60519356011492</v>
      </c>
      <c r="BB9" s="674">
        <f>SQRT((R_6-X_6/TAN(RADIANS(Slope)))^2+X_6^2)*2</f>
        <v>46.927725774178732</v>
      </c>
      <c r="BC9" s="526">
        <f>SQRT((R_ND-X_ND/TAN(RADIANS(Slope)))^2+X_ND^2)*2</f>
        <v>89.253443321995192</v>
      </c>
      <c r="BE9" s="299">
        <f>SQRT((ER_1-EX_1/TAN(RADIANS(Slope)))^2+EX_1^2)</f>
        <v>62.905559357315553</v>
      </c>
      <c r="BF9" s="299">
        <f>SQRT((ER_1B-EX_1B/TAN(RADIANS(Slope)))^2+EX_1B^2)</f>
        <v>33.181598668043591</v>
      </c>
      <c r="BG9" s="299">
        <f>SQRT((ER_2-EX_2/TAN(RADIANS(Slope)))^2+EX_2^2)</f>
        <v>96.711705573008686</v>
      </c>
      <c r="BH9" s="299">
        <f>SQRT((ER_3-EX_3/TAN(RADIANS(Slope)))^2+EX_3^2)</f>
        <v>97.469407888237697</v>
      </c>
      <c r="BI9" s="299">
        <f>SQRT((ER_4-EX_4/TAN(RADIANS(Slope)))^2+EX_4^2)</f>
        <v>23.170129080275231</v>
      </c>
      <c r="BJ9" s="299">
        <f>SQRT((ER_5-EX_5/TAN(RADIANS(Slope)))^2+EX_5^2)</f>
        <v>49.201695331620009</v>
      </c>
      <c r="BK9" s="537"/>
      <c r="BL9" s="674">
        <f>SQRT((ER_6-EX_6/TAN(RADIANS(Slope)))^2+EX_6^2)</f>
        <v>42.996281319564687</v>
      </c>
      <c r="BM9" s="537"/>
      <c r="BN9" s="103">
        <f>R15</f>
        <v>180</v>
      </c>
      <c r="BO9" s="99">
        <f t="shared" si="13"/>
        <v>198.67136398158294</v>
      </c>
      <c r="BP9" s="101">
        <f t="shared" si="13"/>
        <v>206</v>
      </c>
      <c r="BQ9" s="101">
        <f t="shared" si="0"/>
        <v>206</v>
      </c>
      <c r="BR9" s="3"/>
      <c r="BS9" s="32">
        <f t="shared" si="2"/>
        <v>29.908073171503879</v>
      </c>
      <c r="BT9" s="32">
        <f t="shared" si="2"/>
        <v>10.106666666666669</v>
      </c>
      <c r="BU9" s="3"/>
      <c r="BV9" s="32">
        <f t="shared" si="3"/>
        <v>68.328284029656061</v>
      </c>
      <c r="BW9" s="32">
        <f t="shared" si="4"/>
        <v>12.048120019939679</v>
      </c>
      <c r="BX9" s="3"/>
      <c r="BY9" s="3"/>
      <c r="CA9" s="3"/>
      <c r="CB9" s="3"/>
      <c r="CC9" s="3"/>
      <c r="CD9" s="3"/>
      <c r="CE9" s="3"/>
      <c r="CF9" s="267" t="s">
        <v>414</v>
      </c>
    </row>
    <row r="10" spans="1:84" ht="13.5">
      <c r="A10" s="16" t="s">
        <v>87</v>
      </c>
      <c r="B10" s="16"/>
      <c r="C10" s="16"/>
      <c r="D10" s="23">
        <f>MIN(Un*UVCV,MAX(D13:D23)*IF(MAX(D13:D23)/MIN(D13:D23)&lt;4,3,J_*1.2))</f>
        <v>52</v>
      </c>
      <c r="F10" s="16"/>
      <c r="G10" s="240">
        <f>MIN(110,MAX(G13:G23)*IF(MAX(G13:G23)/MIN(G13:G23)&lt;4,3,J_*1.2))</f>
        <v>96.057055961459994</v>
      </c>
      <c r="H10" s="22"/>
      <c r="I10" s="16"/>
      <c r="J10" s="23">
        <f>MIN(Un*1.1,MAX(J13:J23)*IF(MAX(J13:J23)/MIN(J13:J23)&lt;4,3,J_*1.2))</f>
        <v>110.00000000000001</v>
      </c>
      <c r="K10" s="22"/>
      <c r="L10" s="16"/>
      <c r="M10" s="23">
        <f>MIN(Un*1.1,MAX(M13:M23)*IF(MAX(M13:M23)/MIN(M13:M23)&lt;4,3,J_*1.2))</f>
        <v>110.00000000000001</v>
      </c>
      <c r="N10" s="3"/>
      <c r="O10" s="16"/>
      <c r="P10" s="240">
        <f>MIN(Un*1.1,MAX(P13:P23)*IF(MAX(P13:P23)/MIN(P13:P23)&lt;4,3,J_*1.2))</f>
        <v>65.28827264619386</v>
      </c>
      <c r="Q10" s="250"/>
      <c r="R10" s="16"/>
      <c r="S10" s="240">
        <f>MIN(Un*1.1,MAX(S13:S23)*IF(MAX(S13:S23)/MIN(S13:S23)&lt;4,3,J_*1.2))</f>
        <v>10.257063371779756</v>
      </c>
      <c r="T10" s="250"/>
      <c r="U10" s="16"/>
      <c r="V10" s="240">
        <f>MIN(Un*1.1,MAX(V13:V22)*IF(MAX(V13:V22)/MIN(V13:V22)&lt;4,3,J_*1.2))</f>
        <v>110.00000000000001</v>
      </c>
      <c r="W10" s="250"/>
      <c r="X10" s="864"/>
      <c r="Y10" s="865">
        <f>MIN(Un*1.1,MAX(Y18:Y23)*J_*3)</f>
        <v>19.733691079694285</v>
      </c>
      <c r="Z10" s="22"/>
      <c r="AA10" s="239"/>
      <c r="AB10" s="821">
        <f>IF(PTT_Rx_Z_Sel="Z2(1)",J10,M10)</f>
        <v>110.00000000000001</v>
      </c>
      <c r="AC10" s="3"/>
      <c r="AD10" s="248">
        <v>21</v>
      </c>
      <c r="AE10" s="240">
        <f>MIN(Un*1.1,IF(SOTF_OC_Only=TRUE,TestVZ1,MAX(AW30:AW41)*IF(MAX(AW30:AW41)/MIN(AW30:AW41)&lt;4,5,J_*6))*AD10/50)</f>
        <v>21.84</v>
      </c>
      <c r="AF10" s="23"/>
      <c r="AG10" s="811">
        <f t="shared" si="5"/>
        <v>25.870234814212917</v>
      </c>
      <c r="AH10" s="812">
        <f t="shared" si="6"/>
        <v>31.262109757255825</v>
      </c>
      <c r="AI10" s="812">
        <f t="shared" si="7"/>
        <v>15.160000000000002</v>
      </c>
      <c r="AJ10" s="15"/>
      <c r="AK10" s="811">
        <f t="shared" si="8"/>
        <v>11.923710961991974</v>
      </c>
      <c r="AL10" s="812">
        <f t="shared" si="9"/>
        <v>69.004376090706245</v>
      </c>
      <c r="AM10" s="812">
        <f t="shared" si="10"/>
        <v>14.571329942372932</v>
      </c>
      <c r="AP10" s="40" t="s">
        <v>26</v>
      </c>
      <c r="AQ10" s="40" t="s">
        <v>27</v>
      </c>
      <c r="AT10" s="3"/>
      <c r="AU10" s="193" t="s">
        <v>416</v>
      </c>
      <c r="AV10" s="253">
        <f>ABS(Z1_C2*SIN(RADIANS(Z1_Ang2-Z1_Blinder1)))</f>
        <v>3.9611310967399787</v>
      </c>
      <c r="AW10" s="253">
        <f>ABS(Z1B_C2*SIN(RADIANS(Z1B_Ang2-Z1B_Blinder1)))</f>
        <v>10.170173311130352</v>
      </c>
      <c r="AX10" s="253">
        <f>ABS(Z2_C2*SIN(RADIANS(Z2_Ang2-Z2_Blinder1)))</f>
        <v>7.1842240105839794</v>
      </c>
      <c r="AY10" s="253">
        <f>ABS(Z3_C2*SIN(RADIANS(Z3_Ang2-Z3_Blinder1)))</f>
        <v>18.631459263056925</v>
      </c>
      <c r="AZ10" s="253">
        <f>ABS(Z4_C2*SIN(RADIANS(Z4_Ang2-Z4_Blinder1)))</f>
        <v>4.5413030055807564</v>
      </c>
      <c r="BA10" s="253">
        <f>ABS(Z5_C2*SIN(RADIANS(Z5_Ang2-Z5_Blinder1)))</f>
        <v>29.38612742925114</v>
      </c>
      <c r="BB10" s="670">
        <f>ABS(Z6_C2*SIN(RADIANS(Z6_Ang2-Z6_Blinder1)))</f>
        <v>40.952954632259079</v>
      </c>
      <c r="BC10" s="522">
        <f>ABS(ZND_C2*SIN(RADIANS(ZND_Ang2-ZND_Blinder1)))</f>
        <v>39.261952485492493</v>
      </c>
      <c r="BE10" s="253">
        <f>ABS(Z1E_C2*SIN(RADIANS(Z1E_Ang2-Z1_Blinder1)))</f>
        <v>12.622833776489053</v>
      </c>
      <c r="BF10" s="253">
        <f>ABS(Z1BE_C2*SIN(RADIANS(Z1BE_Ang2-Z1B_Blinder1)))</f>
        <v>4.5272172324823856</v>
      </c>
      <c r="BG10" s="253">
        <f>ABS(Z2E_C2*SIN(RADIANS(Z2E_Ang2-Z2_Blinder1)))</f>
        <v>21.498866910993669</v>
      </c>
      <c r="BH10" s="253">
        <f>ABS(Z3E_C2*SIN(RADIANS(Z3E_Ang2-Z3_Blinder1)))</f>
        <v>3.9268210365454497</v>
      </c>
      <c r="BI10" s="253">
        <f>ABS(Z4E_C2*SIN(RADIANS(Z4E_Ang2-Z4_Blinder1)))</f>
        <v>8.3573065633833377</v>
      </c>
      <c r="BJ10" s="253">
        <f>ABS(Z5E_C2*SIN(RADIANS(Z5E_Ang2-Z5_Blinder1)))</f>
        <v>19.646966583597198</v>
      </c>
      <c r="BK10" s="533"/>
      <c r="BL10" s="670">
        <f>ABS(Z5E_C2*SIN(RADIANS(Z5E_Ang2-Z5_Blinder1)))</f>
        <v>19.646966583597198</v>
      </c>
      <c r="BM10" s="533"/>
      <c r="BN10" s="103">
        <f>R17</f>
        <v>220.31032904086254</v>
      </c>
      <c r="BO10" s="99">
        <f t="shared" si="13"/>
        <v>216.03207230142507</v>
      </c>
      <c r="BP10" s="101">
        <f t="shared" si="13"/>
        <v>226</v>
      </c>
      <c r="BQ10" s="101">
        <f t="shared" si="0"/>
        <v>226</v>
      </c>
      <c r="BR10" s="3"/>
      <c r="BS10" s="32">
        <f t="shared" si="2"/>
        <v>31.262109757255825</v>
      </c>
      <c r="BT10" s="32">
        <f t="shared" si="2"/>
        <v>15.160000000000002</v>
      </c>
      <c r="BU10" s="3"/>
      <c r="BV10" s="32">
        <f t="shared" si="3"/>
        <v>69.004376090706245</v>
      </c>
      <c r="BW10" s="32">
        <f t="shared" si="4"/>
        <v>14.571329942372932</v>
      </c>
      <c r="BX10" s="3"/>
      <c r="BY10" s="3"/>
      <c r="CA10" s="3"/>
      <c r="CB10" s="3"/>
      <c r="CC10" s="3"/>
      <c r="CD10" s="3" t="s">
        <v>413</v>
      </c>
      <c r="CE10" s="267" t="s">
        <v>20</v>
      </c>
      <c r="CF10" s="267"/>
    </row>
    <row r="11" spans="1:84" ht="13.5">
      <c r="A11" s="73" t="s">
        <v>88</v>
      </c>
      <c r="B11" s="3"/>
      <c r="C11" s="43"/>
      <c r="D11" s="74">
        <f>TestVZ1/J_</f>
        <v>433.33333333333337</v>
      </c>
      <c r="E11" s="75"/>
      <c r="F11" s="3"/>
      <c r="G11" s="74">
        <f>TestVZ1B/J_</f>
        <v>800.47546634549997</v>
      </c>
      <c r="H11" s="75"/>
      <c r="I11" s="75"/>
      <c r="J11" s="74">
        <f>TestVZ2/J_</f>
        <v>916.66666666666686</v>
      </c>
      <c r="K11" s="75"/>
      <c r="L11" s="75"/>
      <c r="M11" s="74">
        <f>TestVZ3/J_</f>
        <v>916.66666666666686</v>
      </c>
      <c r="O11" s="399"/>
      <c r="P11" s="74">
        <f>TestVZ4/J_</f>
        <v>544.0689387182822</v>
      </c>
      <c r="Q11" s="69"/>
      <c r="R11" s="3"/>
      <c r="S11" s="74">
        <f>TestVZ5/J_</f>
        <v>85.475528098164631</v>
      </c>
      <c r="T11" s="69"/>
      <c r="U11" s="69"/>
      <c r="V11" s="74">
        <f>TestVZND/J_</f>
        <v>916.66666666666686</v>
      </c>
      <c r="W11" s="69"/>
      <c r="X11" s="866"/>
      <c r="Y11" s="867">
        <f>TestVZND/J_</f>
        <v>916.66666666666686</v>
      </c>
      <c r="Z11" s="75"/>
      <c r="AA11" s="241"/>
      <c r="AB11" s="242">
        <f>AB10/J_</f>
        <v>916.66666666666686</v>
      </c>
      <c r="AC11" s="74"/>
      <c r="AD11" s="74"/>
      <c r="AE11" s="242">
        <f>TestVSOTF/J_</f>
        <v>182</v>
      </c>
      <c r="AG11" s="287">
        <f t="shared" si="5"/>
        <v>36.032072301425075</v>
      </c>
      <c r="AH11" s="806">
        <f t="shared" si="6"/>
        <v>20.841406504837213</v>
      </c>
      <c r="AI11" s="806">
        <f t="shared" si="7"/>
        <v>15.160000000000004</v>
      </c>
      <c r="AJ11" s="15"/>
      <c r="AK11" s="287">
        <f>C41</f>
        <v>17.612614698164872</v>
      </c>
      <c r="AL11" s="806">
        <f>IF($D41="",AL10,COS(RADIANS($C41))*$D41)</f>
        <v>46.002917393804161</v>
      </c>
      <c r="AM11" s="806">
        <f>IF($D41="",AM10,SIN(RADIANS($C41))*$D41)</f>
        <v>14.604133333333333</v>
      </c>
      <c r="AP11" s="42">
        <f>DEGREES(ATAN(TestVZ1/(Vh)))</f>
        <v>42.007465331025529</v>
      </c>
      <c r="AQ11" s="42">
        <f>DEGREES(ATAN(TestVZ2/(Vh)))</f>
        <v>62.305949802943552</v>
      </c>
      <c r="AT11" s="3"/>
      <c r="AU11" s="193" t="s">
        <v>417</v>
      </c>
      <c r="AV11" s="253">
        <f>ABS(Z1_C2*COS(RADIANS(Z1_Ang2-Z1_Blinder1)))</f>
        <v>27.376942950587374</v>
      </c>
      <c r="AW11" s="253">
        <f>ABS(Z1B_C2*COS(RADIANS(Z1B_Ang2-Z1B_Blinder1)))</f>
        <v>22.390638524788017</v>
      </c>
      <c r="AX11" s="253">
        <f>ABS(Z2_C2*COS(RADIANS(Z2_Ang2-Z2_Blinder1)))</f>
        <v>34.61488335865554</v>
      </c>
      <c r="AY11" s="253">
        <f>ABS(Z3_C2*COS(RADIANS(Z3_Ang2-Z3_Blinder1)))</f>
        <v>52.326568414129945</v>
      </c>
      <c r="AZ11" s="253">
        <f>ABS(Z4_C2*COS(RADIANS(Z4_Ang2-Z4_Blinder1)))</f>
        <v>16.36422015642578</v>
      </c>
      <c r="BA11" s="253">
        <f>ABS(Z5_C2*COS(RADIANS(Z5_Ang2-Z5_Blinder1)))</f>
        <v>44.832714521086046</v>
      </c>
      <c r="BB11" s="670">
        <f>ABS(Z6_C2*COS(RADIANS(Z6_Ang2-Z6_Blinder1)))</f>
        <v>22.914339467343343</v>
      </c>
      <c r="BC11" s="522">
        <f>ABS(ZND_C2*COS(RADIANS(ZND_Ang2-ZND_Blinder1)))</f>
        <v>80.154078073791965</v>
      </c>
      <c r="BE11" s="253">
        <f>ABS(Z1E_C2*COS(RADIANS(Z1E_Ang2-Z1_Blinder1)))</f>
        <v>61.626077804026089</v>
      </c>
      <c r="BF11" s="253">
        <f>ABS(Z1BE_C2*COS(RADIANS(Z1BE_Ang2-Z1B_Blinder1)))</f>
        <v>32.871306549892822</v>
      </c>
      <c r="BG11" s="253">
        <f>ABS(Z2E_C2*COS(RADIANS(Z2E_Ang2-Z2_Blinder1)))</f>
        <v>94.291848621096094</v>
      </c>
      <c r="BH11" s="253">
        <f>ABS(Z3E_C2*COS(RADIANS(Z3E_Ang2-Z3_Blinder1)))</f>
        <v>97.390274415008179</v>
      </c>
      <c r="BI11" s="253">
        <f>ABS(Z4E_C2*COS(RADIANS(Z4E_Ang2-Z4_Blinder1)))</f>
        <v>21.610421296269209</v>
      </c>
      <c r="BJ11" s="253">
        <f>ABS(Z5E_C2*COS(RADIANS(Z5E_Ang2-Z5_Blinder1)))</f>
        <v>45.108796565288387</v>
      </c>
      <c r="BK11" s="533"/>
      <c r="BL11" s="670">
        <f>ABS(Z5E_C2*COS(RADIANS(Z5E_Ang2-Z5_Blinder1)))</f>
        <v>45.108796565288387</v>
      </c>
      <c r="BM11" s="533"/>
      <c r="BN11" s="103">
        <f>R19</f>
        <v>250.31032904086254</v>
      </c>
      <c r="BO11" s="99">
        <f t="shared" si="13"/>
        <v>270</v>
      </c>
      <c r="BP11" s="101">
        <f t="shared" si="13"/>
        <v>270</v>
      </c>
      <c r="BQ11" s="101">
        <f t="shared" si="0"/>
        <v>270</v>
      </c>
      <c r="BR11" s="3"/>
      <c r="BS11" s="32">
        <f t="shared" si="2"/>
        <v>20.841406504837213</v>
      </c>
      <c r="BT11" s="32">
        <f t="shared" si="2"/>
        <v>15.160000000000004</v>
      </c>
      <c r="BU11" s="3"/>
      <c r="BV11" s="32">
        <f t="shared" si="3"/>
        <v>46.002917393804161</v>
      </c>
      <c r="BW11" s="32">
        <f t="shared" si="4"/>
        <v>14.604133333333333</v>
      </c>
      <c r="BX11" s="3"/>
      <c r="BY11" s="3"/>
      <c r="CA11" s="3"/>
      <c r="CB11" s="3"/>
      <c r="CC11" s="3"/>
      <c r="CD11" s="3"/>
      <c r="CE11" s="1"/>
      <c r="CF11" s="3"/>
    </row>
    <row r="12" spans="1:84" ht="13.5">
      <c r="A12" s="16"/>
      <c r="B12" s="3"/>
      <c r="C12" s="24" t="s">
        <v>24</v>
      </c>
      <c r="D12" s="24" t="s">
        <v>25</v>
      </c>
      <c r="E12" s="82"/>
      <c r="F12" s="24" t="s">
        <v>24</v>
      </c>
      <c r="G12" s="24" t="s">
        <v>25</v>
      </c>
      <c r="H12" s="82"/>
      <c r="I12" s="24" t="s">
        <v>24</v>
      </c>
      <c r="J12" s="24" t="s">
        <v>25</v>
      </c>
      <c r="K12" s="82"/>
      <c r="L12" s="24" t="s">
        <v>24</v>
      </c>
      <c r="M12" s="24" t="s">
        <v>25</v>
      </c>
      <c r="O12" s="35" t="s">
        <v>56</v>
      </c>
      <c r="P12" s="24" t="s">
        <v>28</v>
      </c>
      <c r="R12" s="35" t="s">
        <v>56</v>
      </c>
      <c r="S12" s="24" t="s">
        <v>28</v>
      </c>
      <c r="U12" s="35" t="s">
        <v>56</v>
      </c>
      <c r="V12" s="24" t="s">
        <v>28</v>
      </c>
      <c r="X12" s="35"/>
      <c r="Y12" s="24"/>
      <c r="Z12" s="82"/>
      <c r="AA12" s="243" t="s">
        <v>24</v>
      </c>
      <c r="AB12" s="243" t="s">
        <v>25</v>
      </c>
      <c r="AC12" s="3"/>
      <c r="AD12" s="24" t="s">
        <v>24</v>
      </c>
      <c r="AE12" s="243" t="s">
        <v>25</v>
      </c>
      <c r="AF12" s="123" t="s">
        <v>445</v>
      </c>
      <c r="AG12" s="287">
        <f t="shared" si="5"/>
        <v>55.496088416038084</v>
      </c>
      <c r="AH12" s="806">
        <f t="shared" si="6"/>
        <v>10.420703252418608</v>
      </c>
      <c r="AI12" s="806">
        <f t="shared" si="7"/>
        <v>15.160000000000002</v>
      </c>
      <c r="AJ12" s="15"/>
      <c r="AK12" s="287">
        <f>C42</f>
        <v>32.412364445780845</v>
      </c>
      <c r="AL12" s="806">
        <f>IF($D42="",AL11,COS(RADIANS($C42))*$D42)</f>
        <v>23.00145869690208</v>
      </c>
      <c r="AM12" s="806">
        <f>IF($D42="",AM11,SIN(RADIANS($C42))*$D42)</f>
        <v>14.604133333333333</v>
      </c>
      <c r="AO12" s="3"/>
      <c r="AP12" s="40" t="s">
        <v>29</v>
      </c>
      <c r="AQ12" s="40" t="s">
        <v>30</v>
      </c>
      <c r="AT12" s="3"/>
      <c r="AU12" s="193" t="s">
        <v>418</v>
      </c>
      <c r="AV12" s="253">
        <f>(AV10*(TAN(RADIANS(90-Slope+Z1_Blinder1))))</f>
        <v>-0.69845428647857088</v>
      </c>
      <c r="AW12" s="253">
        <f>(AW10*(TAN(RADIANS(90-Slope+Z1B_Blinder1))))</f>
        <v>-1.7932759532334268</v>
      </c>
      <c r="AX12" s="253">
        <f>(AX10*(TAN(RADIANS(90-Slope+Z2_Blinder1))))</f>
        <v>-1.2667725285195321</v>
      </c>
      <c r="AY12" s="253">
        <f>(AY10*(TAN(RADIANS(90-Slope+Z3_Blinder1))))</f>
        <v>-3.2852289580475893</v>
      </c>
      <c r="AZ12" s="253">
        <f>(AZ10*(TAN(RADIANS(90-Slope+Z4_Blinder1))))</f>
        <v>-3.8106056770470875</v>
      </c>
      <c r="BA12" s="253">
        <f>(BA10*(TAN(RADIANS(90-Slope+Z5_Blinder1))))</f>
        <v>-24.657888687613195</v>
      </c>
      <c r="BB12" s="670">
        <f>(BB10*(TAN(RADIANS(90-Slope+Z6_Blinder1))))</f>
        <v>-7.2211108413969844</v>
      </c>
      <c r="BC12" s="522">
        <f>(BC10*(TAN(RADIANS(90-Slope+ZND_Blinder1))))</f>
        <v>-34.097678582263008</v>
      </c>
      <c r="BE12" s="253">
        <f>(BE10*(TAN(RADIANS(90-Slope+Z1_Blinder1))))</f>
        <v>-2.2257461677931452</v>
      </c>
      <c r="BF12" s="253">
        <f>(BF10*(TAN(RADIANS(90-Slope+Z1B_Blinder1))))</f>
        <v>-0.79827054561495181</v>
      </c>
      <c r="BG12" s="253">
        <f>(BG10*(TAN(RADIANS(90-Slope+Z2_Blinder1))))</f>
        <v>-3.7908302910686369</v>
      </c>
      <c r="BH12" s="253">
        <f>(BH10*(TAN(RADIANS(90-Slope+Z3_Blinder1))))</f>
        <v>-0.69240449715654395</v>
      </c>
      <c r="BI12" s="253">
        <f>(BI10*(TAN(RADIANS(90-Slope+Z4_Blinder1))))</f>
        <v>-7.0126128549704232</v>
      </c>
      <c r="BJ12" s="253">
        <f>(BJ10*(TAN(RADIANS(90-Slope+Z5_Blinder1))))</f>
        <v>-16.485762414048761</v>
      </c>
      <c r="BK12" s="533"/>
      <c r="BL12" s="670">
        <f>(BL10*(TAN(RADIANS(90-Slope+Z5_Blinder1))))</f>
        <v>-16.485762414048761</v>
      </c>
      <c r="BM12" s="533"/>
      <c r="BN12" s="103">
        <f>R21</f>
        <v>270</v>
      </c>
      <c r="BO12" s="99">
        <f t="shared" si="13"/>
        <v>323.96792769857495</v>
      </c>
      <c r="BP12" s="101">
        <f t="shared" si="13"/>
        <v>314</v>
      </c>
      <c r="BQ12" s="101">
        <f t="shared" si="0"/>
        <v>314</v>
      </c>
      <c r="BR12" s="3"/>
      <c r="BS12" s="32">
        <f t="shared" si="2"/>
        <v>10.420703252418608</v>
      </c>
      <c r="BT12" s="32">
        <f t="shared" si="2"/>
        <v>15.160000000000002</v>
      </c>
      <c r="BU12" s="3"/>
      <c r="BV12" s="32">
        <f t="shared" si="3"/>
        <v>23.00145869690208</v>
      </c>
      <c r="BW12" s="32">
        <f t="shared" si="4"/>
        <v>14.604133333333333</v>
      </c>
      <c r="BX12" s="3"/>
      <c r="BY12" s="3"/>
      <c r="CA12" s="3"/>
      <c r="CB12" s="3"/>
      <c r="CC12" s="3"/>
      <c r="CD12" s="3" t="s">
        <v>417</v>
      </c>
      <c r="CE12" s="267" t="s">
        <v>418</v>
      </c>
      <c r="CF12" s="3"/>
    </row>
    <row r="13" spans="1:84" ht="13.5">
      <c r="A13" s="26"/>
      <c r="B13" s="3"/>
      <c r="C13" s="25">
        <f>_Dir1+AngQ4+DirDelta</f>
        <v>-25</v>
      </c>
      <c r="D13" s="28">
        <f>ABS(2*R_1*SIN(RADIANS(180-Slope))/SIN(RADIANS(Slope-C13)))</f>
        <v>26.678488664108809</v>
      </c>
      <c r="E13" s="138"/>
      <c r="F13" s="25">
        <f>Dir1B+AngQ4+DirDelta</f>
        <v>-25</v>
      </c>
      <c r="G13" s="28">
        <f>MIN(ABS(2*R_1B*SIN(RADIANS(180-Slope))/SIN(RADIANS(Slope-F13))),$G$84)</f>
        <v>20.597362571554594</v>
      </c>
      <c r="H13" s="48"/>
      <c r="I13" s="25">
        <f>_Dir2+AngQ4+DirDelta</f>
        <v>-25</v>
      </c>
      <c r="J13" s="28">
        <f>MIN(ABS(2*R_2*SIN(RADIANS(180-Slope))/SIN(RADIANS(Slope-I13))),$G$84)</f>
        <v>33.348110830136008</v>
      </c>
      <c r="K13" s="14"/>
      <c r="L13" s="25">
        <f>_Dir3+AngQ4+DirDelta</f>
        <v>-25</v>
      </c>
      <c r="M13" s="28">
        <f>MIN(ABS(2*R_3*SIN(RADIANS(180-Slope))/SIN(RADIANS(Slope-L13))),$G$84)</f>
        <v>49.041339456082362</v>
      </c>
      <c r="O13" s="244">
        <f>AZ78</f>
        <v>125</v>
      </c>
      <c r="P13" s="234">
        <f>BA80</f>
        <v>18.506942765623673</v>
      </c>
      <c r="Q13" s="3"/>
      <c r="R13" s="244">
        <f>AZ90</f>
        <v>125</v>
      </c>
      <c r="S13" s="234">
        <f>BA90</f>
        <v>18.506942765623673</v>
      </c>
      <c r="T13" s="3"/>
      <c r="U13" s="274">
        <f>-ZND_Ang</f>
        <v>-55.97321086315776</v>
      </c>
      <c r="V13" s="275">
        <f>ZND_C</f>
        <v>106.66331695950501</v>
      </c>
      <c r="W13" s="3"/>
      <c r="X13" s="25">
        <f>_Dir6+AngQ4+DirDelta</f>
        <v>155</v>
      </c>
      <c r="Y13" s="28">
        <f>MIN(ABS(2*R_6*SIN(RADIANS(180-Slope))/SIN(RADIANS(Slope-X13))),$G$84)</f>
        <v>15.693228625946357</v>
      </c>
      <c r="Z13" s="14"/>
      <c r="AA13" s="244">
        <f t="shared" ref="AA13:AA23" si="14">IF(PTT_Rx_Z_Sel="Z2(1)",I13,L13)</f>
        <v>-25</v>
      </c>
      <c r="AB13" s="234">
        <f t="shared" ref="AB13:AB23" si="15">IF(PTT_Rx_Z_Sel="Z2(1)",J13,M13)</f>
        <v>33.348110830136008</v>
      </c>
      <c r="AC13" s="3"/>
      <c r="AD13" s="266">
        <f>IF(SOTF_OC_Only=TRUE,C13,IF(SOTF_Fwd="Z2",I13,L13))</f>
        <v>-25</v>
      </c>
      <c r="AE13" s="882">
        <f t="shared" ref="AE13:AE18" si="16">IF(SOTF_OC_Only=TRUE,MAX($AW$29,AW30),IF(SOTF_Fwd="Off","No Test",AX30))</f>
        <v>26.678488664108809</v>
      </c>
      <c r="AF13" s="305">
        <f t="shared" ref="AF13:AF24" si="17">IF(AE13="No Test","",TestVSOTF/AE13)</f>
        <v>0.81863707779600947</v>
      </c>
      <c r="AG13" s="287">
        <f t="shared" si="5"/>
        <v>90</v>
      </c>
      <c r="AH13" s="806">
        <f t="shared" si="6"/>
        <v>9.2866252882073393E-16</v>
      </c>
      <c r="AI13" s="806">
        <f t="shared" si="7"/>
        <v>15.16</v>
      </c>
      <c r="AJ13" s="15"/>
      <c r="AK13" s="287">
        <f t="shared" si="8"/>
        <v>90</v>
      </c>
      <c r="AL13" s="806">
        <f t="shared" si="9"/>
        <v>8.946115694306403E-16</v>
      </c>
      <c r="AM13" s="806">
        <f t="shared" si="10"/>
        <v>14.604133333333333</v>
      </c>
      <c r="AN13" s="14"/>
      <c r="AO13" s="3"/>
      <c r="AP13" s="42">
        <f>DEGREES(ATAN(TestVZ3/(Vh)))</f>
        <v>62.305949802943552</v>
      </c>
      <c r="AQ13" s="42">
        <f>DEGREES(ATAN(TestVZ1B/(Vh)))</f>
        <v>58.991315304058041</v>
      </c>
      <c r="AT13" s="3"/>
      <c r="AU13" s="273" t="s">
        <v>442</v>
      </c>
      <c r="AV13" s="297">
        <f t="shared" ref="AV13:BB13" si="18">AV11+AV12</f>
        <v>26.678488664108801</v>
      </c>
      <c r="AW13" s="297">
        <f t="shared" si="18"/>
        <v>20.597362571554591</v>
      </c>
      <c r="AX13" s="297">
        <f t="shared" si="18"/>
        <v>33.348110830136008</v>
      </c>
      <c r="AY13" s="297">
        <f t="shared" si="18"/>
        <v>49.041339456082355</v>
      </c>
      <c r="AZ13" s="297">
        <f t="shared" si="18"/>
        <v>12.553614479378693</v>
      </c>
      <c r="BA13" s="297">
        <f t="shared" si="18"/>
        <v>20.174825833472852</v>
      </c>
      <c r="BB13" s="675">
        <f t="shared" si="18"/>
        <v>15.693228625946357</v>
      </c>
      <c r="BC13" s="527">
        <f>BC11+BC12</f>
        <v>46.056399491528957</v>
      </c>
      <c r="BE13" s="297">
        <f t="shared" ref="BE13:BL13" si="19">BE11+BE12</f>
        <v>59.400331636232941</v>
      </c>
      <c r="BF13" s="297">
        <f t="shared" si="19"/>
        <v>32.073036004277867</v>
      </c>
      <c r="BG13" s="297">
        <f t="shared" si="19"/>
        <v>90.501018330027463</v>
      </c>
      <c r="BH13" s="297">
        <f t="shared" si="19"/>
        <v>96.697869917851634</v>
      </c>
      <c r="BI13" s="297">
        <f t="shared" si="19"/>
        <v>14.597808441298785</v>
      </c>
      <c r="BJ13" s="297">
        <f t="shared" si="19"/>
        <v>28.623034151239626</v>
      </c>
      <c r="BK13" s="538"/>
      <c r="BL13" s="675">
        <f t="shared" si="19"/>
        <v>28.623034151239626</v>
      </c>
      <c r="BM13" s="538"/>
      <c r="BN13" s="103">
        <f>R22</f>
        <v>290.60867994460727</v>
      </c>
      <c r="BO13" s="99">
        <f t="shared" si="13"/>
        <v>341.32863601841706</v>
      </c>
      <c r="BP13" s="101">
        <f t="shared" si="13"/>
        <v>334</v>
      </c>
      <c r="BQ13" s="101">
        <f t="shared" si="0"/>
        <v>334</v>
      </c>
      <c r="BR13" s="3"/>
      <c r="BS13" s="32">
        <f t="shared" si="2"/>
        <v>9.2866252882073393E-16</v>
      </c>
      <c r="BT13" s="32">
        <f t="shared" si="2"/>
        <v>15.16</v>
      </c>
      <c r="BU13" s="3"/>
      <c r="BV13" s="32">
        <f t="shared" si="3"/>
        <v>8.946115694306403E-16</v>
      </c>
      <c r="BW13" s="32">
        <f t="shared" si="4"/>
        <v>14.604133333333333</v>
      </c>
      <c r="BX13" s="3"/>
      <c r="BY13" s="3"/>
      <c r="CA13" s="3"/>
      <c r="CB13" s="3"/>
      <c r="CC13" s="3"/>
      <c r="CD13" s="3"/>
      <c r="CE13" s="3"/>
      <c r="CF13" s="3"/>
    </row>
    <row r="14" spans="1:84" ht="13.5">
      <c r="A14" s="70"/>
      <c r="B14" s="69"/>
      <c r="C14" s="25">
        <f>(Z1_Blinder1+C15)/2</f>
        <v>-12.5</v>
      </c>
      <c r="D14" s="28">
        <f>ABS(2*R_1*SIN(RADIANS(180-Slope))/SIN(RADIANS(Slope-C14)))</f>
        <v>26.298212546199846</v>
      </c>
      <c r="E14" s="13"/>
      <c r="F14" s="25">
        <f>(Z1B_Blinder1+F15)/2</f>
        <v>-12.5</v>
      </c>
      <c r="G14" s="28">
        <f>MIN(ABS(2*R_1B*SIN(RADIANS(180-Slope))/SIN(RADIANS(Slope-F14))),$G$84)</f>
        <v>20.30376703934547</v>
      </c>
      <c r="H14" s="48"/>
      <c r="I14" s="25">
        <f>(Z2_Blinder1+I15)/2</f>
        <v>-12.5</v>
      </c>
      <c r="J14" s="28">
        <f>MIN(ABS(2*R_2*SIN(RADIANS(180-Slope))/SIN(RADIANS(Slope-I14))),$G$84)</f>
        <v>32.872765682749808</v>
      </c>
      <c r="K14" s="13"/>
      <c r="L14" s="25">
        <f>(Z3_Blinder1+L15)/2</f>
        <v>-12.5</v>
      </c>
      <c r="M14" s="28">
        <f>MIN(ABS(2*R_3*SIN(RADIANS(180-Slope))/SIN(RADIANS(Slope-L14))),$G$84)</f>
        <v>48.342302474632071</v>
      </c>
      <c r="N14" s="6"/>
      <c r="O14" s="244">
        <f>AZ91</f>
        <v>128.21900962126432</v>
      </c>
      <c r="P14" s="234">
        <f>BA91</f>
        <v>19.296083111549006</v>
      </c>
      <c r="Q14" s="3"/>
      <c r="R14" s="244">
        <f>AZ91</f>
        <v>128.21900962126432</v>
      </c>
      <c r="S14" s="234">
        <f>BA91</f>
        <v>19.296083111549006</v>
      </c>
      <c r="T14" s="365"/>
      <c r="U14" s="25">
        <v>0</v>
      </c>
      <c r="V14" s="28">
        <f>2*R_ND</f>
        <v>36</v>
      </c>
      <c r="W14" s="365"/>
      <c r="X14" s="25">
        <f>(Z6_Blinder1+X15)/2</f>
        <v>167.5</v>
      </c>
      <c r="Y14" s="28">
        <f>MIN(ABS(2*R_6*SIN(RADIANS(180-Slope))/SIN(RADIANS(Slope-X14))),$G$84)</f>
        <v>15.469536791882263</v>
      </c>
      <c r="Z14" s="14"/>
      <c r="AA14" s="244">
        <f t="shared" si="14"/>
        <v>-12.5</v>
      </c>
      <c r="AB14" s="234">
        <f t="shared" si="15"/>
        <v>32.872765682749808</v>
      </c>
      <c r="AC14" s="3"/>
      <c r="AD14" s="266">
        <f>IF(SOTF_OC_Only=TRUE,C15,IF(SOTF_Fwd="Z2",I15,L15))</f>
        <v>0</v>
      </c>
      <c r="AE14" s="882">
        <f t="shared" si="16"/>
        <v>27.2</v>
      </c>
      <c r="AF14" s="305">
        <f t="shared" si="17"/>
        <v>0.80294117647058827</v>
      </c>
      <c r="AG14" s="287">
        <f t="shared" si="5"/>
        <v>102.5</v>
      </c>
      <c r="AH14" s="806">
        <f t="shared" si="6"/>
        <v>-3.3608910856669674</v>
      </c>
      <c r="AI14" s="806">
        <f t="shared" si="7"/>
        <v>15.16</v>
      </c>
      <c r="AJ14" s="15"/>
      <c r="AK14" s="287">
        <f t="shared" si="8"/>
        <v>102.5</v>
      </c>
      <c r="AL14" s="806">
        <f t="shared" si="9"/>
        <v>-3.2376584125258452</v>
      </c>
      <c r="AM14" s="806">
        <f t="shared" si="10"/>
        <v>14.604133333333333</v>
      </c>
      <c r="AN14" s="14"/>
      <c r="AO14" s="3"/>
      <c r="AP14" s="868" t="s">
        <v>1063</v>
      </c>
      <c r="AT14" s="3"/>
      <c r="AU14" s="281"/>
      <c r="AV14" s="282"/>
      <c r="AW14" s="282"/>
      <c r="AX14" s="282"/>
      <c r="AY14" s="282"/>
      <c r="AZ14" s="282"/>
      <c r="BA14" s="282"/>
      <c r="BB14" s="676"/>
      <c r="BC14" s="528"/>
      <c r="BE14" s="282"/>
      <c r="BF14" s="282"/>
      <c r="BG14" s="282"/>
      <c r="BH14" s="282"/>
      <c r="BI14" s="282"/>
      <c r="BJ14" s="282"/>
      <c r="BK14" s="539"/>
      <c r="BL14" s="676"/>
      <c r="BM14" s="539"/>
      <c r="BN14" s="102">
        <f>P13</f>
        <v>18.506942765623673</v>
      </c>
      <c r="BO14" s="100">
        <f>D15</f>
        <v>27.2</v>
      </c>
      <c r="BP14" s="98">
        <f>G15</f>
        <v>21</v>
      </c>
      <c r="BQ14" s="98">
        <f t="shared" si="0"/>
        <v>21</v>
      </c>
      <c r="BR14" s="3"/>
      <c r="BS14" s="32">
        <f t="shared" si="2"/>
        <v>-3.3608910856669674</v>
      </c>
      <c r="BT14" s="32">
        <f t="shared" si="2"/>
        <v>15.16</v>
      </c>
      <c r="BU14" s="3"/>
      <c r="BV14" s="32">
        <f t="shared" si="3"/>
        <v>-3.2376584125258452</v>
      </c>
      <c r="BW14" s="32">
        <f t="shared" si="4"/>
        <v>14.604133333333333</v>
      </c>
      <c r="BX14" s="3"/>
      <c r="BY14" s="3"/>
      <c r="CA14" s="3"/>
      <c r="CB14" s="3"/>
      <c r="CC14" s="3"/>
      <c r="CD14" s="3"/>
      <c r="CE14" s="3" t="s">
        <v>416</v>
      </c>
      <c r="CF14" s="3"/>
    </row>
    <row r="15" spans="1:84" ht="13.5">
      <c r="A15" s="70"/>
      <c r="B15" s="69"/>
      <c r="C15" s="25">
        <f>0+_Dir1</f>
        <v>0</v>
      </c>
      <c r="D15" s="28">
        <f>2*R_1</f>
        <v>27.2</v>
      </c>
      <c r="E15" s="14"/>
      <c r="F15" s="25">
        <f>0+Dir1B</f>
        <v>0</v>
      </c>
      <c r="G15" s="28">
        <f>2*R_1B</f>
        <v>21</v>
      </c>
      <c r="H15" s="48"/>
      <c r="I15" s="25">
        <f>0+_Dir2</f>
        <v>0</v>
      </c>
      <c r="J15" s="28">
        <f>2*R_2</f>
        <v>34</v>
      </c>
      <c r="K15" s="14"/>
      <c r="L15" s="25">
        <f>0+_Dir3</f>
        <v>0</v>
      </c>
      <c r="M15" s="28">
        <f>2*R_3</f>
        <v>50</v>
      </c>
      <c r="O15" s="25">
        <f>0+_Dir4</f>
        <v>180</v>
      </c>
      <c r="P15" s="28">
        <f>2*R_4</f>
        <v>16</v>
      </c>
      <c r="Q15" s="3"/>
      <c r="R15" s="244">
        <f>0+_Dir6</f>
        <v>180</v>
      </c>
      <c r="S15" s="28">
        <f>2*R_5</f>
        <v>16</v>
      </c>
      <c r="T15" s="3"/>
      <c r="U15" s="274"/>
      <c r="V15" s="46"/>
      <c r="W15" s="3"/>
      <c r="X15" s="25">
        <f>0+_Dir6</f>
        <v>180</v>
      </c>
      <c r="Y15" s="28">
        <f>2*R_6</f>
        <v>16</v>
      </c>
      <c r="Z15" s="3"/>
      <c r="AA15" s="244">
        <f t="shared" si="14"/>
        <v>0</v>
      </c>
      <c r="AB15" s="234">
        <f t="shared" si="15"/>
        <v>34</v>
      </c>
      <c r="AC15" s="3"/>
      <c r="AD15" s="894">
        <f>IF(SOTF_OC_Only=TRUE,C17,IF(SOTF_Fwd="Z2",I17,L17))</f>
        <v>18.67136398158295</v>
      </c>
      <c r="AE15" s="895">
        <f t="shared" si="16"/>
        <v>31.569566863407253</v>
      </c>
      <c r="AF15" s="305">
        <f t="shared" si="17"/>
        <v>0.69180550035721466</v>
      </c>
      <c r="AG15" s="287">
        <f t="shared" si="5"/>
        <v>115</v>
      </c>
      <c r="AH15" s="806">
        <f t="shared" si="6"/>
        <v>-7.0692240976297755</v>
      </c>
      <c r="AI15" s="806">
        <f t="shared" si="7"/>
        <v>15.159999999999998</v>
      </c>
      <c r="AJ15" s="15"/>
      <c r="AK15" s="287">
        <f t="shared" si="8"/>
        <v>115</v>
      </c>
      <c r="AL15" s="806">
        <f t="shared" si="9"/>
        <v>-6.8100192140500173</v>
      </c>
      <c r="AM15" s="806">
        <f t="shared" si="10"/>
        <v>14.604133333333333</v>
      </c>
      <c r="AN15" s="14"/>
      <c r="AO15" s="3"/>
      <c r="AP15" s="869">
        <f>DEGREES(ATAN(TestVZ6/(Vh)))</f>
        <v>18.869788370758609</v>
      </c>
      <c r="AT15" s="3"/>
      <c r="AU15" s="281"/>
      <c r="AV15" s="282"/>
      <c r="AW15" s="282"/>
      <c r="AX15" s="282"/>
      <c r="AY15" s="282"/>
      <c r="AZ15" s="282"/>
      <c r="BA15" s="282"/>
      <c r="BB15" s="676"/>
      <c r="BC15" s="528"/>
      <c r="BE15" s="282"/>
      <c r="BF15" s="282"/>
      <c r="BG15" s="282"/>
      <c r="BH15" s="282"/>
      <c r="BI15" s="282"/>
      <c r="BJ15" s="282"/>
      <c r="BK15" s="539"/>
      <c r="BL15" s="676"/>
      <c r="BM15" s="539"/>
      <c r="BN15" s="102">
        <f>P15</f>
        <v>16</v>
      </c>
      <c r="BO15" s="100">
        <f>D17</f>
        <v>31.569566863407253</v>
      </c>
      <c r="BP15" s="98">
        <f>G17</f>
        <v>26.877149679328252</v>
      </c>
      <c r="BQ15" s="98">
        <f t="shared" si="0"/>
        <v>26.877149679328252</v>
      </c>
      <c r="BR15" s="3"/>
      <c r="BS15" s="32">
        <f t="shared" si="2"/>
        <v>-7.0692240976297755</v>
      </c>
      <c r="BT15" s="32">
        <f t="shared" si="2"/>
        <v>15.159999999999998</v>
      </c>
      <c r="BU15" s="3"/>
      <c r="BV15" s="32">
        <f t="shared" si="3"/>
        <v>-6.8100192140500173</v>
      </c>
      <c r="BW15" s="32">
        <f t="shared" si="4"/>
        <v>14.604133333333333</v>
      </c>
      <c r="BX15" s="3"/>
      <c r="BY15" s="3"/>
      <c r="CA15" s="3"/>
      <c r="CB15" s="3"/>
      <c r="CC15" s="3"/>
      <c r="CD15" s="3"/>
      <c r="CE15" s="3"/>
      <c r="CF15" s="3"/>
    </row>
    <row r="16" spans="1:84" ht="13.5">
      <c r="A16" s="70"/>
      <c r="B16" s="69"/>
      <c r="C16" s="25">
        <f>AH175+_Dir1</f>
        <v>10.035971563435497</v>
      </c>
      <c r="D16" s="28">
        <f>AI175</f>
        <v>28.997744448805637</v>
      </c>
      <c r="F16" s="25">
        <f>IF(I86=1,$F$84+Dir1B,(F17+F15)/2)</f>
        <v>13</v>
      </c>
      <c r="G16" s="28">
        <f>MIN(ABS(2*R_1B*SIN(RADIANS(180-Slope))/SIN(RADIANS(Slope-F16))),$G$84)</f>
        <v>22.973551902883308</v>
      </c>
      <c r="I16" s="25">
        <f>I15+(I18-I15)/3</f>
        <v>9.3521074681554079</v>
      </c>
      <c r="J16" s="28">
        <f>MIN(ABS(2*R_2*SIN(RADIANS(180-Slope))/SIN(RADIANS(Slope-I16))),$G$84)</f>
        <v>36.048787398789898</v>
      </c>
      <c r="L16" s="244">
        <f>L15+(L18-L15)/3</f>
        <v>10.942844600484717</v>
      </c>
      <c r="M16" s="28">
        <f>MIN(ABS(2*R_3*SIN(RADIANS(180-Slope))/SIN(RADIANS(Slope-L16))),$G$84)</f>
        <v>53.708442984482311</v>
      </c>
      <c r="O16" s="25">
        <f>O15+(O18-O15)/3</f>
        <v>189.91763760020854</v>
      </c>
      <c r="P16" s="28">
        <f>MIN(ABS(2*R_4*SIN(RADIANS(180-Slope))/SIN(RADIANS(Slope-O16))),$G$84)</f>
        <v>17.041094359679807</v>
      </c>
      <c r="R16" s="244">
        <f>R15+(R18-R15)/3</f>
        <v>200.15516452043127</v>
      </c>
      <c r="S16" s="28">
        <f>MIN(ABS(2*R_5*SIN(RADIANS(180-Slope))/SIN(RADIANS(Slope-R16))),$G$84)</f>
        <v>18.902756959839653</v>
      </c>
      <c r="U16" s="274">
        <f>ZND_Ang</f>
        <v>55.97321086315776</v>
      </c>
      <c r="V16" s="275">
        <f>ZND_C</f>
        <v>106.66331695950501</v>
      </c>
      <c r="X16" s="25">
        <f>X15+(X18-X15)/3</f>
        <v>199.54130924768995</v>
      </c>
      <c r="Y16" s="28">
        <f>MIN(ABS(2*R_6*SIN(RADIANS(180-Slope))/SIN(RADIANS(Slope-X16))),$G$84)</f>
        <v>18.762271337470004</v>
      </c>
      <c r="Z16" s="14"/>
      <c r="AA16" s="244">
        <f t="shared" si="14"/>
        <v>9.3521074681554079</v>
      </c>
      <c r="AB16" s="234">
        <f t="shared" si="15"/>
        <v>36.048787398789898</v>
      </c>
      <c r="AC16" s="3"/>
      <c r="AD16" s="266">
        <f>IF(SOTF_OC_Only=TRUE,C18,IF(SOTF_Fwd="Z2",I18,L18))</f>
        <v>25.870234814212917</v>
      </c>
      <c r="AE16" s="882">
        <f t="shared" si="16"/>
        <v>34.743993818712177</v>
      </c>
      <c r="AF16" s="305">
        <f t="shared" si="17"/>
        <v>0.62859785532881274</v>
      </c>
      <c r="AG16" s="286" t="s">
        <v>716</v>
      </c>
      <c r="AH16" s="807">
        <f>COS(RADIANS($F13))*$G13*Settings!$AE$25</f>
        <v>0</v>
      </c>
      <c r="AI16" s="807">
        <f>SIN(RADIANS($F13))*$G13*Settings!$AE$25</f>
        <v>0</v>
      </c>
      <c r="AJ16" s="15"/>
      <c r="AK16" s="286" t="s">
        <v>716</v>
      </c>
      <c r="AL16" s="807">
        <f>COS(RADIANS($F35))*$G35*0</f>
        <v>0</v>
      </c>
      <c r="AM16" s="807">
        <f>SIN(RADIANS($F35))*$G35*0</f>
        <v>0</v>
      </c>
      <c r="AN16" s="14"/>
      <c r="AO16" s="3"/>
      <c r="AT16" s="3"/>
      <c r="AU16" s="193" t="s">
        <v>428</v>
      </c>
      <c r="AV16" s="253">
        <f>ABS((COS(RADIANS(180-Z1_Blinder2)))*R_1)</f>
        <v>5.7476083596735119</v>
      </c>
      <c r="AW16" s="253">
        <f>ABS((COS(RADIANS(180-Z1B_Blinder2)))*R_1B)</f>
        <v>4.4374917482773437</v>
      </c>
      <c r="AX16" s="253">
        <f>ABS((COS(RADIANS(180-Z2_Blinder2)))*R_2)</f>
        <v>7.1845104495918903</v>
      </c>
      <c r="AY16" s="253">
        <f>ABS((COS(RADIANS(180-Z3_Blinder2)))*R_3)</f>
        <v>10.565456543517486</v>
      </c>
      <c r="AZ16" s="253">
        <f>ABS((COS(RADIANS(180-Z4_Blinder2)))*R_4)</f>
        <v>6.5532163543119353</v>
      </c>
      <c r="BA16" s="253">
        <f>ABS((COS(RADIANS(180-Z5_Blinder2)))*R_5)</f>
        <v>5.2713392158872665</v>
      </c>
      <c r="BB16" s="670">
        <f>ABS((COS(RADIANS(180-Z6_Blinder2)))*R_6)</f>
        <v>3.3809460939255946</v>
      </c>
      <c r="BC16" s="522"/>
      <c r="BE16" s="253">
        <f>ABS((COS(RADIANS(180-Z1_Blinder2)))*ER_1)</f>
        <v>27.512448839319532</v>
      </c>
      <c r="BF16" s="253">
        <f>ABS((COS(RADIANS(180-Z1B_Blinder2)))*ER_1B)</f>
        <v>13.819617158920872</v>
      </c>
      <c r="BG16" s="253">
        <f>ABS((COS(RADIANS(180-Z2_Blinder2)))*ER_2)</f>
        <v>42.261826174069945</v>
      </c>
      <c r="BH16" s="253">
        <f>ABS((COS(RADIANS(180-Z3_Blinder2)))*ER_3)</f>
        <v>42.261826174069945</v>
      </c>
      <c r="BI16" s="253">
        <f>ABS((COS(RADIANS(180-Z4_Blinder2)))*ER_4)</f>
        <v>18.594751405360118</v>
      </c>
      <c r="BJ16" s="253">
        <f>ABS((COS(RADIANS(180-Z5_Blinder2)))*ER_5)</f>
        <v>14.957425025080118</v>
      </c>
      <c r="BK16" s="533"/>
      <c r="BL16" s="670">
        <f>ABS((COS(RADIANS(180-Z5_Blinder2)))*ER_6)</f>
        <v>14.957425025080118</v>
      </c>
      <c r="BM16" s="533"/>
      <c r="BN16" s="102">
        <f>P17</f>
        <v>18.829016621872125</v>
      </c>
      <c r="BO16" s="100">
        <f>D19</f>
        <v>25.771880511516247</v>
      </c>
      <c r="BP16" s="98">
        <f>G19</f>
        <v>25.96825588019156</v>
      </c>
      <c r="BQ16" s="98">
        <f t="shared" si="0"/>
        <v>25.96825588019156</v>
      </c>
      <c r="BR16" s="3"/>
      <c r="BS16" s="32">
        <f t="shared" si="2"/>
        <v>0</v>
      </c>
      <c r="BT16" s="32">
        <f t="shared" si="2"/>
        <v>0</v>
      </c>
      <c r="BU16" s="3"/>
      <c r="BV16" s="32" t="e">
        <f>#REF!*$BW$4</f>
        <v>#REF!</v>
      </c>
      <c r="BW16" s="32" t="e">
        <f>#REF!*$BW$4</f>
        <v>#REF!</v>
      </c>
      <c r="BX16" s="3"/>
      <c r="BY16" s="3"/>
      <c r="CA16" s="3"/>
      <c r="CB16" s="3"/>
      <c r="CC16" s="3"/>
      <c r="CD16" s="3"/>
      <c r="CE16" s="3"/>
      <c r="CF16" s="3"/>
    </row>
    <row r="17" spans="1:84" ht="13.5">
      <c r="A17" s="47"/>
      <c r="B17" s="47"/>
      <c r="C17" s="25">
        <f>AH177+_Dir1</f>
        <v>18.67136398158295</v>
      </c>
      <c r="D17" s="28">
        <f>AI177</f>
        <v>31.569566863407253</v>
      </c>
      <c r="E17" s="14"/>
      <c r="F17" s="25">
        <f>IF(I86=1,$F$84+Dir1B+6,ROUND(IF(AND(Z1B_Ang&gt;25,Z1B_Ang&lt;65),Z1B_Ang-10,IF(OR(Z1B_Ang&lt;15,Z1B_Ang&gt;80),Z1B_Ang-2,Z1B_Ang-5)),0))</f>
        <v>26</v>
      </c>
      <c r="G17" s="28">
        <f>ABS(2*R_1B*SIN(RADIANS(180-Slope))/SIN(RADIANS(Slope-F17)))</f>
        <v>26.877149679328252</v>
      </c>
      <c r="H17" s="48"/>
      <c r="I17" s="244">
        <f>(I16+I18)/2</f>
        <v>18.704214936310816</v>
      </c>
      <c r="J17" s="28">
        <f>ABS(2*R_2*SIN(RADIANS(180-Slope))/SIN(RADIANS(Slope-I17)))</f>
        <v>39.477044031764898</v>
      </c>
      <c r="K17" s="14"/>
      <c r="L17" s="244">
        <f>(L16+L18)/2</f>
        <v>21.885689200969434</v>
      </c>
      <c r="M17" s="28">
        <f>ABS(2*R_3*SIN(RADIANS(180-Slope))/SIN(RADIANS(Slope-L17)))</f>
        <v>60.38284823367637</v>
      </c>
      <c r="O17" s="244">
        <f>(O16+O18)/2</f>
        <v>199.83527520041707</v>
      </c>
      <c r="P17" s="28">
        <f>ABS(2*R_4*SIN(RADIANS(180-Slope))/SIN(RADIANS(Slope-O17)))</f>
        <v>18.829016621872125</v>
      </c>
      <c r="Q17" s="3"/>
      <c r="R17" s="244">
        <f>(R16+R18)/2</f>
        <v>220.31032904086254</v>
      </c>
      <c r="S17" s="28">
        <f>ABS(2*R_5*SIN(RADIANS(180-Slope))/SIN(RADIANS(Slope-R17)))</f>
        <v>27.155092645734218</v>
      </c>
      <c r="T17" s="3"/>
      <c r="U17" s="46"/>
      <c r="V17" s="46"/>
      <c r="W17" s="3"/>
      <c r="X17" s="244">
        <f>(X16+X18)/2</f>
        <v>219.0826184953799</v>
      </c>
      <c r="Y17" s="28">
        <f>ABS(2*R_6*SIN(RADIANS(180-Slope))/SIN(RADIANS(Slope-X17)))</f>
        <v>26.345614078106909</v>
      </c>
      <c r="Z17" s="14"/>
      <c r="AA17" s="244">
        <f t="shared" si="14"/>
        <v>18.704214936310816</v>
      </c>
      <c r="AB17" s="234">
        <f t="shared" si="15"/>
        <v>39.477044031764898</v>
      </c>
      <c r="AC17" s="3"/>
      <c r="AD17" s="266">
        <f>IF(SOTF_OC_Only=TRUE,C21,IF(SOTF_Fwd="Z2",I21,L21))</f>
        <v>90</v>
      </c>
      <c r="AE17" s="882">
        <f t="shared" si="16"/>
        <v>15.16</v>
      </c>
      <c r="AF17" s="305">
        <f t="shared" si="17"/>
        <v>1.4406332453825856</v>
      </c>
      <c r="AG17" s="286">
        <f>F14</f>
        <v>-12.5</v>
      </c>
      <c r="AH17" s="807">
        <f>IF($G14="",AH16,COS(RADIANS($F14))*$G14)*Settings!$AE$25</f>
        <v>0</v>
      </c>
      <c r="AI17" s="807">
        <f>IF($G14="",AI16,SIN(RADIANS($F14))*$G14)*Settings!$AE$25</f>
        <v>0</v>
      </c>
      <c r="AJ17" s="15"/>
      <c r="AK17" s="286">
        <f>F36</f>
        <v>-25</v>
      </c>
      <c r="AL17" s="807">
        <f t="shared" ref="AL17:AL25" si="20">COS(RADIANS($F36))*$G36*0</f>
        <v>0</v>
      </c>
      <c r="AM17" s="807">
        <f t="shared" ref="AM17:AM25" si="21">SIN(RADIANS($F36))*$G36*0</f>
        <v>0</v>
      </c>
      <c r="AN17" s="14"/>
      <c r="AO17" s="3"/>
      <c r="AP17" s="444" t="s">
        <v>1083</v>
      </c>
      <c r="AQ17" s="444" t="str">
        <f>IF(D58&lt;=D59,"Overlap","OK")</f>
        <v>OK</v>
      </c>
      <c r="AU17" s="252" t="s">
        <v>429</v>
      </c>
      <c r="AV17" s="253">
        <f>ABS((SIN(RADIANS(180-Z1_Blinder2)))*R_1)</f>
        <v>12.325785903698439</v>
      </c>
      <c r="AW17" s="253">
        <f>ABS((SIN(RADIANS(180-Z1B_Blinder2)))*R_1B)</f>
        <v>9.5162317638848251</v>
      </c>
      <c r="AX17" s="253">
        <f>ABS((SIN(RADIANS(180-Z2_Blinder2)))*R_2)</f>
        <v>15.407232379623048</v>
      </c>
      <c r="AY17" s="253">
        <f>ABS((SIN(RADIANS(180-Z3_Blinder2)))*R_3)</f>
        <v>22.657694675916247</v>
      </c>
      <c r="AZ17" s="253">
        <f>ABS((SIN(RADIANS(180-Z4_Blinder2)))*R_4)</f>
        <v>4.5886114908083675</v>
      </c>
      <c r="BA17" s="253">
        <f>ABS((SIN(RADIANS(180-Z5_Blinder2)))*R_5)</f>
        <v>6.017722398968651</v>
      </c>
      <c r="BB17" s="670">
        <f>ABS((SIN(RADIANS(180-Z6_Blinder2)))*R_6)</f>
        <v>7.2504622962932004</v>
      </c>
      <c r="BC17" s="522"/>
      <c r="BE17" s="253">
        <f>ABS((SIN(RADIANS(180-Z1_Blinder2)))*ER_1)</f>
        <v>59.000636936085904</v>
      </c>
      <c r="BF17" s="253">
        <f>ABS((SIN(RADIANS(180-Z1B_Blinder2)))*ER_1B)</f>
        <v>29.636264636098456</v>
      </c>
      <c r="BG17" s="253">
        <f>ABS((SIN(RADIANS(180-Z2_Blinder2)))*ER_2)</f>
        <v>90.630778703664987</v>
      </c>
      <c r="BH17" s="253">
        <f>ABS((SIN(RADIANS(180-Z3_Blinder2)))*ER_3)</f>
        <v>90.630778703664987</v>
      </c>
      <c r="BI17" s="253">
        <f>ABS((SIN(RADIANS(180-Z4_Blinder2)))*ER_4)</f>
        <v>13.020185105168743</v>
      </c>
      <c r="BJ17" s="253">
        <f>ABS((SIN(RADIANS(180-Z5_Blinder2)))*ER_5)</f>
        <v>17.075287307073548</v>
      </c>
      <c r="BK17" s="533"/>
      <c r="BL17" s="670">
        <f>ABS((SIN(RADIANS(180-Z5_Blinder2)))*ER_6)</f>
        <v>17.075287307073548</v>
      </c>
      <c r="BM17" s="533"/>
      <c r="BN17" s="102">
        <f>P19</f>
        <v>14.132550493790381</v>
      </c>
      <c r="BO17" s="100">
        <f>D21</f>
        <v>15.16</v>
      </c>
      <c r="BP17" s="98">
        <f>G21</f>
        <v>18.68</v>
      </c>
      <c r="BQ17" s="98">
        <f t="shared" si="0"/>
        <v>18.68</v>
      </c>
      <c r="BR17" s="3"/>
      <c r="BS17" s="32">
        <f t="shared" si="2"/>
        <v>0</v>
      </c>
      <c r="BT17" s="32">
        <f t="shared" si="2"/>
        <v>0</v>
      </c>
      <c r="BU17" s="3"/>
      <c r="BV17" s="32" t="e">
        <f>#REF!*$BW$4</f>
        <v>#REF!</v>
      </c>
      <c r="BW17" s="32" t="e">
        <f>#REF!*$BW$4</f>
        <v>#REF!</v>
      </c>
      <c r="BX17" s="3"/>
      <c r="BY17" s="3"/>
      <c r="CA17" s="3"/>
      <c r="CB17" s="3"/>
      <c r="CC17" s="3"/>
      <c r="CD17" s="3"/>
      <c r="CE17" s="3"/>
      <c r="CF17" s="3"/>
    </row>
    <row r="18" spans="1:84" ht="13.5">
      <c r="A18" s="47" t="s">
        <v>1094</v>
      </c>
      <c r="B18" s="3"/>
      <c r="C18" s="274">
        <f>AH183+_Dir1</f>
        <v>25.870234814212917</v>
      </c>
      <c r="D18" s="275">
        <f>AI183</f>
        <v>34.743993818712177</v>
      </c>
      <c r="E18" s="276"/>
      <c r="F18" s="274">
        <f>Z1B_Ang</f>
        <v>35.690267865654384</v>
      </c>
      <c r="G18" s="275">
        <f>Z1B_C</f>
        <v>32.019018653819998</v>
      </c>
      <c r="H18" s="277"/>
      <c r="I18" s="274">
        <f>Z2_Ang</f>
        <v>28.056322404466226</v>
      </c>
      <c r="J18" s="275">
        <f>Z2_C</f>
        <v>44.94627760754782</v>
      </c>
      <c r="K18" s="276"/>
      <c r="L18" s="274">
        <f>Z3_Ang</f>
        <v>32.828533801454149</v>
      </c>
      <c r="M18" s="275">
        <f>Z3_C</f>
        <v>71.938895857750893</v>
      </c>
      <c r="N18" s="278"/>
      <c r="O18" s="274">
        <f>Z4_Ang</f>
        <v>209.75291280062561</v>
      </c>
      <c r="P18" s="275">
        <f>Z4_C</f>
        <v>21.762757548731287</v>
      </c>
      <c r="Q18" s="279"/>
      <c r="R18" s="274">
        <f>Z5_Ang</f>
        <v>240.46549356129381</v>
      </c>
      <c r="S18" s="275">
        <f>Z5_C</f>
        <v>61.582032374441795</v>
      </c>
      <c r="T18" s="279"/>
      <c r="U18" s="25">
        <v>90</v>
      </c>
      <c r="V18" s="28">
        <f>2*X_ND</f>
        <v>88.4</v>
      </c>
      <c r="W18" s="279"/>
      <c r="X18" s="274">
        <f>Z6_Ang</f>
        <v>238.62392774306983</v>
      </c>
      <c r="Y18" s="275">
        <f>Z6_C</f>
        <v>54.815808554706351</v>
      </c>
      <c r="Z18" s="14"/>
      <c r="AA18" s="796">
        <f t="shared" si="14"/>
        <v>28.056322404466226</v>
      </c>
      <c r="AB18" s="797">
        <f t="shared" si="15"/>
        <v>44.94627760754782</v>
      </c>
      <c r="AC18" s="3"/>
      <c r="AD18" s="266">
        <f>IF(SOTF_OC_Only=TRUE,C23,IF(SOTF_Fwd="Z2",I23,L23))</f>
        <v>115</v>
      </c>
      <c r="AE18" s="882">
        <f t="shared" si="16"/>
        <v>16.727209251471372</v>
      </c>
      <c r="AF18" s="305">
        <f t="shared" si="17"/>
        <v>1.3056571285541188</v>
      </c>
      <c r="AG18" s="286">
        <f t="shared" ref="AG18:AG26" si="22">F15</f>
        <v>0</v>
      </c>
      <c r="AH18" s="807">
        <f>IF($G15="",AH17,COS(RADIANS($F15))*$G15)*Settings!$AE$25</f>
        <v>0</v>
      </c>
      <c r="AI18" s="807">
        <f>IF($G15="",AI17,SIN(RADIANS($F15))*$G15)*Settings!$AE$25</f>
        <v>0</v>
      </c>
      <c r="AJ18" s="15"/>
      <c r="AK18" s="286">
        <f t="shared" ref="AK18:AK26" si="23">F37</f>
        <v>-25</v>
      </c>
      <c r="AL18" s="807">
        <f t="shared" si="20"/>
        <v>0</v>
      </c>
      <c r="AM18" s="807">
        <f t="shared" si="21"/>
        <v>0</v>
      </c>
      <c r="AN18" s="14"/>
      <c r="AO18" s="3"/>
      <c r="AU18" s="252" t="s">
        <v>430</v>
      </c>
      <c r="AV18" s="253">
        <f>TAN(RADIANS(Slope+90-Z1_Blinder2))*AV17</f>
        <v>14.689299632279685</v>
      </c>
      <c r="AW18" s="253">
        <f>TAN(RADIANS(Slope-(Z1B_Blinder2-90)))*AW17</f>
        <v>11.341003392568876</v>
      </c>
      <c r="AX18" s="253">
        <f>TAN(RADIANS(Slope-(Z2_Blinder2-90)))*AX17</f>
        <v>18.361624540349606</v>
      </c>
      <c r="AY18" s="253">
        <f>TAN(RADIANS(Slope-(Z3_Blinder2-90)))*AY17</f>
        <v>27.00238902992589</v>
      </c>
      <c r="AZ18" s="253">
        <f>TAN(RADIANS(Slope-(Z4_Blinder2-90)))*AZ17</f>
        <v>1.6701179992661106</v>
      </c>
      <c r="BA18" s="253">
        <f>TAN(RADIANS(Slope-(Z5_Blinder2-90)))*BA17</f>
        <v>4.0258741508942419</v>
      </c>
      <c r="BB18" s="670">
        <f>TAN(RADIANS(Slope-(Z6_Blinder2-90)))*BB17</f>
        <v>8.6407644895762861</v>
      </c>
      <c r="BC18" s="522"/>
      <c r="BE18" s="253">
        <f>TAN(RADIANS(Slope+90-Z1_Blinder2))*BE17</f>
        <v>70.314221033927012</v>
      </c>
      <c r="BF18" s="253">
        <f>TAN(RADIANS(Slope-(Z1B_Blinder2-90)))*BF17</f>
        <v>35.319124851143073</v>
      </c>
      <c r="BG18" s="253">
        <f>TAN(RADIANS(Slope-(Z2_Blinder2-90)))*BG17</f>
        <v>108.00955611970356</v>
      </c>
      <c r="BH18" s="253">
        <f>TAN(RADIANS(Slope-(Z3_Blinder2-90)))*BH17</f>
        <v>108.00955611970356</v>
      </c>
      <c r="BI18" s="253">
        <f>TAN(RADIANS(Slope-(Z4_Blinder2-90)))*BI17</f>
        <v>4.7389598229175887</v>
      </c>
      <c r="BJ18" s="253">
        <f>TAN(RADIANS(Slope-(Z5_Blinder2-90)))*BJ17</f>
        <v>11.423417903162413</v>
      </c>
      <c r="BK18" s="533"/>
      <c r="BL18" s="670">
        <f>TAN(RADIANS(Slope-(Z5_Blinder2-90)))*BL17</f>
        <v>11.423417903162413</v>
      </c>
      <c r="BM18" s="533"/>
      <c r="BN18" s="102">
        <f>P21</f>
        <v>10.8</v>
      </c>
      <c r="BO18" s="100">
        <f>BO16</f>
        <v>25.771880511516247</v>
      </c>
      <c r="BP18" s="98">
        <f>BP16</f>
        <v>25.96825588019156</v>
      </c>
      <c r="BQ18" s="98">
        <f t="shared" si="0"/>
        <v>25.96825588019156</v>
      </c>
      <c r="BR18" s="3"/>
      <c r="BS18" s="32">
        <f t="shared" si="2"/>
        <v>0</v>
      </c>
      <c r="BT18" s="32">
        <f t="shared" si="2"/>
        <v>0</v>
      </c>
      <c r="BU18" s="3"/>
      <c r="BV18" s="32" t="e">
        <f>#REF!*$BW$4</f>
        <v>#REF!</v>
      </c>
      <c r="BW18" s="32" t="e">
        <f>#REF!*$BW$4</f>
        <v>#REF!</v>
      </c>
      <c r="BX18" s="3"/>
      <c r="BY18" s="3"/>
      <c r="BZ18" s="3"/>
      <c r="CA18" s="3"/>
      <c r="CB18" s="3"/>
      <c r="CC18" s="3"/>
      <c r="CD18" s="3"/>
      <c r="CE18" s="3"/>
      <c r="CF18" s="3"/>
    </row>
    <row r="19" spans="1:84" ht="13.5">
      <c r="C19" s="244">
        <f>IF(Load_Comp=0,AH185,AH181)+_Dir1</f>
        <v>36.032072301425075</v>
      </c>
      <c r="D19" s="234">
        <f>IF(Load_Comp=0,AI185,AI181)</f>
        <v>25.771880511516247</v>
      </c>
      <c r="E19" s="3"/>
      <c r="F19" s="25">
        <f>ROUND(IF(AND(Z1B_Ang&gt;25,Z1B_Ang&lt;65),Z1B_Ang+10,IF(OR(Z1B_Ang&lt;15,Z1B_Ang&gt;80),Z1B_Ang+2,Z1B_Ang+5)),0)</f>
        <v>46</v>
      </c>
      <c r="G19" s="28">
        <f>2*ABS(X_1B/SIN(RADIANS(F19)))</f>
        <v>25.96825588019156</v>
      </c>
      <c r="H19" s="48"/>
      <c r="I19" s="244">
        <f>I18+(I21-I18)/3</f>
        <v>48.704214936310819</v>
      </c>
      <c r="J19" s="28">
        <f>2*ABS(X_2/SIN(RADIANS(I19)))</f>
        <v>28.137419273357459</v>
      </c>
      <c r="K19" s="14"/>
      <c r="L19" s="244">
        <f>L18+(L21-L18)/3</f>
        <v>51.885689200969438</v>
      </c>
      <c r="M19" s="28">
        <f>2*ABS(X_3/SIN(RADIANS(L19)))</f>
        <v>49.569074427745051</v>
      </c>
      <c r="O19" s="25">
        <f>O18+(O21-O18)/3</f>
        <v>229.83527520041707</v>
      </c>
      <c r="P19" s="28">
        <f>2*ABS(X_4/SIN(RADIANS(O19)))</f>
        <v>14.132550493790381</v>
      </c>
      <c r="Q19" s="3"/>
      <c r="R19" s="244">
        <f>R18+(R21-R18)/3</f>
        <v>250.31032904086254</v>
      </c>
      <c r="S19" s="28">
        <f>2*ABS(X_5/SIN(RADIANS(R19)))</f>
        <v>56.90729561680137</v>
      </c>
      <c r="T19" s="3"/>
      <c r="U19" s="274">
        <f>U13+180</f>
        <v>124.02678913684224</v>
      </c>
      <c r="V19" s="275">
        <f>V13</f>
        <v>106.66331695950501</v>
      </c>
      <c r="W19" s="3"/>
      <c r="X19" s="244">
        <f>X18+(X21-X18)/3</f>
        <v>249.08261849537988</v>
      </c>
      <c r="Y19" s="28">
        <f>2*ABS(X_6/SIN(RADIANS(X19)))</f>
        <v>50.101905472062896</v>
      </c>
      <c r="Z19" s="14"/>
      <c r="AA19" s="244">
        <f t="shared" si="14"/>
        <v>48.704214936310819</v>
      </c>
      <c r="AB19" s="234">
        <f t="shared" si="15"/>
        <v>28.137419273357459</v>
      </c>
      <c r="AC19" s="3"/>
      <c r="AD19" s="266">
        <f>IF(SOTF_Rev="ZR1",O13,R13)</f>
        <v>125</v>
      </c>
      <c r="AE19" s="882">
        <f t="shared" ref="AE19:AE24" si="24">IF(Rev_SOTF_OC_Only=TRUE,$AW$29,IF(SOTF_Rev="Off","No Test",AX36))</f>
        <v>7.28</v>
      </c>
      <c r="AF19" s="305">
        <f t="shared" si="17"/>
        <v>3</v>
      </c>
      <c r="AG19" s="286">
        <f t="shared" si="22"/>
        <v>13</v>
      </c>
      <c r="AH19" s="807">
        <f>IF($G16="",AH18,COS(RADIANS($F16))*$G16)*Settings!$AE$25</f>
        <v>0</v>
      </c>
      <c r="AI19" s="807">
        <f>IF($G16="",AI18,SIN(RADIANS($F16))*$G16)*Settings!$AE$25</f>
        <v>0</v>
      </c>
      <c r="AJ19" s="15"/>
      <c r="AK19" s="286">
        <f t="shared" si="23"/>
        <v>-25</v>
      </c>
      <c r="AL19" s="807">
        <f t="shared" si="20"/>
        <v>0</v>
      </c>
      <c r="AM19" s="807">
        <f t="shared" si="21"/>
        <v>0</v>
      </c>
      <c r="AN19" s="14"/>
      <c r="AO19" s="3"/>
      <c r="AU19" s="285" t="s">
        <v>406</v>
      </c>
      <c r="AV19" s="298">
        <f t="shared" ref="AV19:BB19" si="25">(AV16+AV18)</f>
        <v>20.436907991953198</v>
      </c>
      <c r="AW19" s="298">
        <f t="shared" si="25"/>
        <v>15.77849514084622</v>
      </c>
      <c r="AX19" s="298">
        <f t="shared" si="25"/>
        <v>25.546134989941496</v>
      </c>
      <c r="AY19" s="298">
        <f t="shared" si="25"/>
        <v>37.567845573443378</v>
      </c>
      <c r="AZ19" s="298">
        <f t="shared" si="25"/>
        <v>8.2233343535780463</v>
      </c>
      <c r="BA19" s="298">
        <f t="shared" si="25"/>
        <v>9.2972133667815093</v>
      </c>
      <c r="BB19" s="677">
        <f t="shared" si="25"/>
        <v>12.02171058350188</v>
      </c>
      <c r="BC19" s="529"/>
      <c r="BE19" s="298">
        <f t="shared" ref="BE19:BL19" si="26">(BE16+BE18)</f>
        <v>97.826669873246544</v>
      </c>
      <c r="BF19" s="298">
        <f t="shared" si="26"/>
        <v>49.138742010063943</v>
      </c>
      <c r="BG19" s="298">
        <f t="shared" si="26"/>
        <v>150.27138229377351</v>
      </c>
      <c r="BH19" s="298">
        <f t="shared" si="26"/>
        <v>150.27138229377351</v>
      </c>
      <c r="BI19" s="298">
        <f t="shared" si="26"/>
        <v>23.333711228277707</v>
      </c>
      <c r="BJ19" s="298">
        <f t="shared" si="26"/>
        <v>26.380842928242529</v>
      </c>
      <c r="BK19" s="540"/>
      <c r="BL19" s="677">
        <f t="shared" si="26"/>
        <v>26.380842928242529</v>
      </c>
      <c r="BM19" s="540"/>
      <c r="BN19" s="102">
        <f>P22</f>
        <v>12.175725026156499</v>
      </c>
      <c r="BO19" s="100">
        <f>BO15</f>
        <v>31.569566863407253</v>
      </c>
      <c r="BP19" s="98">
        <f>BP15</f>
        <v>26.877149679328252</v>
      </c>
      <c r="BQ19" s="98">
        <f t="shared" si="0"/>
        <v>26.877149679328252</v>
      </c>
      <c r="BR19" s="3"/>
      <c r="BS19" s="32">
        <f t="shared" si="2"/>
        <v>0</v>
      </c>
      <c r="BT19" s="32">
        <f t="shared" si="2"/>
        <v>0</v>
      </c>
      <c r="BU19" s="3"/>
      <c r="BV19" s="32" t="e">
        <f>#REF!*$BW$4</f>
        <v>#REF!</v>
      </c>
      <c r="BW19" s="32" t="e">
        <f>#REF!*$BW$4</f>
        <v>#REF!</v>
      </c>
      <c r="BX19" s="3"/>
      <c r="BY19" s="3" t="s">
        <v>416</v>
      </c>
      <c r="BZ19" s="3">
        <f>ABS(Z5E_C2*SIN(RADIANS(Z5E_Ang2-Z5_Blinder1)))</f>
        <v>19.646966583597198</v>
      </c>
      <c r="CA19" s="3"/>
    </row>
    <row r="20" spans="1:84" ht="13.5">
      <c r="C20" s="25">
        <f>IF(Load_Comp=0,AH187,AH178)+_Dir1</f>
        <v>55.496088416038084</v>
      </c>
      <c r="D20" s="28">
        <f>IF(Load_Comp=0,AI187,AI178)</f>
        <v>18.39610437769279</v>
      </c>
      <c r="F20" s="25">
        <f>(F21+F19)/2</f>
        <v>68</v>
      </c>
      <c r="G20" s="28">
        <f>2*ABS(X_1B/SIN(RADIANS(F20)))</f>
        <v>20.147028993217258</v>
      </c>
      <c r="I20" s="25">
        <f>(I21+I19)/2</f>
        <v>69.35210746815541</v>
      </c>
      <c r="J20" s="28">
        <f>2*ABS(X_2/SIN(RADIANS(I20)))</f>
        <v>22.591139338379765</v>
      </c>
      <c r="L20" s="25">
        <f>(L21+L19)/2</f>
        <v>70.942844600484719</v>
      </c>
      <c r="M20" s="28">
        <f>2*ABS(X_3/SIN(RADIANS(L20)))</f>
        <v>41.261399723395193</v>
      </c>
      <c r="O20" s="25">
        <f>(O21+O19)/2</f>
        <v>249.91763760020854</v>
      </c>
      <c r="P20" s="28">
        <f>2*ABS(X_4/SIN(RADIANS(O20)))</f>
        <v>11.499148238135696</v>
      </c>
      <c r="R20" s="25">
        <f>(R21+R19)/2</f>
        <v>260.1551645204313</v>
      </c>
      <c r="S20" s="28">
        <f>2*ABS(X_5/SIN(RADIANS(R20)))</f>
        <v>54.38078957517213</v>
      </c>
      <c r="U20" s="25">
        <v>180</v>
      </c>
      <c r="V20" s="28">
        <f>V14</f>
        <v>36</v>
      </c>
      <c r="X20" s="25">
        <f>(X21+X19)/2</f>
        <v>259.54130924768992</v>
      </c>
      <c r="Y20" s="28">
        <f>2*ABS(X_6/SIN(RADIANS(X20)))</f>
        <v>47.590669450036494</v>
      </c>
      <c r="Z20" s="14"/>
      <c r="AA20" s="244">
        <f t="shared" si="14"/>
        <v>69.35210746815541</v>
      </c>
      <c r="AB20" s="234">
        <f t="shared" si="15"/>
        <v>22.591139338379765</v>
      </c>
      <c r="AC20" s="3"/>
      <c r="AD20" s="266">
        <f>IF(SOTF_Rev="ZR1",O14,R14)</f>
        <v>128.21900962126432</v>
      </c>
      <c r="AE20" s="882">
        <f t="shared" si="24"/>
        <v>7.28</v>
      </c>
      <c r="AF20" s="305">
        <f t="shared" si="17"/>
        <v>3</v>
      </c>
      <c r="AG20" s="286">
        <f t="shared" si="22"/>
        <v>26</v>
      </c>
      <c r="AH20" s="807">
        <f>IF($G17="",AH19,COS(RADIANS($F17))*$G17)*Settings!$AE$25</f>
        <v>0</v>
      </c>
      <c r="AI20" s="807">
        <f>IF($G17="",AI19,SIN(RADIANS($F17))*$G17)*Settings!$AE$25</f>
        <v>0</v>
      </c>
      <c r="AJ20" s="15"/>
      <c r="AK20" s="286">
        <f t="shared" si="23"/>
        <v>-25</v>
      </c>
      <c r="AL20" s="807">
        <f t="shared" si="20"/>
        <v>0</v>
      </c>
      <c r="AM20" s="807">
        <f t="shared" si="21"/>
        <v>0</v>
      </c>
      <c r="AN20" s="14"/>
      <c r="AO20" s="3"/>
      <c r="AQ20" s="798">
        <f>ForwardAng</f>
        <v>48.51253735452979</v>
      </c>
      <c r="AT20" s="3"/>
      <c r="AV20" s="818"/>
      <c r="BH20" s="3"/>
      <c r="BI20" s="3"/>
      <c r="BJ20" s="3"/>
      <c r="BK20" s="3"/>
      <c r="BL20" s="3"/>
      <c r="BM20" s="3">
        <v>20</v>
      </c>
      <c r="BN20" s="102">
        <f>S13</f>
        <v>18.506942765623673</v>
      </c>
      <c r="BO20" s="100">
        <f>BO14</f>
        <v>27.2</v>
      </c>
      <c r="BP20" s="98">
        <f>BP14</f>
        <v>21</v>
      </c>
      <c r="BQ20" s="98">
        <f t="shared" si="0"/>
        <v>21</v>
      </c>
      <c r="BR20" s="3"/>
      <c r="BS20" s="32">
        <f t="shared" si="2"/>
        <v>0</v>
      </c>
      <c r="BT20" s="32">
        <f t="shared" si="2"/>
        <v>0</v>
      </c>
      <c r="BU20" s="3"/>
      <c r="BV20" s="32" t="e">
        <f>#REF!*$BW$4</f>
        <v>#REF!</v>
      </c>
      <c r="BW20" s="32" t="e">
        <f>#REF!*$BW$4</f>
        <v>#REF!</v>
      </c>
      <c r="BX20" s="3"/>
      <c r="BY20" s="3" t="s">
        <v>417</v>
      </c>
      <c r="BZ20" s="3">
        <f>ABS(Z5E_C2*COS(RADIANS(Z5E_Ang2-Z5_Blinder1)))</f>
        <v>45.108796565288387</v>
      </c>
      <c r="CA20" s="3"/>
    </row>
    <row r="21" spans="1:84" ht="13.5">
      <c r="A21" s="759"/>
      <c r="B21" s="760"/>
      <c r="C21" s="761">
        <f>90+_Dir1</f>
        <v>90</v>
      </c>
      <c r="D21" s="762">
        <f>2*X_1</f>
        <v>15.16</v>
      </c>
      <c r="E21" s="763"/>
      <c r="F21" s="761">
        <f>90+Dir1B</f>
        <v>90</v>
      </c>
      <c r="G21" s="762">
        <f>2*X_1B</f>
        <v>18.68</v>
      </c>
      <c r="H21" s="764"/>
      <c r="I21" s="761">
        <f>90+_Dir2</f>
        <v>90</v>
      </c>
      <c r="J21" s="762">
        <f>2*X_2</f>
        <v>21.14</v>
      </c>
      <c r="K21" s="763"/>
      <c r="L21" s="761">
        <f>90+_Dir3</f>
        <v>90</v>
      </c>
      <c r="M21" s="762">
        <f>2*X_3</f>
        <v>39</v>
      </c>
      <c r="N21" s="765"/>
      <c r="O21" s="761">
        <f>90+_Dir4</f>
        <v>270</v>
      </c>
      <c r="P21" s="762">
        <f>2*X_4</f>
        <v>10.8</v>
      </c>
      <c r="Q21" s="403"/>
      <c r="R21" s="761">
        <f>90+_Dir6</f>
        <v>270</v>
      </c>
      <c r="S21" s="762">
        <f>2*X_5</f>
        <v>53.58</v>
      </c>
      <c r="T21" s="3"/>
      <c r="U21" s="274">
        <f>U16+180</f>
        <v>235.97321086315776</v>
      </c>
      <c r="V21" s="275">
        <f>V16</f>
        <v>106.66331695950501</v>
      </c>
      <c r="W21" s="3"/>
      <c r="X21" s="25">
        <f>90+_Dir6</f>
        <v>270</v>
      </c>
      <c r="Y21" s="28">
        <f>2*X_6</f>
        <v>46.8</v>
      </c>
      <c r="Z21" s="44"/>
      <c r="AA21" s="244">
        <f t="shared" si="14"/>
        <v>90</v>
      </c>
      <c r="AB21" s="234">
        <f t="shared" si="15"/>
        <v>21.14</v>
      </c>
      <c r="AC21" s="3"/>
      <c r="AD21" s="266">
        <f>IF(SOTF_Rev="ZR1",O15,R15)</f>
        <v>180</v>
      </c>
      <c r="AE21" s="882">
        <f t="shared" si="24"/>
        <v>7.28</v>
      </c>
      <c r="AF21" s="305">
        <f t="shared" si="17"/>
        <v>3</v>
      </c>
      <c r="AG21" s="813">
        <f t="shared" si="22"/>
        <v>35.690267865654384</v>
      </c>
      <c r="AH21" s="814">
        <f>IF($G18="",AH20,COS(RADIANS($F18))*$G18)*Settings!$AE$25</f>
        <v>0</v>
      </c>
      <c r="AI21" s="814">
        <f>IF($G18="",AI20,SIN(RADIANS($F18))*$G18)*Settings!$AE$25</f>
        <v>0</v>
      </c>
      <c r="AJ21" s="15"/>
      <c r="AK21" s="813">
        <f t="shared" si="23"/>
        <v>-25</v>
      </c>
      <c r="AL21" s="814">
        <f t="shared" si="20"/>
        <v>0</v>
      </c>
      <c r="AM21" s="814">
        <f t="shared" si="21"/>
        <v>0</v>
      </c>
      <c r="AN21" s="14"/>
      <c r="AO21" s="3"/>
      <c r="AQ21" s="1192" t="s">
        <v>759</v>
      </c>
      <c r="AR21" s="1193"/>
      <c r="AS21" s="1192" t="s">
        <v>760</v>
      </c>
      <c r="AT21" s="1193"/>
      <c r="AU21" s="1192" t="s">
        <v>63</v>
      </c>
      <c r="AV21" s="1193"/>
      <c r="AW21" s="1169" t="s">
        <v>761</v>
      </c>
      <c r="AX21" s="1169"/>
      <c r="AY21" s="1169" t="s">
        <v>65</v>
      </c>
      <c r="AZ21" s="1169"/>
      <c r="BA21" s="1169" t="s">
        <v>66</v>
      </c>
      <c r="BB21" s="1169"/>
      <c r="BC21" s="1169" t="s">
        <v>611</v>
      </c>
      <c r="BD21" s="1169"/>
      <c r="BE21" s="1169" t="s">
        <v>358</v>
      </c>
      <c r="BF21" s="1169"/>
      <c r="BG21" s="1169" t="s">
        <v>84</v>
      </c>
      <c r="BH21" s="1169"/>
      <c r="BI21" s="1169" t="s">
        <v>758</v>
      </c>
      <c r="BJ21" s="1169"/>
      <c r="BK21" s="1184" t="s">
        <v>914</v>
      </c>
      <c r="BL21" s="1185"/>
      <c r="BM21" s="3">
        <v>21</v>
      </c>
      <c r="BN21" s="102">
        <f>S15</f>
        <v>16</v>
      </c>
      <c r="BO21" s="100">
        <f>BO19</f>
        <v>31.569566863407253</v>
      </c>
      <c r="BP21" s="98">
        <f>BP19</f>
        <v>26.877149679328252</v>
      </c>
      <c r="BQ21" s="98">
        <f t="shared" si="0"/>
        <v>26.877149679328252</v>
      </c>
      <c r="BR21" s="3"/>
      <c r="BS21" s="32">
        <f t="shared" si="2"/>
        <v>0</v>
      </c>
      <c r="BT21" s="32">
        <f t="shared" si="2"/>
        <v>0</v>
      </c>
      <c r="BU21" s="3"/>
      <c r="BV21" s="32" t="e">
        <f>#REF!*$BW$4</f>
        <v>#REF!</v>
      </c>
      <c r="BW21" s="32" t="e">
        <f>#REF!*$BW$4</f>
        <v>#REF!</v>
      </c>
      <c r="BX21" s="3"/>
      <c r="BY21" s="3" t="s">
        <v>418</v>
      </c>
      <c r="BZ21" s="300">
        <f>(BZ19*(TAN(RADIANS(90-Slope+Z5_Blinder1))))</f>
        <v>-16.485762414048761</v>
      </c>
      <c r="CA21" s="3"/>
    </row>
    <row r="22" spans="1:84" ht="13.5">
      <c r="A22" s="760"/>
      <c r="B22" s="760"/>
      <c r="C22" s="761">
        <f>(Z1_Blinder2+C21)/2</f>
        <v>102.5</v>
      </c>
      <c r="D22" s="762">
        <f>2*ABS(X_1/SIN(RADIANS(C22)))</f>
        <v>15.52807743700796</v>
      </c>
      <c r="E22" s="763"/>
      <c r="F22" s="761">
        <f>(Z1B_Blinder2+F21)/2</f>
        <v>102.5</v>
      </c>
      <c r="G22" s="762">
        <f>2*ABS(X_1B/SIN(RADIANS(F22)))</f>
        <v>19.133541327395033</v>
      </c>
      <c r="H22" s="764"/>
      <c r="I22" s="761">
        <f>(Z2_Blinder2+I21)/2</f>
        <v>102.5</v>
      </c>
      <c r="J22" s="762">
        <f>2*ABS(X_2/SIN(RADIANS(I22)))</f>
        <v>21.653268932608725</v>
      </c>
      <c r="K22" s="763"/>
      <c r="L22" s="761">
        <f>(Z3_Blinder2+L21)/2</f>
        <v>102.5</v>
      </c>
      <c r="M22" s="762">
        <f>2*ABS(X_3/SIN(RADIANS(L22)))</f>
        <v>39.946901058265858</v>
      </c>
      <c r="N22" s="765"/>
      <c r="O22" s="761">
        <f>(Z4_Blinder2+O21)/2</f>
        <v>297.5</v>
      </c>
      <c r="P22" s="762">
        <f>2*ABS(X_4/SIN(RADIANS(O22)))</f>
        <v>12.175725026156499</v>
      </c>
      <c r="Q22" s="403"/>
      <c r="R22" s="766">
        <f>(Z5_Blinder2+R21)/2</f>
        <v>290.60867994460727</v>
      </c>
      <c r="S22" s="762">
        <f>2*ABS(X_5/SIN(RADIANS(R22)))</f>
        <v>57.243209147467979</v>
      </c>
      <c r="T22" s="365"/>
      <c r="U22" s="25">
        <v>270</v>
      </c>
      <c r="V22" s="28">
        <f>V18</f>
        <v>88.4</v>
      </c>
      <c r="W22" s="365"/>
      <c r="X22" s="25">
        <f>(Z6_Blinder2+X21)/2</f>
        <v>282.5</v>
      </c>
      <c r="Y22" s="28">
        <f>2*ABS(X_6/SIN(RADIANS(X22)))</f>
        <v>47.936281269919021</v>
      </c>
      <c r="Z22" s="16"/>
      <c r="AA22" s="244">
        <f t="shared" si="14"/>
        <v>102.5</v>
      </c>
      <c r="AB22" s="234">
        <f t="shared" si="15"/>
        <v>21.653268932608725</v>
      </c>
      <c r="AC22" s="3"/>
      <c r="AD22" s="266">
        <f>IF(SOTF_Rev="ZR1",O18,R18)</f>
        <v>240.46549356129381</v>
      </c>
      <c r="AE22" s="882">
        <f t="shared" si="24"/>
        <v>7.28</v>
      </c>
      <c r="AF22" s="305">
        <f t="shared" si="17"/>
        <v>3</v>
      </c>
      <c r="AG22" s="286">
        <f t="shared" si="22"/>
        <v>46</v>
      </c>
      <c r="AH22" s="807">
        <f>IF($G19="",AH21,COS(RADIANS($F19))*$G19)*Settings!$AE$25</f>
        <v>0</v>
      </c>
      <c r="AI22" s="807">
        <f>IF($G19="",AI21,SIN(RADIANS($F19))*$G19)*Settings!$AE$25</f>
        <v>0</v>
      </c>
      <c r="AJ22" s="15"/>
      <c r="AK22" s="286">
        <f t="shared" si="23"/>
        <v>-25</v>
      </c>
      <c r="AL22" s="807">
        <f t="shared" si="20"/>
        <v>0</v>
      </c>
      <c r="AM22" s="807">
        <f t="shared" si="21"/>
        <v>0</v>
      </c>
      <c r="AN22" s="14"/>
      <c r="AO22" s="3"/>
      <c r="AP22" s="46" t="s">
        <v>68</v>
      </c>
      <c r="AQ22" s="84">
        <f>TestVZ4/2/SIN(RADIANS(ForwardAng))</f>
        <v>43.577767971426383</v>
      </c>
      <c r="AR22" s="85">
        <f>270+ForwardAng</f>
        <v>318.5125373545298</v>
      </c>
      <c r="AS22" s="84">
        <f>TestVZ5/2/SIN(RADIANS(ReverseAng))</f>
        <v>29.320369410082726</v>
      </c>
      <c r="AT22" s="85">
        <f>270+ReverseAng</f>
        <v>280.07363083579543</v>
      </c>
      <c r="AU22" s="84">
        <f>TestVZ1/2/SIN(RADIANS(_Ang1))</f>
        <v>38.850768655079897</v>
      </c>
      <c r="AV22" s="85">
        <f>270+_Ang1</f>
        <v>312.00746533102551</v>
      </c>
      <c r="AW22" s="84">
        <f>TestVZ1B/2/SIN(RADIANS(Ang1B))</f>
        <v>56.036789032619481</v>
      </c>
      <c r="AX22" s="85">
        <f>270+Ang1B</f>
        <v>328.99131530405805</v>
      </c>
      <c r="AY22" s="84">
        <f>TestVZ2/2/SIN(RADIANS(_Ang2))</f>
        <v>62.115877399345649</v>
      </c>
      <c r="AZ22" s="85">
        <f>270+_Ang2</f>
        <v>332.30594980294353</v>
      </c>
      <c r="BA22" s="84">
        <f>TestVZ3/2/SIN(RADIANS(_Ang3))</f>
        <v>62.115877399345649</v>
      </c>
      <c r="BB22" s="85">
        <f>270+_Ang3</f>
        <v>332.30594980294353</v>
      </c>
      <c r="BC22" s="84">
        <f>AP75</f>
        <v>30.204637061219593</v>
      </c>
      <c r="BD22" s="85">
        <f>90+AP74</f>
        <v>96.673266453279908</v>
      </c>
      <c r="BE22" s="84">
        <f>TestVPTT/2/SIN(RADIANS(DEGREES(ATAN(TestVPTT/Vh))))</f>
        <v>62.115877399345649</v>
      </c>
      <c r="BF22" s="85">
        <f>270+(DEGREES(ATAN(TestVPTT/Vh)))</f>
        <v>332.30594980294353</v>
      </c>
      <c r="BG22" s="84">
        <f>TestVSOTF/2/SIN(RADIANS(DEGREES(ATAN(TestVSOTF/Vh))))</f>
        <v>30.86468248808885</v>
      </c>
      <c r="BH22" s="85">
        <f>270+(DEGREES(ATAN(TestVSOTF/Vh)))</f>
        <v>290.72006658949857</v>
      </c>
      <c r="BI22" s="84">
        <f>TestVZND/2/SIN(RADIANS(DEGREES(ATAN(TestVZND/Vh))))</f>
        <v>62.115877399345649</v>
      </c>
      <c r="BJ22" s="85">
        <f>270+(DEGREES(ATAN(TestVZND/Vh)))</f>
        <v>332.30594980294353</v>
      </c>
      <c r="BK22" s="84">
        <f>TestVZ6/2/SIN(RADIANS(_Ang6))</f>
        <v>30.507980365762332</v>
      </c>
      <c r="BL22" s="85">
        <f>270+_Ang6</f>
        <v>288.86978837075861</v>
      </c>
      <c r="BM22" s="3">
        <v>22</v>
      </c>
      <c r="BN22" s="102">
        <f>S17</f>
        <v>27.155092645734218</v>
      </c>
      <c r="BO22" s="100">
        <f>BO18</f>
        <v>25.771880511516247</v>
      </c>
      <c r="BP22" s="98">
        <f>BP18</f>
        <v>25.96825588019156</v>
      </c>
      <c r="BQ22" s="98">
        <f t="shared" si="0"/>
        <v>25.96825588019156</v>
      </c>
      <c r="BR22" s="3"/>
      <c r="BS22" s="32">
        <f t="shared" si="2"/>
        <v>0</v>
      </c>
      <c r="BT22" s="32">
        <f t="shared" si="2"/>
        <v>0</v>
      </c>
      <c r="BU22" s="3"/>
      <c r="BV22" s="32" t="e">
        <f>#REF!*$BW$4</f>
        <v>#REF!</v>
      </c>
      <c r="BW22" s="32" t="e">
        <f>#REF!*$BW$4</f>
        <v>#REF!</v>
      </c>
      <c r="BX22" s="3"/>
      <c r="BY22" s="3"/>
      <c r="BZ22" s="301">
        <f>BZ20+BZ21</f>
        <v>28.623034151239626</v>
      </c>
    </row>
    <row r="23" spans="1:84" ht="13.5">
      <c r="A23" s="767"/>
      <c r="B23" s="760"/>
      <c r="C23" s="761">
        <f>_Dir1+AngQ2-DirDelta</f>
        <v>115</v>
      </c>
      <c r="D23" s="762">
        <f>2*ABS(X_1/SIN(RADIANS(C23)))</f>
        <v>16.727209251471372</v>
      </c>
      <c r="E23" s="763"/>
      <c r="F23" s="761">
        <f>Dir1B+AngQ2-DirDelta</f>
        <v>115</v>
      </c>
      <c r="G23" s="762">
        <f>2*ABS(X_1B/SIN(RADIANS(F23)))</f>
        <v>20.611099526219345</v>
      </c>
      <c r="H23" s="764"/>
      <c r="I23" s="761">
        <f>_Dir2+AngQ2-DirDelta</f>
        <v>115</v>
      </c>
      <c r="J23" s="762">
        <f>2*ABS(X_2/SIN(RADIANS(I23)))</f>
        <v>23.325409206867075</v>
      </c>
      <c r="K23" s="763"/>
      <c r="L23" s="761">
        <f>_Dir3+AngQ2-DirDelta</f>
        <v>115</v>
      </c>
      <c r="M23" s="762">
        <f>2*ABS(X_3/SIN(RADIANS(L23)))</f>
        <v>43.031738839537176</v>
      </c>
      <c r="N23" s="765"/>
      <c r="O23" s="761">
        <f>MIN(360-ZBS-DirDelta,BD74)</f>
        <v>325</v>
      </c>
      <c r="P23" s="762">
        <f>2*ABS(X_4/SIN(RADIANS(O23)))</f>
        <v>18.829225392707848</v>
      </c>
      <c r="Q23" s="403"/>
      <c r="R23" s="766">
        <f>MIN(360-ZBS-DirDelta,BD78)</f>
        <v>311.21735988921461</v>
      </c>
      <c r="S23" s="762">
        <f>2*ABS(X_5/SIN(RADIANS(R23)))</f>
        <v>71.22960674847053</v>
      </c>
      <c r="T23" s="3"/>
      <c r="U23" s="274"/>
      <c r="V23" s="275"/>
      <c r="W23" s="3"/>
      <c r="X23" s="25">
        <f>_Dir6+AngQ2-DirDelta</f>
        <v>295</v>
      </c>
      <c r="Y23" s="28">
        <f>2*ABS(X_6/SIN(RADIANS(X23)))</f>
        <v>51.638086607444613</v>
      </c>
      <c r="Z23" s="61"/>
      <c r="AA23" s="244">
        <f t="shared" si="14"/>
        <v>115</v>
      </c>
      <c r="AB23" s="234">
        <f t="shared" si="15"/>
        <v>23.325409206867075</v>
      </c>
      <c r="AC23" s="3"/>
      <c r="AD23" s="266">
        <f>IF(SOTF_Rev="ZR1",O21,R21)</f>
        <v>270</v>
      </c>
      <c r="AE23" s="882">
        <f t="shared" si="24"/>
        <v>7.28</v>
      </c>
      <c r="AF23" s="305">
        <f t="shared" si="17"/>
        <v>3</v>
      </c>
      <c r="AG23" s="286">
        <f t="shared" si="22"/>
        <v>68</v>
      </c>
      <c r="AH23" s="807">
        <f>IF($G20="",AH22,COS(RADIANS($F20))*$G20)*Settings!$AE$25</f>
        <v>0</v>
      </c>
      <c r="AI23" s="807">
        <f>IF($G20="",AI22,SIN(RADIANS($F20))*$G20)*Settings!$AE$25</f>
        <v>0</v>
      </c>
      <c r="AJ23" s="15"/>
      <c r="AK23" s="286">
        <f t="shared" si="23"/>
        <v>-25</v>
      </c>
      <c r="AL23" s="807">
        <f t="shared" si="20"/>
        <v>0</v>
      </c>
      <c r="AM23" s="807">
        <f t="shared" si="21"/>
        <v>0</v>
      </c>
      <c r="AN23" s="14"/>
      <c r="AO23" s="3"/>
      <c r="AP23" s="46" t="s">
        <v>67</v>
      </c>
      <c r="AQ23" s="84">
        <f>AQ22</f>
        <v>43.577767971426383</v>
      </c>
      <c r="AR23" s="85">
        <f>270-ForwardAng</f>
        <v>221.4874626454702</v>
      </c>
      <c r="AS23" s="84">
        <f>AS22</f>
        <v>29.320369410082726</v>
      </c>
      <c r="AT23" s="85">
        <f>270-ReverseAng</f>
        <v>259.92636916420457</v>
      </c>
      <c r="AU23" s="84">
        <f>AU22</f>
        <v>38.850768655079897</v>
      </c>
      <c r="AV23" s="85">
        <f>270-_Ang1</f>
        <v>227.99253466897449</v>
      </c>
      <c r="AW23" s="84">
        <f>AW22</f>
        <v>56.036789032619481</v>
      </c>
      <c r="AX23" s="85">
        <f>270-Ang1B</f>
        <v>211.00868469594195</v>
      </c>
      <c r="AY23" s="84">
        <f>AY22</f>
        <v>62.115877399345649</v>
      </c>
      <c r="AZ23" s="85">
        <f>270-_Ang2</f>
        <v>207.69405019705644</v>
      </c>
      <c r="BA23" s="84">
        <f>BA22</f>
        <v>62.115877399345649</v>
      </c>
      <c r="BB23" s="85">
        <f>270-_Ang3</f>
        <v>207.69405019705644</v>
      </c>
      <c r="BC23" s="84">
        <f>BC22</f>
        <v>30.204637061219593</v>
      </c>
      <c r="BD23" s="85">
        <f>90-AP74</f>
        <v>83.326733546720092</v>
      </c>
      <c r="BE23" s="84">
        <f>BE22</f>
        <v>62.115877399345649</v>
      </c>
      <c r="BF23" s="85">
        <f>270-(DEGREES(ATAN(TestVPTT/Vh)))</f>
        <v>207.69405019705644</v>
      </c>
      <c r="BG23" s="84">
        <f>BG22</f>
        <v>30.86468248808885</v>
      </c>
      <c r="BH23" s="85">
        <f>270-(DEGREES(ATAN(TestVSOTF/Vh)))</f>
        <v>249.27993341050143</v>
      </c>
      <c r="BI23" s="84">
        <f>BI22</f>
        <v>62.115877399345649</v>
      </c>
      <c r="BJ23" s="85">
        <f>270-(DEGREES(ATAN(TestVZND/Vh)))</f>
        <v>207.69405019705644</v>
      </c>
      <c r="BK23" s="84">
        <f>BK22</f>
        <v>30.507980365762332</v>
      </c>
      <c r="BL23" s="85">
        <f>270-_Ang6</f>
        <v>251.13021162924139</v>
      </c>
      <c r="BM23" s="3">
        <v>23</v>
      </c>
      <c r="BN23" s="102">
        <f>S19</f>
        <v>56.90729561680137</v>
      </c>
      <c r="BO23" s="100">
        <f>BO17</f>
        <v>15.16</v>
      </c>
      <c r="BP23" s="98">
        <f>BP17</f>
        <v>18.68</v>
      </c>
      <c r="BQ23" s="98">
        <f t="shared" si="0"/>
        <v>18.68</v>
      </c>
      <c r="BR23" s="3"/>
      <c r="BS23" s="32">
        <f t="shared" si="2"/>
        <v>0</v>
      </c>
      <c r="BT23" s="32">
        <f t="shared" si="2"/>
        <v>0</v>
      </c>
      <c r="BU23" s="3"/>
      <c r="BV23" s="32" t="e">
        <f>#REF!*$BW$4</f>
        <v>#REF!</v>
      </c>
      <c r="BW23" s="32" t="e">
        <f>#REF!*$BW$4</f>
        <v>#REF!</v>
      </c>
      <c r="BX23" s="3"/>
      <c r="BY23" s="3"/>
      <c r="BZ23" s="3"/>
      <c r="CA23" s="3"/>
    </row>
    <row r="24" spans="1:84" ht="14.25" thickBot="1">
      <c r="A24" s="768"/>
      <c r="B24" s="769"/>
      <c r="C24" s="769"/>
      <c r="D24" s="769"/>
      <c r="E24" s="769"/>
      <c r="F24" s="769"/>
      <c r="G24" s="769"/>
      <c r="H24" s="769"/>
      <c r="I24" s="769"/>
      <c r="J24" s="769"/>
      <c r="K24" s="769"/>
      <c r="L24" s="769"/>
      <c r="M24" s="769"/>
      <c r="N24" s="769"/>
      <c r="O24" s="761" t="str">
        <f>IF(BD75=Z4_Blinder2,"",BD75)</f>
        <v/>
      </c>
      <c r="P24" s="771" t="str">
        <f>IF(O24="","",BE75)</f>
        <v/>
      </c>
      <c r="Q24" s="768"/>
      <c r="R24" s="770">
        <f>IF(BD79=Z5_Blinder2,"",BD75)</f>
        <v>325</v>
      </c>
      <c r="S24" s="771">
        <f>IF(R24="","",BE79)</f>
        <v>32.787050903760331</v>
      </c>
      <c r="T24" s="79"/>
      <c r="U24" s="79"/>
      <c r="V24" s="79"/>
      <c r="W24" s="79"/>
      <c r="X24" s="770"/>
      <c r="Y24" s="771" t="str">
        <f>IF(X24="","",BK79)</f>
        <v/>
      </c>
      <c r="Z24" s="77"/>
      <c r="AA24" s="769"/>
      <c r="AB24" s="769"/>
      <c r="AC24" s="3"/>
      <c r="AD24" s="266">
        <f>IF(SOTF_Rev="ZR1",O22,R22)</f>
        <v>290.60867994460727</v>
      </c>
      <c r="AE24" s="882">
        <f t="shared" si="24"/>
        <v>7.28</v>
      </c>
      <c r="AF24" s="305">
        <f t="shared" si="17"/>
        <v>3</v>
      </c>
      <c r="AG24" s="286">
        <f t="shared" si="22"/>
        <v>90</v>
      </c>
      <c r="AH24" s="807">
        <f>IF($G21="",AH23,COS(RADIANS($F21))*$G21)*Settings!$AE$25</f>
        <v>0</v>
      </c>
      <c r="AI24" s="807">
        <f>IF($G21="",AI23,SIN(RADIANS($F21))*$G21)*Settings!$AE$25</f>
        <v>0</v>
      </c>
      <c r="AJ24" s="15"/>
      <c r="AK24" s="286">
        <f t="shared" si="23"/>
        <v>-25</v>
      </c>
      <c r="AL24" s="807">
        <f t="shared" si="20"/>
        <v>0</v>
      </c>
      <c r="AM24" s="807">
        <f t="shared" si="21"/>
        <v>0</v>
      </c>
      <c r="AN24" s="14"/>
      <c r="AO24" s="3"/>
      <c r="AP24" s="46" t="s">
        <v>69</v>
      </c>
      <c r="AQ24" s="84">
        <f>Vh</f>
        <v>57.736720554272516</v>
      </c>
      <c r="AR24" s="85">
        <v>90</v>
      </c>
      <c r="AS24" s="84">
        <f>Vh</f>
        <v>57.736720554272516</v>
      </c>
      <c r="AT24" s="85">
        <v>90</v>
      </c>
      <c r="AU24" s="84">
        <f>Vh</f>
        <v>57.736720554272516</v>
      </c>
      <c r="AV24" s="85">
        <v>90</v>
      </c>
      <c r="AW24" s="84">
        <f>Vh</f>
        <v>57.736720554272516</v>
      </c>
      <c r="AX24" s="85">
        <v>90</v>
      </c>
      <c r="AY24" s="84">
        <f>Vh</f>
        <v>57.736720554272516</v>
      </c>
      <c r="AZ24" s="85">
        <v>90</v>
      </c>
      <c r="BA24" s="84">
        <f>Vh</f>
        <v>57.736720554272516</v>
      </c>
      <c r="BB24" s="85">
        <v>90</v>
      </c>
      <c r="BC24" s="84">
        <f>60</f>
        <v>60</v>
      </c>
      <c r="BD24" s="85">
        <f>270</f>
        <v>270</v>
      </c>
      <c r="BE24" s="227">
        <f>Vh</f>
        <v>57.736720554272516</v>
      </c>
      <c r="BF24" s="85">
        <v>90</v>
      </c>
      <c r="BG24" s="227">
        <f>Vh</f>
        <v>57.736720554272516</v>
      </c>
      <c r="BH24" s="85">
        <v>90</v>
      </c>
      <c r="BI24" s="227">
        <f>Vh</f>
        <v>57.736720554272516</v>
      </c>
      <c r="BJ24" s="85">
        <v>90</v>
      </c>
      <c r="BK24" s="84">
        <f>Vh</f>
        <v>57.736720554272516</v>
      </c>
      <c r="BL24" s="85">
        <v>90</v>
      </c>
      <c r="BM24" s="3">
        <v>24</v>
      </c>
      <c r="BN24" s="102">
        <f>S21</f>
        <v>53.58</v>
      </c>
      <c r="BO24" s="100">
        <f>BO16</f>
        <v>25.771880511516247</v>
      </c>
      <c r="BP24" s="98">
        <f>BP16</f>
        <v>25.96825588019156</v>
      </c>
      <c r="BQ24" s="98">
        <f t="shared" si="0"/>
        <v>25.96825588019156</v>
      </c>
      <c r="BR24" s="3"/>
      <c r="BS24" s="32">
        <f t="shared" si="2"/>
        <v>0</v>
      </c>
      <c r="BT24" s="32">
        <f t="shared" si="2"/>
        <v>0</v>
      </c>
      <c r="BU24" s="3"/>
      <c r="BV24" s="32" t="e">
        <f>#REF!*$BW$4</f>
        <v>#REF!</v>
      </c>
      <c r="BW24" s="32" t="e">
        <f>#REF!*$BW$4</f>
        <v>#REF!</v>
      </c>
      <c r="BX24" s="3"/>
      <c r="BY24" s="3"/>
      <c r="BZ24" s="3"/>
      <c r="CA24" s="3"/>
    </row>
    <row r="25" spans="1:84" ht="13.5">
      <c r="A25" s="97" t="s">
        <v>31</v>
      </c>
      <c r="B25" s="61"/>
      <c r="C25" s="61"/>
      <c r="D25" s="61"/>
      <c r="E25" s="61"/>
      <c r="F25" s="61"/>
      <c r="G25" s="71" t="s">
        <v>50</v>
      </c>
      <c r="H25" s="72">
        <f>I_Nom</f>
        <v>1</v>
      </c>
      <c r="I25" s="3"/>
      <c r="J25" s="3"/>
      <c r="K25" s="3"/>
      <c r="L25" s="3"/>
      <c r="M25" s="3"/>
      <c r="N25" s="3"/>
      <c r="O25" s="3"/>
      <c r="P25" s="3"/>
      <c r="Q25" s="3"/>
      <c r="R25" s="3"/>
      <c r="S25" s="3"/>
      <c r="T25" s="3"/>
      <c r="U25" s="3"/>
      <c r="V25" s="3"/>
      <c r="W25" s="3"/>
      <c r="X25" s="3"/>
      <c r="Y25" s="3"/>
      <c r="Z25" s="3"/>
      <c r="AA25" s="11"/>
      <c r="AB25" s="11"/>
      <c r="AC25" s="3"/>
      <c r="AF25" s="3"/>
      <c r="AG25" s="286">
        <f t="shared" si="22"/>
        <v>102.5</v>
      </c>
      <c r="AH25" s="807">
        <f>IF($G22="",AH24,COS(RADIANS($F22))*$G22)*Settings!$AE$25</f>
        <v>0</v>
      </c>
      <c r="AI25" s="807">
        <f>IF($G22="",AI24,SIN(RADIANS($F22))*$G22)*Settings!$AE$25</f>
        <v>0</v>
      </c>
      <c r="AJ25" s="15"/>
      <c r="AK25" s="286">
        <f t="shared" si="23"/>
        <v>-25</v>
      </c>
      <c r="AL25" s="807">
        <f t="shared" si="20"/>
        <v>0</v>
      </c>
      <c r="AM25" s="807">
        <f t="shared" si="21"/>
        <v>0</v>
      </c>
      <c r="AN25" s="14"/>
      <c r="AO25" s="3"/>
      <c r="AP25" s="37" t="s">
        <v>73</v>
      </c>
      <c r="AQ25" s="121" t="s">
        <v>60</v>
      </c>
      <c r="AR25" s="37"/>
      <c r="AS25" s="121" t="s">
        <v>62</v>
      </c>
      <c r="AT25" s="37"/>
      <c r="AU25" s="121" t="s">
        <v>60</v>
      </c>
      <c r="AV25" s="37"/>
      <c r="AW25" s="121" t="s">
        <v>62</v>
      </c>
      <c r="AX25" s="37"/>
      <c r="AY25" s="121" t="s">
        <v>62</v>
      </c>
      <c r="AZ25" s="37"/>
      <c r="BA25" s="121" t="s">
        <v>62</v>
      </c>
      <c r="BB25" s="37"/>
      <c r="BC25" s="518" t="str">
        <f>AT6</f>
        <v>R-S</v>
      </c>
      <c r="BD25" s="37"/>
      <c r="BE25" s="121" t="s">
        <v>61</v>
      </c>
      <c r="BF25" s="37"/>
      <c r="BG25" s="121" t="s">
        <v>60</v>
      </c>
      <c r="BH25" s="37"/>
      <c r="BI25" s="121" t="s">
        <v>62</v>
      </c>
      <c r="BJ25" s="37"/>
      <c r="BK25" s="121" t="s">
        <v>62</v>
      </c>
      <c r="BL25" s="37"/>
      <c r="BM25" s="3">
        <v>25</v>
      </c>
      <c r="BN25" s="102">
        <f>S22</f>
        <v>57.243209147467979</v>
      </c>
      <c r="BO25" s="100">
        <f>BO15</f>
        <v>31.569566863407253</v>
      </c>
      <c r="BP25" s="98">
        <f>BP15</f>
        <v>26.877149679328252</v>
      </c>
      <c r="BQ25" s="98">
        <f t="shared" si="0"/>
        <v>26.877149679328252</v>
      </c>
      <c r="BR25" s="3"/>
      <c r="BS25" s="32">
        <f t="shared" si="2"/>
        <v>0</v>
      </c>
      <c r="BT25" s="32">
        <f t="shared" si="2"/>
        <v>0</v>
      </c>
      <c r="BU25" s="3"/>
      <c r="BV25" s="32" t="e">
        <f>#REF!*$BW$4</f>
        <v>#REF!</v>
      </c>
      <c r="BW25" s="32" t="e">
        <f>#REF!*$BW$4</f>
        <v>#REF!</v>
      </c>
      <c r="BX25" s="3"/>
      <c r="BY25" s="3"/>
      <c r="BZ25" s="3"/>
      <c r="CA25" s="3"/>
    </row>
    <row r="26" spans="1:84" ht="13.5">
      <c r="A26" s="3"/>
      <c r="B26" s="15"/>
      <c r="C26" s="470" t="str">
        <f>"Z1G, " &amp; Settings!C103</f>
        <v>Z1G, Forward</v>
      </c>
      <c r="D26" s="471"/>
      <c r="E26" s="59"/>
      <c r="F26" s="470" t="str">
        <f>F4</f>
        <v>Z1X, Off</v>
      </c>
      <c r="G26" s="471"/>
      <c r="H26" s="58"/>
      <c r="I26" s="470" t="str">
        <f>"Z2G, " &amp; Settings!E103</f>
        <v>Z2G, Forward</v>
      </c>
      <c r="J26" s="472"/>
      <c r="K26" s="14"/>
      <c r="L26" s="470" t="str">
        <f>"Z3G, " &amp; Settings!F103</f>
        <v>Z3G, Forward</v>
      </c>
      <c r="M26" s="280"/>
      <c r="O26" s="474" t="str">
        <f>"ZR1G, " &amp; Settings!G103</f>
        <v>ZR1G, Reverse</v>
      </c>
      <c r="P26" s="475"/>
      <c r="R26" s="685" t="str">
        <f>"ZR2G, " &amp; Settings!H103</f>
        <v>ZR2G, Reverse</v>
      </c>
      <c r="S26" s="680"/>
      <c r="U26" s="496" t="s">
        <v>713</v>
      </c>
      <c r="V26" s="497"/>
      <c r="X26" s="665" t="s">
        <v>907</v>
      </c>
      <c r="Y26" s="666"/>
      <c r="Z26" s="14"/>
      <c r="AA26" s="245" t="str">
        <f>AA4</f>
        <v>PTT Rx</v>
      </c>
      <c r="AB26" s="245" t="str">
        <f>AB4</f>
        <v>POTT, Z2</v>
      </c>
      <c r="AC26" s="59"/>
      <c r="AD26" s="59" t="str">
        <f>AD4</f>
        <v>SOTF</v>
      </c>
      <c r="AE26" s="60" t="str">
        <f>AE4</f>
        <v>OCH</v>
      </c>
      <c r="AF26" s="59"/>
      <c r="AG26" s="286">
        <f t="shared" si="22"/>
        <v>115</v>
      </c>
      <c r="AH26" s="807">
        <f>IF($G23="",AH25,COS(RADIANS($F23))*$G23)*Settings!$AE$25</f>
        <v>0</v>
      </c>
      <c r="AI26" s="807">
        <f>IF($G23="",AI25,SIN(RADIANS($F23))*$G23)*Settings!$AE$25</f>
        <v>0</v>
      </c>
      <c r="AJ26" s="15"/>
      <c r="AK26" s="286">
        <f t="shared" si="23"/>
        <v>-25</v>
      </c>
      <c r="AL26" s="807" t="s">
        <v>57</v>
      </c>
      <c r="AM26" s="807">
        <f>IF($G45="",AM25,SIN(RADIANS($F45))*$G45)*0</f>
        <v>0</v>
      </c>
      <c r="AN26" s="14"/>
      <c r="AO26" s="3"/>
      <c r="AP26" s="46" t="s">
        <v>57</v>
      </c>
      <c r="AQ26" s="46"/>
      <c r="AR26" s="83" t="s">
        <v>57</v>
      </c>
      <c r="AS26" s="3"/>
      <c r="AT26" s="3"/>
      <c r="AU26" s="3"/>
      <c r="AV26" s="3"/>
      <c r="AW26" s="3"/>
      <c r="AX26" s="3"/>
      <c r="AY26" s="3"/>
      <c r="AZ26" s="3"/>
      <c r="BA26" s="3"/>
      <c r="BB26" s="3"/>
      <c r="BC26" s="3"/>
      <c r="BD26" s="3"/>
      <c r="BE26" s="3"/>
      <c r="BF26" s="3"/>
      <c r="BG26" s="3"/>
      <c r="BH26" s="3"/>
      <c r="BI26" s="3"/>
      <c r="BJ26" s="3"/>
      <c r="BK26" s="3"/>
      <c r="BL26" s="3"/>
      <c r="BM26" s="3">
        <v>26</v>
      </c>
      <c r="BN26" s="103">
        <f>O35</f>
        <v>155</v>
      </c>
      <c r="BO26" s="99">
        <f>C37</f>
        <v>0</v>
      </c>
      <c r="BP26" s="101">
        <f>F37</f>
        <v>-25</v>
      </c>
      <c r="BQ26" s="101">
        <f t="shared" si="0"/>
        <v>-25</v>
      </c>
      <c r="BR26" s="3"/>
      <c r="BS26" s="32">
        <f t="shared" si="2"/>
        <v>0</v>
      </c>
      <c r="BT26" s="32">
        <f t="shared" si="2"/>
        <v>0</v>
      </c>
      <c r="BU26" s="3"/>
      <c r="BV26" s="32" t="e">
        <f>#REF!*$BW$4</f>
        <v>#REF!</v>
      </c>
      <c r="BW26" s="32" t="e">
        <f>#REF!*$BW$4</f>
        <v>#REF!</v>
      </c>
      <c r="BX26" s="3"/>
      <c r="BY26" s="3"/>
      <c r="BZ26" s="3"/>
      <c r="CA26" s="3"/>
    </row>
    <row r="27" spans="1:84" ht="13.5">
      <c r="A27" s="16" t="s">
        <v>32</v>
      </c>
      <c r="B27" s="16"/>
      <c r="C27" s="16"/>
      <c r="D27" s="17" t="str">
        <f>ROUND(TestVZ1E,2) &amp;"V,      0º"</f>
        <v>20.31V,      0º</v>
      </c>
      <c r="E27" s="17"/>
      <c r="F27" s="16"/>
      <c r="G27" s="17" t="str">
        <f>ROUND(TestVZ1BE,2) &amp;"V,      0º"</f>
        <v>63.51V,      0º</v>
      </c>
      <c r="H27" s="17"/>
      <c r="I27" s="49"/>
      <c r="J27" s="17" t="str">
        <f>ROUND(TestVZ2E,2) &amp;"V,      0º"</f>
        <v>28.52V,      0º</v>
      </c>
      <c r="K27" s="17"/>
      <c r="L27" s="16"/>
      <c r="M27" s="17" t="str">
        <f>ROUND(TestVZ3E,2) &amp;"V,      0º"</f>
        <v>63.51V,      0º</v>
      </c>
      <c r="O27" s="16"/>
      <c r="P27" s="17" t="str">
        <f>ROUND(TestVZ4E,2) &amp; "V,      0º"</f>
        <v>63.51V,      0º</v>
      </c>
      <c r="Q27" s="18"/>
      <c r="R27" s="16"/>
      <c r="S27" s="17" t="str">
        <f>ROUND(TestVZ5E,2) &amp; "V,      0º"</f>
        <v>63.51V,      0º</v>
      </c>
      <c r="T27" s="18"/>
      <c r="U27" s="16"/>
      <c r="V27" s="17" t="str">
        <f>ROUND(TestVNDE,2) &amp; "V,      0º"</f>
        <v>63.51V,      0º</v>
      </c>
      <c r="W27" s="18"/>
      <c r="X27" s="16"/>
      <c r="Y27" s="17" t="str">
        <f>ROUND(TestVZ6E,2) &amp; "V,      0º"</f>
        <v>20.79V,      0º</v>
      </c>
      <c r="Z27" s="17"/>
      <c r="AA27" s="246"/>
      <c r="AB27" s="821" t="str">
        <f>IF(PTT_Rx_Z_Sel="Z2(1)",J27,M27)</f>
        <v>28.52V,      0º</v>
      </c>
      <c r="AC27" s="17"/>
      <c r="AD27" s="17"/>
      <c r="AE27" s="17" t="str">
        <f>ROUND(AE32,2) &amp;"V,      0º"</f>
        <v>32.9V,      0º</v>
      </c>
      <c r="AF27" s="17"/>
      <c r="AG27" s="288" t="s">
        <v>9</v>
      </c>
      <c r="AH27" s="808">
        <f>COS(RADIANS($I13))*$J13*Settings!$AF$25</f>
        <v>30.223652528313504</v>
      </c>
      <c r="AI27" s="808">
        <f>SIN(RADIANS($I13))*$J13*Settings!$AF$25</f>
        <v>-14.093520631368273</v>
      </c>
      <c r="AJ27" s="15"/>
      <c r="AK27" s="288" t="s">
        <v>9</v>
      </c>
      <c r="AL27" s="808">
        <f>COS(RADIANS($I35))*$J35*Settings!$AF$26</f>
        <v>88.893095671510295</v>
      </c>
      <c r="AM27" s="808">
        <f>SIN(RADIANS($I35))*$J35*Settings!$AF$26</f>
        <v>-41.451531268730214</v>
      </c>
      <c r="AN27" s="14"/>
      <c r="AO27" s="3"/>
      <c r="AP27" s="46" t="s">
        <v>1167</v>
      </c>
      <c r="AQ27" s="46"/>
      <c r="AR27" s="3"/>
      <c r="AS27" s="3"/>
      <c r="AT27" s="3"/>
      <c r="BG27" s="3"/>
      <c r="BI27" s="3"/>
      <c r="BJ27" s="3"/>
      <c r="BK27" s="3"/>
      <c r="BL27" s="3"/>
      <c r="BM27" s="3">
        <v>27</v>
      </c>
      <c r="BN27" s="103">
        <f>O37</f>
        <v>180</v>
      </c>
      <c r="BO27" s="99">
        <f>C39</f>
        <v>10</v>
      </c>
      <c r="BP27" s="101">
        <f>F39</f>
        <v>-25</v>
      </c>
      <c r="BQ27" s="101">
        <f t="shared" si="0"/>
        <v>-25</v>
      </c>
      <c r="BR27" s="3"/>
      <c r="BS27" s="32">
        <f t="shared" si="2"/>
        <v>30.223652528313504</v>
      </c>
      <c r="BT27" s="32">
        <f t="shared" si="2"/>
        <v>-14.093520631368273</v>
      </c>
      <c r="BU27" s="3"/>
      <c r="BV27" s="32" t="e">
        <f>#REF!*$BW$4</f>
        <v>#REF!</v>
      </c>
      <c r="BW27" s="32" t="e">
        <f>#REF!*$BW$4</f>
        <v>#REF!</v>
      </c>
      <c r="BX27" s="3"/>
      <c r="BY27" s="3"/>
      <c r="BZ27" s="3"/>
      <c r="CA27" s="3"/>
    </row>
    <row r="28" spans="1:84" ht="13.5">
      <c r="A28" s="16" t="s">
        <v>33</v>
      </c>
      <c r="B28" s="16"/>
      <c r="C28" s="27"/>
      <c r="D28" s="19" t="str">
        <f>Vh_e  &amp;"V,  240º"</f>
        <v>63.51V,  240º</v>
      </c>
      <c r="E28" s="20"/>
      <c r="F28" s="16"/>
      <c r="G28" s="17" t="str">
        <f>$D28</f>
        <v>63.51V,  240º</v>
      </c>
      <c r="H28" s="20"/>
      <c r="I28" s="50"/>
      <c r="J28" s="19" t="str">
        <f>$D28</f>
        <v>63.51V,  240º</v>
      </c>
      <c r="K28" s="20"/>
      <c r="L28" s="27"/>
      <c r="M28" s="19" t="str">
        <f>$D28</f>
        <v>63.51V,  240º</v>
      </c>
      <c r="O28" s="27"/>
      <c r="P28" s="19" t="str">
        <f>$D28</f>
        <v>63.51V,  240º</v>
      </c>
      <c r="Q28" s="18"/>
      <c r="R28" s="16"/>
      <c r="S28" s="17" t="str">
        <f>$D28</f>
        <v>63.51V,  240º</v>
      </c>
      <c r="T28" s="18"/>
      <c r="U28" s="16"/>
      <c r="V28" s="17" t="str">
        <f>$D28</f>
        <v>63.51V,  240º</v>
      </c>
      <c r="W28" s="18"/>
      <c r="X28" s="16"/>
      <c r="Y28" s="17" t="str">
        <f>$D28</f>
        <v>63.51V,  240º</v>
      </c>
      <c r="Z28" s="20"/>
      <c r="AA28" s="247"/>
      <c r="AB28" s="821" t="str">
        <f>IF(PTT_Rx_Z_Sel="Z2(1)",J28,M28)</f>
        <v>63.51V,  240º</v>
      </c>
      <c r="AC28" s="19"/>
      <c r="AD28" s="19"/>
      <c r="AE28" s="19" t="str">
        <f>ROUND(Vh_e,2)  &amp;"V,  240º"</f>
        <v>63.51V,  240º</v>
      </c>
      <c r="AF28" s="19"/>
      <c r="AG28" s="288">
        <f>I14</f>
        <v>-12.5</v>
      </c>
      <c r="AH28" s="808">
        <f>IF($J14="",AH27,COS(RADIANS($I14))*$J14)*Settings!$AF$25</f>
        <v>32.093549879057811</v>
      </c>
      <c r="AI28" s="808">
        <f>IF($J14="",AI27,SIN(RADIANS($I14))*$J14)*Settings!$AF$25</f>
        <v>-7.1149687134520851</v>
      </c>
      <c r="AJ28" s="15"/>
      <c r="AK28" s="288">
        <f>I36</f>
        <v>-12.5</v>
      </c>
      <c r="AL28" s="808">
        <f>IF($J36="",AL27,COS(RADIANS($I36))*$J36)*Settings!$AF$26</f>
        <v>94.392793761934726</v>
      </c>
      <c r="AM28" s="808">
        <f>IF($J36="",AM27,SIN(RADIANS($I36))*$J36)*Settings!$AF$26</f>
        <v>-20.92637856897672</v>
      </c>
      <c r="AN28" s="14"/>
      <c r="AO28" s="3"/>
      <c r="AV28" s="1186" t="s">
        <v>84</v>
      </c>
      <c r="AW28" s="1187"/>
      <c r="AX28" s="1187"/>
      <c r="AY28" s="1187"/>
      <c r="AZ28" s="1188"/>
      <c r="BA28" s="887"/>
      <c r="BG28" s="3"/>
      <c r="BH28" s="3"/>
      <c r="BI28" s="3"/>
      <c r="BJ28" s="3"/>
      <c r="BK28" s="3"/>
      <c r="BL28" s="3"/>
      <c r="BM28" s="3">
        <v>28</v>
      </c>
      <c r="BN28" s="103">
        <f>O39</f>
        <v>204</v>
      </c>
      <c r="BO28" s="99">
        <f>C41</f>
        <v>17.612614698164872</v>
      </c>
      <c r="BP28" s="101">
        <f>F41</f>
        <v>-25</v>
      </c>
      <c r="BQ28" s="101">
        <f t="shared" si="0"/>
        <v>-25</v>
      </c>
      <c r="BR28" s="3"/>
      <c r="BS28" s="32">
        <f t="shared" si="2"/>
        <v>32.093549879057811</v>
      </c>
      <c r="BT28" s="32">
        <f t="shared" si="2"/>
        <v>-7.1149687134520851</v>
      </c>
      <c r="BU28" s="3"/>
      <c r="BV28" s="32" t="e">
        <f>#REF!*$BW$4</f>
        <v>#REF!</v>
      </c>
      <c r="BW28" s="32" t="e">
        <f>#REF!*$BW$4</f>
        <v>#REF!</v>
      </c>
      <c r="BX28" s="3"/>
      <c r="BY28" s="3"/>
      <c r="BZ28" s="3"/>
      <c r="CA28" s="3"/>
    </row>
    <row r="29" spans="1:84" ht="13.5">
      <c r="A29" s="16" t="s">
        <v>34</v>
      </c>
      <c r="B29" s="16"/>
      <c r="C29" s="16"/>
      <c r="D29" s="19" t="str">
        <f>Vh_e  &amp;"V,  120º"</f>
        <v>63.51V,  120º</v>
      </c>
      <c r="E29" s="20"/>
      <c r="F29" s="16"/>
      <c r="G29" s="17" t="str">
        <f>$D29</f>
        <v>63.51V,  120º</v>
      </c>
      <c r="H29" s="20"/>
      <c r="I29" s="49"/>
      <c r="J29" s="19" t="str">
        <f>$D29</f>
        <v>63.51V,  120º</v>
      </c>
      <c r="K29" s="20"/>
      <c r="L29" s="16"/>
      <c r="M29" s="19" t="str">
        <f>$D29</f>
        <v>63.51V,  120º</v>
      </c>
      <c r="O29" s="16"/>
      <c r="P29" s="19" t="str">
        <f>$D29</f>
        <v>63.51V,  120º</v>
      </c>
      <c r="Q29" s="18"/>
      <c r="R29" s="16"/>
      <c r="S29" s="17" t="str">
        <f>$D29</f>
        <v>63.51V,  120º</v>
      </c>
      <c r="T29" s="18"/>
      <c r="U29" s="16"/>
      <c r="V29" s="17" t="str">
        <f>$D29</f>
        <v>63.51V,  120º</v>
      </c>
      <c r="W29" s="18"/>
      <c r="X29" s="16"/>
      <c r="Y29" s="17" t="str">
        <f>$D29</f>
        <v>63.51V,  120º</v>
      </c>
      <c r="Z29" s="20"/>
      <c r="AA29" s="246"/>
      <c r="AB29" s="821" t="str">
        <f>IF(PTT_Rx_Z_Sel="Z2(1)",J29,M29)</f>
        <v>63.51V,  120º</v>
      </c>
      <c r="AC29" s="19"/>
      <c r="AD29" s="19"/>
      <c r="AE29" s="19" t="str">
        <f>ROUND(Vh_e,2)  &amp;"V,  120º"</f>
        <v>63.51V,  120º</v>
      </c>
      <c r="AF29" s="19"/>
      <c r="AG29" s="288">
        <f t="shared" ref="AG29:AG37" si="27">I15</f>
        <v>0</v>
      </c>
      <c r="AH29" s="808">
        <f>IF($J15="",AH28,COS(RADIANS($I15))*$J15)*Settings!$AF$25</f>
        <v>34</v>
      </c>
      <c r="AI29" s="808">
        <f>IF($J15="",AI28,SIN(RADIANS($I15))*$J15)*Settings!$AF$25</f>
        <v>0</v>
      </c>
      <c r="AJ29" s="15"/>
      <c r="AK29" s="288">
        <f t="shared" ref="AK29:AK37" si="28">I37</f>
        <v>0</v>
      </c>
      <c r="AL29" s="808">
        <f>IF($J37="",AL28,COS(RADIANS($I37))*$J37)*Settings!$AF$26</f>
        <v>100</v>
      </c>
      <c r="AM29" s="808">
        <f>IF($J37="",AM28,SIN(RADIANS($I37))*$J37)*Settings!$AF$26</f>
        <v>0</v>
      </c>
      <c r="AN29" s="14"/>
      <c r="AO29" s="3"/>
      <c r="AP29" s="46" t="s">
        <v>1168</v>
      </c>
      <c r="AQ29" s="794" t="str">
        <f>IF(OR(DEFRV&gt;1.7,DCEF_V&gt;1.7,DEFRI&gt;DCEF_J,TDEFF&gt;0,TDEFR&gt;0,TREBK&lt;&gt;0.1),"Warning","OK")</f>
        <v>OK</v>
      </c>
      <c r="AV29" s="311">
        <f>OCH</f>
        <v>3</v>
      </c>
      <c r="AW29" s="884">
        <f>TestVSOTF/OCH</f>
        <v>7.28</v>
      </c>
      <c r="AX29" s="883" t="s">
        <v>36</v>
      </c>
      <c r="AY29" s="890">
        <f>TestV_SOTF_E/OCH</f>
        <v>10.968215537982047</v>
      </c>
      <c r="AZ29" s="883" t="s">
        <v>37</v>
      </c>
      <c r="BG29" s="3"/>
      <c r="BK29" s="3"/>
      <c r="BL29" s="3"/>
      <c r="BM29" s="3">
        <v>29</v>
      </c>
      <c r="BN29" s="103">
        <f>O41</f>
        <v>208</v>
      </c>
      <c r="BO29" s="99">
        <f>C43</f>
        <v>90</v>
      </c>
      <c r="BP29" s="101">
        <f>F43</f>
        <v>-25</v>
      </c>
      <c r="BQ29" s="101">
        <f t="shared" si="0"/>
        <v>-25</v>
      </c>
      <c r="BR29" s="3"/>
      <c r="BS29" s="32">
        <f t="shared" si="2"/>
        <v>34</v>
      </c>
      <c r="BT29" s="32">
        <f t="shared" si="2"/>
        <v>0</v>
      </c>
      <c r="BU29" s="3"/>
      <c r="BV29" s="32" t="e">
        <f>#REF!*$BW$4</f>
        <v>#REF!</v>
      </c>
      <c r="BW29" s="32" t="e">
        <f>#REF!*$BW$4</f>
        <v>#REF!</v>
      </c>
      <c r="BX29" s="3"/>
      <c r="BY29" s="3"/>
      <c r="BZ29" s="3"/>
      <c r="CA29" s="3"/>
    </row>
    <row r="30" spans="1:84" ht="13.5">
      <c r="A30" s="16" t="s">
        <v>1016</v>
      </c>
      <c r="B30" s="3"/>
      <c r="C30" s="69"/>
      <c r="D30" s="21">
        <f>TestVZ1E/MIN(D35:D45)*I_Nom*1.1</f>
        <v>1.5298861473743419</v>
      </c>
      <c r="E30" s="824"/>
      <c r="F30" s="399"/>
      <c r="G30" s="21">
        <f>TestVZ1BE/MIN(G35:G45)*I_Nom*1.1</f>
        <v>2.1781982803670883</v>
      </c>
      <c r="H30" s="21"/>
      <c r="I30" s="824"/>
      <c r="J30" s="21">
        <f>TestVZ2E/MIN(J35:J45)*I_Nom*1.1</f>
        <v>1.5406009998850152</v>
      </c>
      <c r="K30" s="824"/>
      <c r="L30" s="824"/>
      <c r="M30" s="21">
        <f>TestVZ3E/MIN(M35:M45)*I_Nom*1.1</f>
        <v>1.8580053191489363</v>
      </c>
      <c r="N30" s="818"/>
      <c r="O30" s="824"/>
      <c r="P30" s="21">
        <f>TestVZ4E/MIN(P35:P45)*I_Nom*1.1</f>
        <v>5.4119454629964361</v>
      </c>
      <c r="Q30" s="399"/>
      <c r="R30" s="824"/>
      <c r="S30" s="826">
        <f>TestVZ5E/MIN(S35:S45)*I_Nom*1.1</f>
        <v>3.1831097558147872</v>
      </c>
      <c r="T30" s="69"/>
      <c r="U30" s="69"/>
      <c r="V30" s="826">
        <f>TestVNDE/MIN(V35:V45)*I_Nom*1.1</f>
        <v>1.5354065934065935</v>
      </c>
      <c r="W30" s="69"/>
      <c r="X30" s="69"/>
      <c r="Y30" s="826">
        <f>TestVZ6E/MIN(Y35:Y45)*I_Nom*1.1</f>
        <v>1.0418639916600234</v>
      </c>
      <c r="Z30" s="70"/>
      <c r="AA30" s="238"/>
      <c r="AB30" s="821">
        <f>IF(PTT_Rx_Z_Sel="Z2(1)",J30,M30)</f>
        <v>1.5406009998850152</v>
      </c>
      <c r="AC30" s="22"/>
      <c r="AD30" s="22"/>
      <c r="AE30" s="22" t="str">
        <f>ROUND(AE32/MIN(AE35:AE46)*I_Nom*1.1,1) &amp; "A"</f>
        <v>3.3A</v>
      </c>
      <c r="AF30" s="22"/>
      <c r="AG30" s="288">
        <f t="shared" si="27"/>
        <v>9.3521074681554079</v>
      </c>
      <c r="AH30" s="808">
        <f>IF($J16="",AH29,COS(RADIANS($I16))*$J16)*Settings!$AF$25</f>
        <v>35.569639109267506</v>
      </c>
      <c r="AI30" s="808">
        <f>IF($J16="",AI29,SIN(RADIANS($I16))*$J16)*Settings!$AF$25</f>
        <v>5.8579729053334786</v>
      </c>
      <c r="AJ30" s="15"/>
      <c r="AK30" s="288">
        <f t="shared" si="28"/>
        <v>4.5</v>
      </c>
      <c r="AL30" s="808">
        <f>IF($J38="",AL29,COS(RADIANS($I38))*$J38)*Settings!$AF$26</f>
        <v>102.15423450248937</v>
      </c>
      <c r="AM30" s="808">
        <f>IF($J38="",AM29,SIN(RADIANS($I38))*$J38)*Settings!$AF$26</f>
        <v>8.0397126147082414</v>
      </c>
      <c r="AP30" s="3"/>
      <c r="AV30" s="888">
        <f>IF(SOTF_Fwd="Z2",I13,L13)</f>
        <v>-25</v>
      </c>
      <c r="AW30" s="234">
        <f>IF(SOTF_OC_Only=TRUE,D13,IF(SOTF_Fwd="Z2",J13,M13))</f>
        <v>26.678488664108809</v>
      </c>
      <c r="AX30" s="881">
        <f t="shared" ref="AX30:AX41" si="29">MAX($AW$29,AW30)</f>
        <v>26.678488664108809</v>
      </c>
      <c r="AY30" s="889">
        <f>IF(SOTF_OC_Only=TRUE,D35,IF(SOTF_Fwd="Z2",J35,M35))</f>
        <v>63.851823971819236</v>
      </c>
      <c r="AZ30" s="311"/>
      <c r="BG30" s="3"/>
      <c r="BK30" s="3"/>
      <c r="BL30" s="3"/>
      <c r="BM30" s="3">
        <v>30</v>
      </c>
      <c r="BN30" s="103">
        <f>O43</f>
        <v>270</v>
      </c>
      <c r="BO30" s="99">
        <f>180-BO28</f>
        <v>162.38738530183514</v>
      </c>
      <c r="BP30" s="101">
        <f>180-BP28</f>
        <v>205</v>
      </c>
      <c r="BQ30" s="101">
        <f t="shared" si="0"/>
        <v>205</v>
      </c>
      <c r="BR30" s="3"/>
      <c r="BS30" s="32">
        <f t="shared" si="2"/>
        <v>35.569639109267506</v>
      </c>
      <c r="BT30" s="32">
        <f t="shared" si="2"/>
        <v>5.8579729053334786</v>
      </c>
      <c r="BU30" s="3"/>
      <c r="BV30" s="32" t="e">
        <f>#REF!*$BW$4</f>
        <v>#REF!</v>
      </c>
      <c r="BW30" s="32" t="e">
        <f>#REF!*$BW$4</f>
        <v>#REF!</v>
      </c>
      <c r="BX30" s="3"/>
      <c r="BY30" s="3"/>
      <c r="CA30" s="3"/>
    </row>
    <row r="31" spans="1:84" ht="13.5">
      <c r="A31" s="16" t="s">
        <v>23</v>
      </c>
      <c r="B31" s="14"/>
      <c r="C31" s="14"/>
      <c r="D31" s="39">
        <f>T_1*50+5</f>
        <v>5</v>
      </c>
      <c r="E31" s="39"/>
      <c r="F31" s="14"/>
      <c r="G31" s="39">
        <f>T_1B*50+5</f>
        <v>5</v>
      </c>
      <c r="H31" s="39"/>
      <c r="I31" s="62"/>
      <c r="J31" s="51">
        <f>T_2*50+5</f>
        <v>25</v>
      </c>
      <c r="K31" s="39"/>
      <c r="L31" s="14"/>
      <c r="M31" s="39">
        <f>T_3*50+5</f>
        <v>230</v>
      </c>
      <c r="O31" s="14"/>
      <c r="P31" s="39">
        <f>T_4*50+5</f>
        <v>30</v>
      </c>
      <c r="Q31" s="14"/>
      <c r="R31" s="14"/>
      <c r="S31" s="39">
        <f>T_5*50+5</f>
        <v>60.000000000000007</v>
      </c>
      <c r="T31" s="14"/>
      <c r="U31" s="14"/>
      <c r="V31" s="39">
        <f>t_ND*50+5</f>
        <v>505</v>
      </c>
      <c r="W31" s="14"/>
      <c r="X31" s="14"/>
      <c r="Y31" s="39"/>
      <c r="Z31" s="39"/>
      <c r="AA31" s="239"/>
      <c r="AB31" s="39">
        <v>5</v>
      </c>
      <c r="AC31" s="22"/>
      <c r="AD31" s="22"/>
      <c r="AE31" s="896">
        <f>AE9</f>
        <v>5</v>
      </c>
      <c r="AG31" s="288">
        <f t="shared" si="27"/>
        <v>18.704214936310816</v>
      </c>
      <c r="AH31" s="808">
        <f>IF($J17="",AH30,COS(RADIANS($I17))*$J17)*Settings!$AF$25</f>
        <v>37.392130645459666</v>
      </c>
      <c r="AI31" s="808">
        <f>IF($J17="",AI30,SIN(RADIANS($I17))*$J17)*Settings!$AF$25</f>
        <v>12.659603914766874</v>
      </c>
      <c r="AJ31" s="15"/>
      <c r="AK31" s="288">
        <f t="shared" si="28"/>
        <v>9</v>
      </c>
      <c r="AL31" s="808">
        <f>IF($J39="",AL30,COS(RADIANS($I39))*$J39)*Settings!$AF$26</f>
        <v>104.43198732193534</v>
      </c>
      <c r="AM31" s="808">
        <f>IF($J39="",AM30,SIN(RADIANS($I39))*$J39)*Settings!$AF$26</f>
        <v>16.540401863963798</v>
      </c>
      <c r="AP31" s="876" t="s">
        <v>1172</v>
      </c>
      <c r="AQ31" s="922" t="str">
        <f>IF(MIN(AE36,AE39)&gt;AP36*1.1,"OK","Warning")</f>
        <v>Warning</v>
      </c>
      <c r="AV31" s="888">
        <f>IF(SOTF_Fwd="Z2",I15,L15)</f>
        <v>0</v>
      </c>
      <c r="AW31" s="234">
        <f>IF(SOTF_OC_Only=TRUE,D15,IF(SOTF_Fwd="Z2",J15,M15))</f>
        <v>27.2</v>
      </c>
      <c r="AX31" s="881">
        <f>MAX($AW$29,AW31)</f>
        <v>27.2</v>
      </c>
      <c r="AY31" s="889">
        <f>IF(SOTF_OC_Only=TRUE,D37,IF(SOTF_Fwd="Z2",J37,M37))</f>
        <v>65.099999999999994</v>
      </c>
      <c r="AZ31" s="311"/>
      <c r="BG31" s="3"/>
      <c r="BL31" s="3"/>
      <c r="BM31" s="3">
        <v>31</v>
      </c>
      <c r="BN31" s="103" t="e">
        <f>#REF!</f>
        <v>#REF!</v>
      </c>
      <c r="BO31" s="99">
        <f>180-BO27</f>
        <v>170</v>
      </c>
      <c r="BP31" s="101">
        <f>180-BP27</f>
        <v>205</v>
      </c>
      <c r="BQ31" s="101">
        <f t="shared" si="0"/>
        <v>205</v>
      </c>
      <c r="BR31" s="3"/>
      <c r="BS31" s="32">
        <f t="shared" si="2"/>
        <v>37.392130645459666</v>
      </c>
      <c r="BT31" s="32">
        <f t="shared" si="2"/>
        <v>12.659603914766874</v>
      </c>
      <c r="BU31" s="3"/>
      <c r="BV31" s="32" t="e">
        <f>#REF!*$BW$4</f>
        <v>#REF!</v>
      </c>
      <c r="BW31" s="32" t="e">
        <f>#REF!*$BW$4</f>
        <v>#REF!</v>
      </c>
      <c r="BX31" s="3"/>
      <c r="BY31" s="3"/>
      <c r="BZ31" s="3"/>
      <c r="CA31" s="3"/>
    </row>
    <row r="32" spans="1:84" ht="13.5">
      <c r="A32" s="16" t="s">
        <v>87</v>
      </c>
      <c r="B32" s="16"/>
      <c r="D32" s="240">
        <f>MIN(Max_TestVe,MAX(D35:D45)*IF(MAX(D35:D45)/MIN(D35:D45)&lt;4,3,Je_*1.2))</f>
        <v>20.311510255522307</v>
      </c>
      <c r="F32" s="16"/>
      <c r="G32" s="240">
        <f>MIN(Un*1.1/1.732,MAX(G35:G45)*IF(MAX(G35:G45)/MIN(G35:G45)&lt;4,3,Je_*1.2))</f>
        <v>63.510392609699778</v>
      </c>
      <c r="H32" s="22"/>
      <c r="J32" s="240">
        <f>MIN(Max_TestVe,MAX(J35:J45)*IF(MAX(J35:J45)/MIN(J35:J45)&lt;4,3,Je_*1.2))</f>
        <v>28.52193995381062</v>
      </c>
      <c r="K32" s="22"/>
      <c r="L32" s="16"/>
      <c r="M32" s="23">
        <f>MIN(Vh_e,MAX(M35:M45)*IF(MAX(M35:M45)/MIN(M35:M45)&lt;4,3,Je_*1.2))</f>
        <v>63.51</v>
      </c>
      <c r="N32" s="3"/>
      <c r="O32" s="16"/>
      <c r="P32" s="23">
        <f>MIN(Vh_e,MAX(P35:P45)*IF(MAX(P35:P45)/MIN(P35:P45)&lt;4,3,Je_*1.2))</f>
        <v>63.51</v>
      </c>
      <c r="Q32" s="246"/>
      <c r="R32" s="16"/>
      <c r="S32" s="23">
        <f>MIN(Vh_e,MAX(S35:S45)*IF(MAX(S35:S45)/MIN(S35:S45)&lt;4,3,Je_*1.2))</f>
        <v>63.51</v>
      </c>
      <c r="T32" s="246"/>
      <c r="U32" s="16"/>
      <c r="V32" s="23">
        <f>MIN(Vh_e,MAX(V35:V45)*IF(MAX(V35:V45)/MIN(V35:V45)&lt;4,3,Je_*1.2))</f>
        <v>63.51</v>
      </c>
      <c r="W32" s="246"/>
      <c r="X32" s="16"/>
      <c r="Y32" s="23">
        <f>MIN(Vh_e,MAX(Y40:Y45)*Je_*1.2)</f>
        <v>20.787464833549457</v>
      </c>
      <c r="Z32" s="22"/>
      <c r="AA32" s="246"/>
      <c r="AB32" s="823">
        <f>IF(PTT_Rx_Z_Sel="Z2(1)",J32,M32)</f>
        <v>28.52193995381062</v>
      </c>
      <c r="AC32" s="23"/>
      <c r="AD32" s="248">
        <v>81</v>
      </c>
      <c r="AE32" s="23">
        <f>MIN(Vh_e,IF(SOTF_OC_Only=TRUE,TestVZ1E,MAX(AY31:AY41)*IF(MAX(AY31:AY41)/MIN(AY31:AY41)&lt;4,3,Je_*1.2))*AD32/50)</f>
        <v>32.904646613946142</v>
      </c>
      <c r="AF32" s="23"/>
      <c r="AG32" s="815">
        <f t="shared" si="27"/>
        <v>28.056322404466226</v>
      </c>
      <c r="AH32" s="816">
        <f>IF($J18="",AH31,COS(RADIANS($I18))*$J18)*Settings!$AF$25</f>
        <v>39.664445927993931</v>
      </c>
      <c r="AI32" s="816">
        <f>IF($J18="",AI31,SIN(RADIANS($I18))*$J18)*Settings!$AF$25</f>
        <v>21.140000000000004</v>
      </c>
      <c r="AJ32" s="15"/>
      <c r="AK32" s="815">
        <f t="shared" si="28"/>
        <v>10.929909476122836</v>
      </c>
      <c r="AL32" s="816">
        <f>IF($J40="",AL31,COS(RADIANS($I40))*$J40)*Settings!$AF$26</f>
        <v>105.45674957730083</v>
      </c>
      <c r="AM32" s="816">
        <f>IF($J40="",AM31,SIN(RADIANS($I40))*$J40)*Settings!$AF$26</f>
        <v>20.364866666666668</v>
      </c>
      <c r="AP32" s="876" t="s">
        <v>1085</v>
      </c>
      <c r="AQ32" s="1059" t="str">
        <f>IF(MAX(AF13:AF18)&lt;OCH,"Error","OK")</f>
        <v>Error</v>
      </c>
      <c r="AV32" s="888">
        <f>IF(SOTF_Fwd="Z2",I17,L17)</f>
        <v>21.885689200969434</v>
      </c>
      <c r="AW32" s="234">
        <f>IF(SOTF_OC_Only=TRUE,D17,IF(SOTF_Fwd="Z2",J17,M17))</f>
        <v>31.569566863407253</v>
      </c>
      <c r="AX32" s="881">
        <f>MAX($AW$29,AW32)</f>
        <v>31.569566863407253</v>
      </c>
      <c r="AY32" s="889">
        <f>IF(SOTF_OC_Only=TRUE,D39,IF(SOTF_Fwd="Z2",J39,M39))</f>
        <v>69.382357948200521</v>
      </c>
      <c r="AZ32" s="311"/>
      <c r="BG32" s="3"/>
      <c r="BL32" s="3"/>
      <c r="BM32" s="3">
        <v>32</v>
      </c>
      <c r="BN32" s="103">
        <f>R35</f>
        <v>155</v>
      </c>
      <c r="BO32" s="99">
        <f t="shared" ref="BO32:BP37" si="30">BO26+180</f>
        <v>180</v>
      </c>
      <c r="BP32" s="101">
        <f t="shared" si="30"/>
        <v>155</v>
      </c>
      <c r="BQ32" s="101">
        <f t="shared" si="0"/>
        <v>155</v>
      </c>
      <c r="BR32" s="3"/>
      <c r="BS32" s="32">
        <f t="shared" si="2"/>
        <v>39.664445927993931</v>
      </c>
      <c r="BT32" s="32">
        <f t="shared" si="2"/>
        <v>21.140000000000004</v>
      </c>
      <c r="BU32" s="3"/>
      <c r="BV32" s="32" t="e">
        <f>#REF!*$BW$4</f>
        <v>#REF!</v>
      </c>
      <c r="BW32" s="32" t="e">
        <f>#REF!*$BW$4</f>
        <v>#REF!</v>
      </c>
      <c r="BX32" s="3"/>
      <c r="BY32" s="3"/>
      <c r="BZ32" s="3"/>
      <c r="CA32" s="3"/>
    </row>
    <row r="33" spans="1:79" ht="13.5">
      <c r="A33" s="73" t="s">
        <v>88</v>
      </c>
      <c r="B33" s="3"/>
      <c r="C33" s="43">
        <f>MIN(63,MAX(D35:D45)*IF(MAX(D35:D45)/MIN(D35:D45)&lt;4,5,2)*Je_)</f>
        <v>33.852517092537177</v>
      </c>
      <c r="D33" s="74">
        <f>TestVZ1E/Je_</f>
        <v>84.631292731342953</v>
      </c>
      <c r="E33" s="75"/>
      <c r="F33" s="3"/>
      <c r="G33" s="74">
        <f>TestVZ1BE/Je_</f>
        <v>264.62663587374908</v>
      </c>
      <c r="H33" s="75"/>
      <c r="I33" s="75"/>
      <c r="J33" s="74">
        <f>TestVZ2E/Je_</f>
        <v>118.84141647421092</v>
      </c>
      <c r="K33" s="75"/>
      <c r="L33" s="75"/>
      <c r="M33" s="74">
        <f>TestVZ3E/Je_</f>
        <v>264.625</v>
      </c>
      <c r="P33" s="74">
        <f>TestVZ4E/Je_</f>
        <v>264.625</v>
      </c>
      <c r="Q33" s="69"/>
      <c r="R33" s="69"/>
      <c r="S33" s="74">
        <f>TestVZ5E/Je_</f>
        <v>264.625</v>
      </c>
      <c r="T33" s="69"/>
      <c r="U33" s="69"/>
      <c r="V33" s="74">
        <f>TestVNDE/Je_</f>
        <v>264.625</v>
      </c>
      <c r="W33" s="69"/>
      <c r="X33" s="69"/>
      <c r="Y33" s="74">
        <f>TestVZ6E/Je_</f>
        <v>86.614436806456069</v>
      </c>
      <c r="Z33" s="75"/>
      <c r="AA33" s="241"/>
      <c r="AB33" s="242">
        <f>AB32/Je_</f>
        <v>118.84141647421092</v>
      </c>
      <c r="AC33" s="74"/>
      <c r="AD33" s="74"/>
      <c r="AE33" s="74">
        <f>AE32/Je_</f>
        <v>137.1026942247756</v>
      </c>
      <c r="AF33" s="74"/>
      <c r="AG33" s="288">
        <f t="shared" si="27"/>
        <v>48.704214936310819</v>
      </c>
      <c r="AH33" s="808">
        <f>IF($J19="",AH32,COS(RADIANS($I19))*$J19)*Settings!$AF$25</f>
        <v>18.569188548902932</v>
      </c>
      <c r="AI33" s="808">
        <f>IF($J19="",AI32,SIN(RADIANS($I19))*$J19)*Settings!$AF$25</f>
        <v>21.14</v>
      </c>
      <c r="AJ33" s="15"/>
      <c r="AK33" s="288">
        <f t="shared" si="28"/>
        <v>13</v>
      </c>
      <c r="AL33" s="808">
        <f>IF($J41="",AL32,COS(RADIANS($I41))*$J41)*Settings!$AF$26</f>
        <v>88.209928649680265</v>
      </c>
      <c r="AM33" s="808">
        <f>IF($J41="",AM32,SIN(RADIANS($I41))*$J41)*Settings!$AF$26</f>
        <v>20.364866666666668</v>
      </c>
      <c r="AN33" s="14"/>
      <c r="AO33" s="3"/>
      <c r="AP33" s="876" t="s">
        <v>1086</v>
      </c>
      <c r="AQ33" s="1059" t="str">
        <f>IF(MAX(AF35:AF40)&lt;OCH,"Error","OK")</f>
        <v>Error</v>
      </c>
      <c r="AV33" s="888">
        <f>IF(SOTF_Fwd="Z2",I18,L18)</f>
        <v>32.828533801454149</v>
      </c>
      <c r="AW33" s="234">
        <f>IF(SOTF_OC_Only=TRUE,D18,IF(SOTF_Fwd="Z2",J18,M18))</f>
        <v>34.743993818712177</v>
      </c>
      <c r="AX33" s="881">
        <f t="shared" si="29"/>
        <v>34.743993818712177</v>
      </c>
      <c r="AY33" s="889">
        <f>IF(SOTF_OC_Only=TRUE,D40,IF(SOTF_Fwd="Z2",J40,M40))</f>
        <v>70.526077276119125</v>
      </c>
      <c r="AZ33" s="311"/>
      <c r="BG33" s="3"/>
      <c r="BL33" s="3"/>
      <c r="BM33" s="3">
        <v>33</v>
      </c>
      <c r="BN33" s="103">
        <f>R37</f>
        <v>180</v>
      </c>
      <c r="BO33" s="99">
        <f t="shared" si="30"/>
        <v>190</v>
      </c>
      <c r="BP33" s="101">
        <f t="shared" si="30"/>
        <v>155</v>
      </c>
      <c r="BQ33" s="101">
        <f t="shared" si="0"/>
        <v>155</v>
      </c>
      <c r="BR33" s="3"/>
      <c r="BS33" s="32">
        <f t="shared" si="2"/>
        <v>18.569188548902932</v>
      </c>
      <c r="BT33" s="32">
        <f t="shared" si="2"/>
        <v>21.14</v>
      </c>
      <c r="BU33" s="3"/>
      <c r="BV33" s="32" t="e">
        <f>#REF!*$BW$4</f>
        <v>#REF!</v>
      </c>
      <c r="BW33" s="32" t="e">
        <f>#REF!*$BW$4</f>
        <v>#REF!</v>
      </c>
      <c r="BX33" s="3"/>
      <c r="BY33" s="3"/>
      <c r="BZ33" s="3"/>
      <c r="CA33" s="3"/>
    </row>
    <row r="34" spans="1:79" ht="13.5">
      <c r="C34" s="24" t="s">
        <v>24</v>
      </c>
      <c r="D34" s="24" t="s">
        <v>25</v>
      </c>
      <c r="E34" s="82"/>
      <c r="F34" s="24" t="s">
        <v>24</v>
      </c>
      <c r="G34" s="24" t="s">
        <v>25</v>
      </c>
      <c r="H34" s="82"/>
      <c r="I34" s="24" t="s">
        <v>24</v>
      </c>
      <c r="J34" s="24" t="s">
        <v>25</v>
      </c>
      <c r="K34" s="82"/>
      <c r="L34" s="24" t="s">
        <v>24</v>
      </c>
      <c r="M34" s="24" t="s">
        <v>25</v>
      </c>
      <c r="O34" s="35" t="s">
        <v>56</v>
      </c>
      <c r="P34" s="24" t="s">
        <v>28</v>
      </c>
      <c r="Q34" s="80"/>
      <c r="R34" s="81" t="s">
        <v>56</v>
      </c>
      <c r="S34" s="24" t="s">
        <v>28</v>
      </c>
      <c r="T34" s="80"/>
      <c r="U34" s="81"/>
      <c r="V34" s="24"/>
      <c r="W34" s="80"/>
      <c r="X34" s="81" t="s">
        <v>56</v>
      </c>
      <c r="Y34" s="24" t="s">
        <v>28</v>
      </c>
      <c r="Z34" s="82"/>
      <c r="AA34" s="243" t="s">
        <v>24</v>
      </c>
      <c r="AB34" s="243" t="s">
        <v>25</v>
      </c>
      <c r="AC34" s="3"/>
      <c r="AD34" s="24" t="s">
        <v>24</v>
      </c>
      <c r="AE34" s="24" t="s">
        <v>25</v>
      </c>
      <c r="AF34" s="123" t="s">
        <v>445</v>
      </c>
      <c r="AG34" s="288">
        <f t="shared" si="27"/>
        <v>69.35210746815541</v>
      </c>
      <c r="AH34" s="808">
        <f>IF($J20="",AH33,COS(RADIANS($I20))*$J20)*Settings!$AF$25</f>
        <v>7.9661770383346209</v>
      </c>
      <c r="AI34" s="808">
        <f>IF($J20="",AI33,SIN(RADIANS($I20))*$J20)*Settings!$AF$25</f>
        <v>21.14</v>
      </c>
      <c r="AJ34" s="15"/>
      <c r="AK34" s="288">
        <f t="shared" si="28"/>
        <v>51.5</v>
      </c>
      <c r="AL34" s="808">
        <f>IF($J42="",AL33,COS(RADIANS($I42))*$J42)*Settings!$AF$26</f>
        <v>16.198946384818104</v>
      </c>
      <c r="AM34" s="808">
        <f>IF($J42="",AM33,SIN(RADIANS($I42))*$J42)*Settings!$AF$26</f>
        <v>20.364866666666668</v>
      </c>
      <c r="AN34" s="14"/>
      <c r="AO34" s="3"/>
      <c r="AP34" s="890" t="s">
        <v>1088</v>
      </c>
      <c r="AQ34" s="890" t="str">
        <f>IF(OR(AQ33&lt;&gt;"OK",AQ32&lt;&gt;"OK"), "Warning","OK")</f>
        <v>Warning</v>
      </c>
      <c r="AV34" s="888">
        <f>IF(SOTF_Fwd="Z2",I21,L21)</f>
        <v>90</v>
      </c>
      <c r="AW34" s="234">
        <f>IF(SOTF_OC_Only=TRUE,D21,IF(SOTF_Fwd="Z2",J21,M21))</f>
        <v>15.16</v>
      </c>
      <c r="AX34" s="881">
        <f t="shared" si="29"/>
        <v>15.16</v>
      </c>
      <c r="AY34" s="889">
        <f>IF(SOTF_OC_Only=TRUE,D43,IF(SOTF_Fwd="Z2",J43,M43))</f>
        <v>14.604133333333333</v>
      </c>
      <c r="AZ34" s="311"/>
      <c r="BG34" s="3"/>
      <c r="BL34" s="3"/>
      <c r="BM34" s="3">
        <v>34</v>
      </c>
      <c r="BN34" s="103">
        <f>R39</f>
        <v>232</v>
      </c>
      <c r="BO34" s="99">
        <f t="shared" si="30"/>
        <v>197.61261469816486</v>
      </c>
      <c r="BP34" s="101">
        <f t="shared" si="30"/>
        <v>155</v>
      </c>
      <c r="BQ34" s="101">
        <f t="shared" si="0"/>
        <v>155</v>
      </c>
      <c r="BR34" s="3"/>
      <c r="BS34" s="32">
        <f t="shared" si="2"/>
        <v>7.9661770383346209</v>
      </c>
      <c r="BT34" s="32">
        <f t="shared" si="2"/>
        <v>21.14</v>
      </c>
      <c r="BU34" s="3"/>
      <c r="BV34" s="32" t="e">
        <f>#REF!*$BW$4</f>
        <v>#REF!</v>
      </c>
      <c r="BW34" s="32" t="e">
        <f>#REF!*$BW$4</f>
        <v>#REF!</v>
      </c>
      <c r="BX34" s="3"/>
      <c r="BY34" s="3"/>
      <c r="BZ34" s="3"/>
      <c r="CA34" s="3"/>
    </row>
    <row r="35" spans="1:79" ht="13.5">
      <c r="A35" s="3"/>
      <c r="C35" s="25">
        <f>_Dir1+AngQ4E+DirDelta</f>
        <v>-25</v>
      </c>
      <c r="D35" s="28">
        <f>ABS(R_1E*SIN(RADIANS(180-Slope))/SIN(RADIANS(Slope-C35)))</f>
        <v>63.851823971819236</v>
      </c>
      <c r="E35" s="14"/>
      <c r="F35" s="25">
        <f t="shared" ref="F35:F45" si="31">Dir1B+AngQ4E+DirDelta</f>
        <v>-25</v>
      </c>
      <c r="G35" s="28">
        <f>ABS(R_1BE*SIN(RADIANS(180-Slope))/SIN(RADIANS(Slope-F35)))</f>
        <v>32.073036004277867</v>
      </c>
      <c r="H35" s="14"/>
      <c r="I35" s="25">
        <f>_Dir2+AngQ4E+DirDelta</f>
        <v>-25</v>
      </c>
      <c r="J35" s="28">
        <f>ABS(R_2E*SIN(RADIANS(180-Slope))/SIN(RADIANS(Slope-I35)))</f>
        <v>98.082678912164724</v>
      </c>
      <c r="K35" s="14"/>
      <c r="L35" s="25">
        <f>_Dir3+AngQ4E+DirDelta</f>
        <v>-25</v>
      </c>
      <c r="M35" s="28">
        <f>ABS(R_3E*SIN(RADIANS(180-Slope))/SIN(RADIANS(Slope-L35)))</f>
        <v>98.082678912164724</v>
      </c>
      <c r="N35" s="3"/>
      <c r="O35" s="244">
        <f>_Dir4+AngQ4E+DirDelta</f>
        <v>155</v>
      </c>
      <c r="P35" s="234">
        <f>ABS(ER_4*SIN(RADIANS(180-Slope))/SIN(RADIANS(Slope-O35)))</f>
        <v>22.264768113061393</v>
      </c>
      <c r="Q35" s="3"/>
      <c r="R35" s="244">
        <f>_Dir6+AngQ4E+DirDelta</f>
        <v>155</v>
      </c>
      <c r="S35" s="234">
        <f>ABS(ER_5*SIN(RADIANS(180-Slope))/SIN(RADIANS(Slope-R35)))</f>
        <v>22.264768113061393</v>
      </c>
      <c r="T35" s="3"/>
      <c r="U35" s="25"/>
      <c r="V35" s="28"/>
      <c r="W35" s="3"/>
      <c r="X35" s="244">
        <f>_Dir6+AngQ4E+DirDelta</f>
        <v>155</v>
      </c>
      <c r="Y35" s="234">
        <f>ABS(ER_6*SIN(RADIANS(180-Slope))/SIN(RADIANS(Slope-X35)))</f>
        <v>22.264768113061393</v>
      </c>
      <c r="Z35" s="14"/>
      <c r="AA35" s="244">
        <f t="shared" ref="AA35:AA45" si="32">IF(PTT_Rx_Z_Sel="Z2(1)",I35,L35)</f>
        <v>-25</v>
      </c>
      <c r="AB35" s="234">
        <f t="shared" ref="AB35:AB45" si="33">IF(PTT_Rx_Z_Sel="Z2(1)",J35,M35)</f>
        <v>98.082678912164724</v>
      </c>
      <c r="AC35" s="3"/>
      <c r="AD35" s="266">
        <f>IF(SOTF_OC_Only=TRUE,C35,IF(SOTF_Fwd="Z2",I35,L35))</f>
        <v>-25</v>
      </c>
      <c r="AE35" s="234">
        <f t="shared" ref="AE35:AE40" si="34">IF(SOTF_OC_Only=TRUE,MAX($AY$29,AY30),IF(SOTF_Fwd="Off","No Test",AY30))</f>
        <v>63.851823971819236</v>
      </c>
      <c r="AF35" s="305">
        <f t="shared" ref="AF35:AF46" si="35">IF(AE35="No Test","",TestV_SOTF_E/AE35)</f>
        <v>0.51532821722474964</v>
      </c>
      <c r="AG35" s="288">
        <f t="shared" si="27"/>
        <v>90</v>
      </c>
      <c r="AH35" s="808">
        <f>IF($J21="",AH34,COS(RADIANS($I21))*$J21)*Settings!$AF$25</f>
        <v>1.2949819168384114E-15</v>
      </c>
      <c r="AI35" s="808">
        <f>IF($J21="",AI34,SIN(RADIANS($I21))*$J21)*Settings!$AF$25</f>
        <v>21.14</v>
      </c>
      <c r="AJ35" s="15"/>
      <c r="AK35" s="288">
        <f t="shared" si="28"/>
        <v>90</v>
      </c>
      <c r="AL35" s="808">
        <f>IF($J43="",AL34,COS(RADIANS($I43))*$J43)*Settings!$AF$26</f>
        <v>1.2474992465543364E-15</v>
      </c>
      <c r="AM35" s="808">
        <f>IF($J43="",AM34,SIN(RADIANS($I43))*$J43)*Settings!$AF$26</f>
        <v>20.364866666666668</v>
      </c>
      <c r="AN35" s="14"/>
      <c r="AO35" s="3"/>
      <c r="AP35" s="1059">
        <f>MIN(R_1,X_1)*2</f>
        <v>15.16</v>
      </c>
      <c r="AQ35" s="890">
        <f>IF(AP35=2*R_1,180,90)</f>
        <v>90</v>
      </c>
      <c r="AV35" s="888">
        <f>IF(SOTF_Fwd="Z2",I23,L23)</f>
        <v>115</v>
      </c>
      <c r="AW35" s="234">
        <f>IF(SOTF_OC_Only=TRUE,D23,IF(SOTF_Fwd="Z2",J23,M23))</f>
        <v>16.727209251471372</v>
      </c>
      <c r="AX35" s="881">
        <f t="shared" si="29"/>
        <v>16.727209251471372</v>
      </c>
      <c r="AY35" s="889">
        <f>IF(SOTF_OC_Only=TRUE,D45,IF(SOTF_Fwd="Z2",J45,M45))</f>
        <v>16.11387824558409</v>
      </c>
      <c r="AZ35" s="311"/>
      <c r="BG35" s="3"/>
      <c r="BL35" s="3"/>
      <c r="BM35" s="3">
        <v>35</v>
      </c>
      <c r="BN35" s="103">
        <f>R41</f>
        <v>236</v>
      </c>
      <c r="BO35" s="99">
        <f t="shared" si="30"/>
        <v>270</v>
      </c>
      <c r="BP35" s="101">
        <f t="shared" si="30"/>
        <v>155</v>
      </c>
      <c r="BQ35" s="101">
        <f t="shared" si="0"/>
        <v>155</v>
      </c>
      <c r="BR35" s="3"/>
      <c r="BS35" s="32">
        <f t="shared" si="2"/>
        <v>1.2949819168384114E-15</v>
      </c>
      <c r="BT35" s="32">
        <f t="shared" si="2"/>
        <v>21.14</v>
      </c>
      <c r="BU35" s="3"/>
      <c r="BV35" s="32" t="e">
        <f>#REF!*$BW$4</f>
        <v>#REF!</v>
      </c>
      <c r="BW35" s="32" t="e">
        <f>#REF!*$BW$4</f>
        <v>#REF!</v>
      </c>
      <c r="BX35" s="3"/>
      <c r="BY35" s="3"/>
      <c r="BZ35" s="3"/>
    </row>
    <row r="36" spans="1:79" ht="13.5">
      <c r="A36" s="43"/>
      <c r="C36" s="244">
        <f>(C35+C37)/2</f>
        <v>-12.5</v>
      </c>
      <c r="D36" s="234">
        <f>ABS(ER_1*SIN(RADIANS(180-Slope))/SIN(RADIANS(Slope-C36)))</f>
        <v>62.941677821970949</v>
      </c>
      <c r="E36" s="13"/>
      <c r="F36" s="25">
        <f t="shared" si="31"/>
        <v>-25</v>
      </c>
      <c r="G36" s="28">
        <f t="shared" ref="G36:G45" si="36">MIN(Z1BE_Mag2,ABS(EX_1B/SIN(RADIANS(F36))))</f>
        <v>32.073036004277867</v>
      </c>
      <c r="H36" s="772"/>
      <c r="I36" s="25">
        <f>(I35+I37)/2</f>
        <v>-12.5</v>
      </c>
      <c r="J36" s="234">
        <f>ABS(ER_2*SIN(RADIANS(180-Slope))/SIN(RADIANS(Slope-I36)))</f>
        <v>96.684604949264141</v>
      </c>
      <c r="K36" s="13"/>
      <c r="L36" s="25">
        <f>(L35+L37)/2</f>
        <v>-12.5</v>
      </c>
      <c r="M36" s="234">
        <f>ABS(ER_3*SIN(RADIANS(180-Slope))/SIN(RADIANS(Slope-L36)))</f>
        <v>96.684604949264141</v>
      </c>
      <c r="N36" s="773"/>
      <c r="O36" s="244">
        <f>(O35+O37)/2</f>
        <v>167.5</v>
      </c>
      <c r="P36" s="234">
        <f>ABS(ER_4*SIN(RADIANS(180-Slope))/SIN(RADIANS(Slope-O36)))</f>
        <v>21.947405323482961</v>
      </c>
      <c r="Q36" s="11"/>
      <c r="R36" s="244">
        <f>(R35+R37)/2</f>
        <v>167.5</v>
      </c>
      <c r="S36" s="234">
        <f>ABS(ER_5*SIN(RADIANS(180-Slope))/SIN(RADIANS(Slope-R36)))</f>
        <v>21.947405323482961</v>
      </c>
      <c r="T36" s="413"/>
      <c r="U36" s="25"/>
      <c r="V36" s="28"/>
      <c r="W36" s="413"/>
      <c r="X36" s="244">
        <f>(X35+X37)/2</f>
        <v>167.5</v>
      </c>
      <c r="Y36" s="234">
        <f>ABS(ER_6*SIN(RADIANS(180-Slope))/SIN(RADIANS(Slope-X36)))</f>
        <v>21.947405323482961</v>
      </c>
      <c r="Z36" s="14"/>
      <c r="AA36" s="244">
        <f t="shared" si="32"/>
        <v>-12.5</v>
      </c>
      <c r="AB36" s="234">
        <f t="shared" si="33"/>
        <v>96.684604949264141</v>
      </c>
      <c r="AC36" s="3"/>
      <c r="AD36" s="266">
        <f>IF(SOTF_OC_Only=TRUE,C37,IF(SOTF_Fwd="Z2",I37,L37))</f>
        <v>0</v>
      </c>
      <c r="AE36" s="234">
        <f t="shared" si="34"/>
        <v>65.099999999999994</v>
      </c>
      <c r="AF36" s="305">
        <f t="shared" si="35"/>
        <v>0.50544772064433396</v>
      </c>
      <c r="AG36" s="288">
        <f t="shared" si="27"/>
        <v>102.5</v>
      </c>
      <c r="AH36" s="808">
        <f>IF($J22="",AH35,COS(RADIANS($I22))*$J22)*Settings!$AF$25</f>
        <v>-4.6866251682717479</v>
      </c>
      <c r="AI36" s="808">
        <f>IF($J22="",AI35,SIN(RADIANS($I22))*$J22)*Settings!$AF$25</f>
        <v>21.14</v>
      </c>
      <c r="AJ36" s="15"/>
      <c r="AK36" s="288">
        <f t="shared" si="28"/>
        <v>102.5</v>
      </c>
      <c r="AL36" s="808">
        <f>IF($J44="",AL35,COS(RADIANS($I44))*$J44)*Settings!$AF$26</f>
        <v>-4.514782245435117</v>
      </c>
      <c r="AM36" s="808">
        <f>IF($J44="",AM35,SIN(RADIANS($I44))*$J44)*Settings!$AF$26</f>
        <v>20.364866666666668</v>
      </c>
      <c r="AN36" s="14"/>
      <c r="AO36" s="3"/>
      <c r="AP36" s="1059">
        <f>MIN(ER_1,EX_1)</f>
        <v>14.604133333333333</v>
      </c>
      <c r="AQ36" s="890" t="str">
        <f>IF(AQ31&lt;&gt;"OK","No Test",IF(AP36=ER_1,0,90))</f>
        <v>No Test</v>
      </c>
      <c r="AV36" s="888">
        <f t="shared" ref="AV36:AW38" si="37">IF(SOTF_Rev="ZR1",O13,R13)</f>
        <v>125</v>
      </c>
      <c r="AW36" s="234">
        <f t="shared" si="37"/>
        <v>18.506942765623673</v>
      </c>
      <c r="AX36" s="881">
        <f t="shared" si="29"/>
        <v>18.506942765623673</v>
      </c>
      <c r="AY36" s="889">
        <f>IF(SOTF_Rev="ZR1",P35,S35)</f>
        <v>22.264768113061393</v>
      </c>
      <c r="AZ36" s="311"/>
      <c r="BG36" s="3"/>
      <c r="BK36" s="3"/>
      <c r="BL36" s="3"/>
      <c r="BM36" s="3">
        <v>36</v>
      </c>
      <c r="BN36" s="103">
        <f>R43</f>
        <v>270</v>
      </c>
      <c r="BO36" s="99">
        <f t="shared" si="30"/>
        <v>342.38738530183514</v>
      </c>
      <c r="BP36" s="101">
        <f t="shared" si="30"/>
        <v>385</v>
      </c>
      <c r="BQ36" s="101">
        <f t="shared" si="0"/>
        <v>385</v>
      </c>
      <c r="BR36" s="3"/>
      <c r="BS36" s="32">
        <f t="shared" si="2"/>
        <v>-4.6866251682717479</v>
      </c>
      <c r="BT36" s="32">
        <f t="shared" si="2"/>
        <v>21.14</v>
      </c>
      <c r="BU36" s="3"/>
      <c r="BV36" s="32" t="e">
        <f>#REF!*$BW$4</f>
        <v>#REF!</v>
      </c>
      <c r="BW36" s="32" t="e">
        <f>#REF!*$BW$4</f>
        <v>#REF!</v>
      </c>
      <c r="BX36" s="3"/>
      <c r="BY36" s="3"/>
      <c r="BZ36" s="3"/>
      <c r="CA36" s="3"/>
    </row>
    <row r="37" spans="1:79" ht="13.5">
      <c r="A37" s="14"/>
      <c r="B37" s="3"/>
      <c r="C37" s="25">
        <f>0+_Dir1</f>
        <v>0</v>
      </c>
      <c r="D37" s="28">
        <f>ER_1</f>
        <v>65.099999999999994</v>
      </c>
      <c r="E37" s="14"/>
      <c r="F37" s="25">
        <f t="shared" si="31"/>
        <v>-25</v>
      </c>
      <c r="G37" s="28">
        <f t="shared" si="36"/>
        <v>32.073036004277867</v>
      </c>
      <c r="H37" s="14"/>
      <c r="I37" s="25">
        <f>0+_Dir2</f>
        <v>0</v>
      </c>
      <c r="J37" s="28">
        <f>ER_2</f>
        <v>100</v>
      </c>
      <c r="K37" s="14"/>
      <c r="L37" s="25">
        <f>0+_Dir3</f>
        <v>0</v>
      </c>
      <c r="M37" s="28">
        <f>ER_3</f>
        <v>100</v>
      </c>
      <c r="O37" s="244">
        <f>0+_Dir4</f>
        <v>180</v>
      </c>
      <c r="P37" s="234">
        <f>ER_4</f>
        <v>22.7</v>
      </c>
      <c r="Q37" s="3"/>
      <c r="R37" s="244">
        <f>0+_Dir6</f>
        <v>180</v>
      </c>
      <c r="S37" s="234">
        <f>ER_5</f>
        <v>22.7</v>
      </c>
      <c r="T37" s="3"/>
      <c r="U37" s="25">
        <v>0</v>
      </c>
      <c r="V37" s="28">
        <f>R_NDE</f>
        <v>45.5</v>
      </c>
      <c r="W37" s="3"/>
      <c r="X37" s="244">
        <f>0+_Dir6</f>
        <v>180</v>
      </c>
      <c r="Y37" s="234">
        <f>MIN(ER_6,BE83)</f>
        <v>22.7</v>
      </c>
      <c r="Z37" s="14"/>
      <c r="AA37" s="244">
        <f t="shared" si="32"/>
        <v>0</v>
      </c>
      <c r="AB37" s="234">
        <f t="shared" si="33"/>
        <v>100</v>
      </c>
      <c r="AC37" s="3"/>
      <c r="AD37" s="266">
        <f>IF(SOTF_OC_Only=TRUE,C39,IF(SOTF_Fwd="Z2",I39,L39))</f>
        <v>10</v>
      </c>
      <c r="AE37" s="234">
        <f t="shared" si="34"/>
        <v>69.382357948200521</v>
      </c>
      <c r="AF37" s="305">
        <f t="shared" si="35"/>
        <v>0.47425091315737772</v>
      </c>
      <c r="AG37" s="288">
        <f t="shared" si="27"/>
        <v>115</v>
      </c>
      <c r="AH37" s="808">
        <f>IF($J23="",AH36,COS(RADIANS($I23))*$J23)*Settings!$AF$25</f>
        <v>-9.8577438933966679</v>
      </c>
      <c r="AI37" s="808">
        <f>IF($J23="",AI36,SIN(RADIANS($I23))*$J23)*Settings!$AF$25</f>
        <v>21.14</v>
      </c>
      <c r="AJ37" s="15"/>
      <c r="AK37" s="288">
        <f t="shared" si="28"/>
        <v>115</v>
      </c>
      <c r="AL37" s="808">
        <f>IF($J45="",AL36,COS(RADIANS($I45))*$J45)*Settings!$AF$26</f>
        <v>-9.4962932839721219</v>
      </c>
      <c r="AM37" s="808">
        <f>IF($J45="",AM36,SIN(RADIANS($I45))*$J45)*Settings!$AF$26</f>
        <v>20.364866666666668</v>
      </c>
      <c r="AN37" s="14"/>
      <c r="AO37" s="3"/>
      <c r="AP37" s="47"/>
      <c r="AV37" s="888">
        <f t="shared" si="37"/>
        <v>128.21900962126432</v>
      </c>
      <c r="AW37" s="234">
        <f t="shared" si="37"/>
        <v>19.296083111549006</v>
      </c>
      <c r="AX37" s="881">
        <f t="shared" si="29"/>
        <v>19.296083111549006</v>
      </c>
      <c r="AY37" s="889">
        <f>IF(SOTF_Rev="ZR1",P37,S37)</f>
        <v>22.7</v>
      </c>
      <c r="AZ37" s="311"/>
      <c r="BG37" s="3"/>
      <c r="BK37" s="3"/>
      <c r="BL37" s="3"/>
      <c r="BM37" s="3">
        <v>37</v>
      </c>
      <c r="BN37" s="103" t="e">
        <f>#REF!</f>
        <v>#REF!</v>
      </c>
      <c r="BO37" s="99">
        <f t="shared" si="30"/>
        <v>350</v>
      </c>
      <c r="BP37" s="101">
        <f t="shared" si="30"/>
        <v>385</v>
      </c>
      <c r="BQ37" s="101">
        <f t="shared" si="0"/>
        <v>385</v>
      </c>
      <c r="BR37" s="3"/>
      <c r="BS37" s="32">
        <f t="shared" ref="BS37:BT49" si="38">AH37*$BW$4</f>
        <v>-9.8577438933966679</v>
      </c>
      <c r="BT37" s="32">
        <f t="shared" si="38"/>
        <v>21.14</v>
      </c>
      <c r="BU37" s="3"/>
      <c r="BV37" s="32" t="e">
        <f>#REF!*$BW$4</f>
        <v>#REF!</v>
      </c>
      <c r="BW37" s="32" t="e">
        <f>#REF!*$BW$4</f>
        <v>#REF!</v>
      </c>
      <c r="BX37" s="3"/>
      <c r="BY37" s="3"/>
      <c r="BZ37" s="3"/>
      <c r="CA37" s="399"/>
    </row>
    <row r="38" spans="1:79" ht="13.5">
      <c r="A38" s="239"/>
      <c r="C38" s="25">
        <f>IF(AZ86=1,$AX$84+_Dir1,(C39+C37)/2)</f>
        <v>5</v>
      </c>
      <c r="D38" s="28">
        <f>MIN(ABS(ER_1*SIN(RADIANS(180-Slope))/SIN(RADIANS(Slope-C38))),AY85)</f>
        <v>66.917383302241333</v>
      </c>
      <c r="F38" s="25">
        <f t="shared" si="31"/>
        <v>-25</v>
      </c>
      <c r="G38" s="28">
        <f t="shared" si="36"/>
        <v>32.073036004277867</v>
      </c>
      <c r="I38" s="25">
        <f>IF(BB86=1,$AX$84+_Dir2,(I39+I37)/2)</f>
        <v>4.5</v>
      </c>
      <c r="J38" s="28">
        <f>MIN(ABS(ER_2*SIN(RADIANS(180-Slope))/SIN(RADIANS(Slope-I38))),AY85)</f>
        <v>102.47011567143217</v>
      </c>
      <c r="L38" s="25">
        <f>IF(BC88=1,$AX$84+_Dir3,(L39+L37)/2)</f>
        <v>7</v>
      </c>
      <c r="M38" s="28">
        <f>MIN(ABS(ER_3*SIN(RADIANS(180-Slope))/SIN(RADIANS(Slope-L38))),AY85)</f>
        <v>104.17845625023124</v>
      </c>
      <c r="O38" s="244">
        <f>IF(BD88=1,$AX$84+_Dir4,(O39+O37)/2)</f>
        <v>192</v>
      </c>
      <c r="P38" s="234">
        <f>MIN(ABS(ER_4*SIN(RADIANS(180-Slope))/SIN(RADIANS(Slope-O38))),AY85)</f>
        <v>24.608704494880175</v>
      </c>
      <c r="R38" s="244">
        <f>IF(BE88=1,$AX$84+_Dir6,(R39+R37)/2)</f>
        <v>206</v>
      </c>
      <c r="S38" s="234">
        <f>MIN(ABS(ER_5*SIN(RADIANS(180-Slope))/SIN(RADIANS(Slope-R38))),AY85)</f>
        <v>29.052918939083387</v>
      </c>
      <c r="U38" s="25"/>
      <c r="V38" s="28"/>
      <c r="X38" s="244">
        <f>IF(BK88=1,$AX$84+_Dir6,(X39+X37)/2)</f>
        <v>204.5</v>
      </c>
      <c r="Y38" s="234">
        <f>MIN(ABS(ER_6*SIN(RADIANS(180-Slope))/SIN(RADIANS(Slope-X38))),BE85)</f>
        <v>28.416041594341461</v>
      </c>
      <c r="Z38" s="14"/>
      <c r="AA38" s="244">
        <f t="shared" si="32"/>
        <v>4.5</v>
      </c>
      <c r="AB38" s="234">
        <f t="shared" si="33"/>
        <v>102.47011567143217</v>
      </c>
      <c r="AC38" s="3"/>
      <c r="AD38" s="894">
        <f>IF(SOTF_OC_Only=TRUE,C40,IF(SOTF_Fwd="Z2",I40,L40))</f>
        <v>11.923710961991974</v>
      </c>
      <c r="AE38" s="797">
        <f t="shared" si="34"/>
        <v>70.526077276119125</v>
      </c>
      <c r="AF38" s="305">
        <f t="shared" si="35"/>
        <v>0.46656000000000003</v>
      </c>
      <c r="AG38" s="289" t="s">
        <v>10</v>
      </c>
      <c r="AH38" s="809">
        <f>COS(RADIANS($L13))*$M13*Settings!$AG$25</f>
        <v>44.446547835755148</v>
      </c>
      <c r="AI38" s="809">
        <f>SIN(RADIANS($L13))*$M13*Settings!$AG$25</f>
        <v>-20.725765634365107</v>
      </c>
      <c r="AJ38" s="15"/>
      <c r="AK38" s="289" t="s">
        <v>10</v>
      </c>
      <c r="AL38" s="809">
        <f>COS(RADIANS($L35))*$M35*Settings!$AG$26</f>
        <v>88.893095671510295</v>
      </c>
      <c r="AM38" s="809">
        <f>SIN(RADIANS($L35))*$M35*Settings!$AG$26</f>
        <v>-41.451531268730214</v>
      </c>
      <c r="AN38" s="14"/>
      <c r="AO38" s="3"/>
      <c r="AP38" s="1169" t="s">
        <v>1117</v>
      </c>
      <c r="AQ38" s="1169"/>
      <c r="AR38" s="1169"/>
      <c r="AS38" s="1169"/>
      <c r="AV38" s="888">
        <f t="shared" si="37"/>
        <v>180</v>
      </c>
      <c r="AW38" s="234">
        <f t="shared" si="37"/>
        <v>16</v>
      </c>
      <c r="AX38" s="881">
        <f t="shared" si="29"/>
        <v>16</v>
      </c>
      <c r="AY38" s="889">
        <f>IF(SOTF_Rev="ZR1",P39,S39)</f>
        <v>56.116635348554702</v>
      </c>
      <c r="AZ38" s="311"/>
      <c r="BG38" s="3"/>
      <c r="BK38" s="3"/>
      <c r="BL38" s="3"/>
      <c r="BM38" s="3">
        <v>38</v>
      </c>
      <c r="BN38" s="102">
        <f>P35</f>
        <v>22.264768113061393</v>
      </c>
      <c r="BO38" s="100">
        <f>D37</f>
        <v>65.099999999999994</v>
      </c>
      <c r="BP38" s="98">
        <f>G37</f>
        <v>32.073036004277867</v>
      </c>
      <c r="BQ38" s="98">
        <f t="shared" si="0"/>
        <v>32.073036004277867</v>
      </c>
      <c r="BR38" s="3"/>
      <c r="BS38" s="32">
        <f t="shared" si="38"/>
        <v>44.446547835755148</v>
      </c>
      <c r="BT38" s="32">
        <f t="shared" si="38"/>
        <v>-20.725765634365107</v>
      </c>
      <c r="BU38" s="3"/>
      <c r="BV38" s="32" t="e">
        <f>#REF!*$BW$4</f>
        <v>#REF!</v>
      </c>
      <c r="BW38" s="32" t="e">
        <f>#REF!*$BW$4</f>
        <v>#REF!</v>
      </c>
      <c r="BX38" s="3"/>
      <c r="BY38" s="3"/>
      <c r="BZ38" s="3"/>
    </row>
    <row r="39" spans="1:79" ht="13.5">
      <c r="C39" s="25">
        <f>IF(AZ86=1,$AX$84+6,ROUND(IF(AND(Load_comp_Ang_E&gt;25,Load_comp_Ang_E&lt;65),Load_comp_Ang_E-10,IF(OR(Load_comp_Ang_E&lt;15,Load_comp_Ang_E&gt;80),Load_comp_Ang_E-2,Load_comp_Ang_E-5)),0))+_Dir1</f>
        <v>10</v>
      </c>
      <c r="D39" s="28">
        <f>ABS(ER_1*SIN(RADIANS(180-Slope))/SIN(RADIANS(Slope-C39)))</f>
        <v>69.382357948200521</v>
      </c>
      <c r="E39" s="14"/>
      <c r="F39" s="25">
        <f t="shared" si="31"/>
        <v>-25</v>
      </c>
      <c r="G39" s="28">
        <f t="shared" si="36"/>
        <v>32.073036004277867</v>
      </c>
      <c r="H39" s="48"/>
      <c r="I39" s="25">
        <f>IF(BB86=1,$AX$84+_Dir2+6,ROUND(IF(AND(Z2E_Ang&gt;25,Z2E_Ang&lt;65),Z2E_Ang-10,IF(OR(Z2E_Ang&lt;15,Z2E_Ang&gt;80),Z2E_Ang-2,Z2E_Ang-5)),0))</f>
        <v>9</v>
      </c>
      <c r="J39" s="28">
        <f>ABS(ER_2*SIN(RADIANS(180-Slope))/SIN(RADIANS(Slope-I39)))</f>
        <v>105.73374518019439</v>
      </c>
      <c r="K39" s="14"/>
      <c r="L39" s="25">
        <f>IF(BC88=1,$AX$84+_Dir3+6,ROUND(IF(AND(Z3E_Ang&gt;25,Z3E_Ang&lt;65),Z3E_Ang-10,IF(OR(Z3E_Ang&lt;15,Z3E_Ang&gt;80),Z3E_Ang-2,Z3E_Ang-5)),0))</f>
        <v>14</v>
      </c>
      <c r="M39" s="28">
        <f>ABS(ER_3*SIN(RADIANS(180-Slope))/SIN(RADIANS(Slope-L39)))</f>
        <v>110.43952227515041</v>
      </c>
      <c r="O39" s="244">
        <f>IF(BD88=1,$AX$84+_Dir4+6,ROUND(IF(AND(Z4E_Ang&gt;25,Z4E_Ang&lt;65),Z4E_Ang-10,IF(OR(Z4E_Ang&lt;15,Z4E_Ang&gt;80),Z4E_Ang-2,Z4E_Ang-5)),0))</f>
        <v>204</v>
      </c>
      <c r="P39" s="234">
        <f>ABS(ER_4*SIN(RADIANS(180-Slope))/SIN(RADIANS(Slope-O39)))</f>
        <v>28.214154540100349</v>
      </c>
      <c r="Q39" s="3"/>
      <c r="R39" s="244">
        <f>IF(BE88=1,$AX$84+_Dir6+6,ROUND(IF(AND(Z5E_Ang&gt;25,Z5E_Ang&lt;65),Z5E_Ang-10,IF(OR(Z5E_Ang&lt;15,Z5E_Ang&gt;80),Z5E_Ang-2,Z5E_Ang-5)),0))</f>
        <v>232</v>
      </c>
      <c r="S39" s="234">
        <f>ABS(ER_5*SIN(RADIANS(180-Slope))/SIN(RADIANS(Slope-R39)))</f>
        <v>56.116635348554702</v>
      </c>
      <c r="T39" s="3"/>
      <c r="U39" s="25"/>
      <c r="V39" s="28"/>
      <c r="W39" s="3"/>
      <c r="X39" s="244">
        <f>IF(BK88=1,$AX$84+_Dir6+6,ROUND(IF(AND(Z6E_Ang&gt;25,Z6E_Ang&lt;65),Z6E_Ang-10,IF(OR(Z6E_Ang&lt;15,Z6E_Ang&gt;80),Z6E_Ang-2,Z6E_Ang-5)),0))</f>
        <v>229</v>
      </c>
      <c r="Y39" s="234">
        <f>ABS(ER_6*SIN(RADIANS(180-Slope))/SIN(RADIANS(Slope-X39)))</f>
        <v>50.018155659573587</v>
      </c>
      <c r="Z39" s="14"/>
      <c r="AA39" s="244">
        <f t="shared" si="32"/>
        <v>9</v>
      </c>
      <c r="AB39" s="234">
        <f t="shared" si="33"/>
        <v>105.73374518019439</v>
      </c>
      <c r="AC39" s="3"/>
      <c r="AD39" s="266">
        <f>IF(SOTF_OC_Only=TRUE,C43,IF(SOTF_Fwd="Z2",I43,L43))</f>
        <v>90</v>
      </c>
      <c r="AE39" s="234">
        <f t="shared" si="34"/>
        <v>14.604133333333333</v>
      </c>
      <c r="AF39" s="305">
        <f t="shared" si="35"/>
        <v>2.2531050534058492</v>
      </c>
      <c r="AG39" s="289">
        <f>L14</f>
        <v>-12.5</v>
      </c>
      <c r="AH39" s="809">
        <f>IF($M14="",AH38,COS(RADIANS($L14))*$M14)*Settings!$AG$25</f>
        <v>47.196396880967363</v>
      </c>
      <c r="AI39" s="809">
        <f>IF($M14="",AI38,SIN(RADIANS($L14))*$M14)*Settings!$AG$25</f>
        <v>-10.46318928448836</v>
      </c>
      <c r="AJ39" s="15"/>
      <c r="AK39" s="289">
        <f>L36</f>
        <v>-12.5</v>
      </c>
      <c r="AL39" s="809">
        <f>COS(RADIANS($L36))*$M36*Settings!$AG$26</f>
        <v>94.392793761934726</v>
      </c>
      <c r="AM39" s="809">
        <f>SIN(RADIANS($L36))*$M36*Settings!$AG$26</f>
        <v>-20.92637856897672</v>
      </c>
      <c r="AN39" s="14"/>
      <c r="AO39" s="3"/>
      <c r="AP39" s="1169" t="s">
        <v>36</v>
      </c>
      <c r="AQ39" s="1169"/>
      <c r="AR39" s="1169" t="s">
        <v>1135</v>
      </c>
      <c r="AS39" s="1169"/>
      <c r="AV39" s="888">
        <f>IF(SOTF_Rev="ZR1",O18,R18)</f>
        <v>240.46549356129381</v>
      </c>
      <c r="AW39" s="234">
        <f>IF(SOTF_Rev="ZR1",P18,S18)</f>
        <v>61.582032374441795</v>
      </c>
      <c r="AX39" s="881">
        <f t="shared" si="29"/>
        <v>61.582032374441795</v>
      </c>
      <c r="AY39" s="889">
        <f>IF(SOTF_Rev="ZR1",P40,S40)</f>
        <v>59.949888547564179</v>
      </c>
      <c r="AZ39" s="311"/>
      <c r="BG39" s="3"/>
      <c r="BK39" s="3"/>
      <c r="BL39" s="3"/>
      <c r="BM39" s="3">
        <v>39</v>
      </c>
      <c r="BN39" s="102">
        <f>P37</f>
        <v>22.7</v>
      </c>
      <c r="BO39" s="100">
        <f>D39</f>
        <v>69.382357948200521</v>
      </c>
      <c r="BP39" s="98">
        <f>G39</f>
        <v>32.073036004277867</v>
      </c>
      <c r="BQ39" s="98">
        <f t="shared" si="0"/>
        <v>32.073036004277867</v>
      </c>
      <c r="BR39" s="3"/>
      <c r="BS39" s="32">
        <f t="shared" si="38"/>
        <v>47.196396880967363</v>
      </c>
      <c r="BT39" s="32">
        <f t="shared" si="38"/>
        <v>-10.46318928448836</v>
      </c>
      <c r="BU39" s="3"/>
      <c r="BV39" s="32" t="e">
        <f>#REF!*$BW$4</f>
        <v>#REF!</v>
      </c>
      <c r="BW39" s="32" t="e">
        <f>#REF!*$BW$4</f>
        <v>#REF!</v>
      </c>
      <c r="BX39" s="3"/>
      <c r="BY39" s="3"/>
      <c r="BZ39" s="3"/>
    </row>
    <row r="40" spans="1:79" ht="13.5">
      <c r="A40" s="26"/>
      <c r="C40" s="274">
        <f>Load_comp_Ang_E+_Dir1</f>
        <v>11.923710961991974</v>
      </c>
      <c r="D40" s="275">
        <f>Load_Comp_Z1E</f>
        <v>70.526077276119125</v>
      </c>
      <c r="F40" s="274">
        <f t="shared" si="31"/>
        <v>-25</v>
      </c>
      <c r="G40" s="275">
        <f t="shared" si="36"/>
        <v>32.073036004277867</v>
      </c>
      <c r="I40" s="274">
        <f>Z2E_Ang</f>
        <v>10.929909476122836</v>
      </c>
      <c r="J40" s="275">
        <f>Z2E_C</f>
        <v>107.40509217798125</v>
      </c>
      <c r="L40" s="274">
        <f>Z3E_Ang</f>
        <v>18.859429503917497</v>
      </c>
      <c r="M40" s="275">
        <f>Z3E_C</f>
        <v>116.3195655435823</v>
      </c>
      <c r="O40" s="796">
        <f>Z4E_Ang</f>
        <v>206.26504615177132</v>
      </c>
      <c r="P40" s="797">
        <f>Z4E_C</f>
        <v>29.170532868396531</v>
      </c>
      <c r="R40" s="796">
        <f>Z5E_Ang</f>
        <v>233.54641338816776</v>
      </c>
      <c r="S40" s="797">
        <f>Z5E_C</f>
        <v>59.949888547564179</v>
      </c>
      <c r="U40" s="274">
        <v>90</v>
      </c>
      <c r="V40" s="275">
        <f>X_NDE</f>
        <v>51.5</v>
      </c>
      <c r="X40" s="796">
        <f>Z6E_Ang</f>
        <v>230.77666952019203</v>
      </c>
      <c r="Y40" s="797">
        <f>Z6E_C</f>
        <v>53.440933520690194</v>
      </c>
      <c r="Z40" s="14"/>
      <c r="AA40" s="244">
        <f t="shared" si="32"/>
        <v>10.929909476122836</v>
      </c>
      <c r="AB40" s="234">
        <f t="shared" si="33"/>
        <v>107.40509217798125</v>
      </c>
      <c r="AC40" s="3"/>
      <c r="AD40" s="266">
        <f>IF(SOTF_OC_Only=TRUE,C45,IF(SOTF_Fwd="Z2",I45,L45))</f>
        <v>115</v>
      </c>
      <c r="AE40" s="234">
        <f t="shared" si="34"/>
        <v>16.11387824558409</v>
      </c>
      <c r="AF40" s="305">
        <f t="shared" si="35"/>
        <v>2.0420066549133482</v>
      </c>
      <c r="AG40" s="289">
        <f t="shared" ref="AG40:AG48" si="39">L15</f>
        <v>0</v>
      </c>
      <c r="AH40" s="809">
        <f>IF($M15="",AH39,COS(RADIANS($L15))*$M15)*Settings!$AG$25</f>
        <v>50</v>
      </c>
      <c r="AI40" s="809">
        <f>IF($M15="",AI39,SIN(RADIANS($L15))*$M15)*Settings!$AG$25</f>
        <v>0</v>
      </c>
      <c r="AJ40" s="15"/>
      <c r="AK40" s="289">
        <f t="shared" ref="AK40:AK48" si="40">L37</f>
        <v>0</v>
      </c>
      <c r="AL40" s="809">
        <f>COS(RADIANS($L37))*$M37*Settings!$AG$26</f>
        <v>100</v>
      </c>
      <c r="AM40" s="809">
        <f>SIN(RADIANS($L37))*$M37*Settings!$AG$26</f>
        <v>0</v>
      </c>
      <c r="AN40" s="14"/>
      <c r="AO40" s="3"/>
      <c r="AP40" s="986">
        <f>Z3_Blinder1</f>
        <v>-25</v>
      </c>
      <c r="AQ40" s="989">
        <f>2*PSB_F_R*SIN(RADIANS(180-Slope))/SIN(RADIANS(Slope-AP40))</f>
        <v>68.657875238515302</v>
      </c>
      <c r="AR40" s="986">
        <f>L35</f>
        <v>-25</v>
      </c>
      <c r="AS40" s="989">
        <f>PSBe_F_R*SIN(RADIANS(180-Slope))/SIN(RADIANS(Slope-AR40))</f>
        <v>107.89094680338121</v>
      </c>
      <c r="AV40" s="888">
        <f>IF(SOTF_Rev="ZR1",O21,R21)</f>
        <v>270</v>
      </c>
      <c r="AW40" s="234">
        <f>IF(SOTF_Rev="ZR1",P21,S21)</f>
        <v>53.58</v>
      </c>
      <c r="AX40" s="881">
        <f t="shared" si="29"/>
        <v>53.58</v>
      </c>
      <c r="AY40" s="889">
        <f>IF(SOTF_Rev="ZR1",P43,S43)</f>
        <v>48.22</v>
      </c>
      <c r="AZ40" s="311"/>
      <c r="BG40" s="3"/>
      <c r="BK40" s="3"/>
      <c r="BL40" s="3"/>
      <c r="BM40" s="3">
        <v>40</v>
      </c>
      <c r="BN40" s="102">
        <f>P39</f>
        <v>28.214154540100349</v>
      </c>
      <c r="BO40" s="100">
        <f>D41</f>
        <v>48.265402921336388</v>
      </c>
      <c r="BP40" s="98">
        <f>G41</f>
        <v>32.073036004277867</v>
      </c>
      <c r="BQ40" s="98">
        <f t="shared" si="0"/>
        <v>32.073036004277867</v>
      </c>
      <c r="BR40" s="3"/>
      <c r="BS40" s="32">
        <f t="shared" si="38"/>
        <v>50</v>
      </c>
      <c r="BT40" s="32">
        <f t="shared" si="38"/>
        <v>0</v>
      </c>
      <c r="BU40" s="3"/>
      <c r="BV40" s="32" t="e">
        <f>#REF!*$BW$4</f>
        <v>#REF!</v>
      </c>
      <c r="BW40" s="32" t="e">
        <f>#REF!*$BW$4</f>
        <v>#REF!</v>
      </c>
      <c r="BX40" s="3"/>
      <c r="BY40" s="3"/>
      <c r="BZ40" s="3"/>
    </row>
    <row r="41" spans="1:79" ht="13.5">
      <c r="C41" s="25">
        <f>IF(Load_Comp=0,AP201,AH181)+_Dir1</f>
        <v>17.612614698164872</v>
      </c>
      <c r="D41" s="28">
        <f>IF(Load_Comp=0,AQ201,AI200)</f>
        <v>48.265402921336388</v>
      </c>
      <c r="E41" s="14"/>
      <c r="F41" s="25">
        <f t="shared" si="31"/>
        <v>-25</v>
      </c>
      <c r="G41" s="28">
        <f t="shared" si="36"/>
        <v>32.073036004277867</v>
      </c>
      <c r="H41" s="14"/>
      <c r="I41" s="25">
        <f>ROUND(IF(AND(Z2E_Ang&gt;25,Z2E_Ang&lt;65),Z2E_Ang+10,IF(OR(Z2E_Ang&lt;15,Z2E_Ang&gt;80),Z2E_Ang+2,Z2E_Ang+5)),0)</f>
        <v>13</v>
      </c>
      <c r="J41" s="28">
        <f>ABS(EX_2/SIN(RADIANS(I41)))</f>
        <v>90.53021212132883</v>
      </c>
      <c r="K41" s="14"/>
      <c r="L41" s="25">
        <f>ROUND(IF(AND(Z3E_Ang&gt;25,Z3E_Ang&lt;65),Z3E_Ang+10,IF(OR(Z3E_Ang&lt;15,Z3E_Ang&gt;80),Z3E_Ang+2,Z3E_Ang+5)),0)</f>
        <v>24</v>
      </c>
      <c r="M41" s="28">
        <f>ABS(EX_3/SIN(RADIANS(L41)))</f>
        <v>92.443109417591359</v>
      </c>
      <c r="O41" s="244">
        <f>ROUND(IF(AND(Z4E_Ang&gt;25,Z4E_Ang&lt;65),Z4E_Ang+10,IF(OR(Z4E_Ang&lt;15,Z4E_Ang&gt;80),Z4E_Ang+2,Z4E_Ang+5)),0)</f>
        <v>208</v>
      </c>
      <c r="P41" s="234">
        <f>ABS(EX_4/SIN(RADIANS(O41)))</f>
        <v>27.496163111702352</v>
      </c>
      <c r="Q41" s="3"/>
      <c r="R41" s="244">
        <f>ROUND(IF(AND(Z5E_Ang&gt;25,Z5E_Ang&lt;65),Z5E_Ang+10,IF(OR(Z5E_Ang&lt;15,Z5E_Ang&gt;80),Z5E_Ang+2,Z5E_Ang+5)),0)</f>
        <v>236</v>
      </c>
      <c r="S41" s="234">
        <f>ABS(EX_5/SIN(RADIANS(R41)))</f>
        <v>58.163829476858304</v>
      </c>
      <c r="T41" s="3"/>
      <c r="U41" s="25"/>
      <c r="V41" s="28"/>
      <c r="W41" s="3"/>
      <c r="X41" s="244">
        <f>ROUND(IF(AND(Z6E_Ang&gt;25,Z6E_Ang&lt;65),Z6E_Ang+10,IF(OR(Z6E_Ang&lt;15,Z6E_Ang&gt;80),Z6E_Ang+2,Z6E_Ang+5)),0)</f>
        <v>233</v>
      </c>
      <c r="Y41" s="234">
        <f>ABS(EX_6/SIN(RADIANS(X41)))</f>
        <v>51.838416247667745</v>
      </c>
      <c r="Z41" s="14"/>
      <c r="AA41" s="244">
        <f t="shared" si="32"/>
        <v>13</v>
      </c>
      <c r="AB41" s="234">
        <f t="shared" si="33"/>
        <v>90.53021212132883</v>
      </c>
      <c r="AC41" s="3"/>
      <c r="AD41" s="266">
        <f>IF(SOTF_Rev="ZR1",O35,R35)</f>
        <v>155</v>
      </c>
      <c r="AE41" s="234">
        <f t="shared" ref="AE41:AE46" si="41">IF(Rev_SOTF_OC_Only=TRUE,$AY$29,IF(SOTF_Rev="Off","No Test",AY36))</f>
        <v>10.968215537982047</v>
      </c>
      <c r="AF41" s="305">
        <f t="shared" si="35"/>
        <v>3</v>
      </c>
      <c r="AG41" s="289">
        <f t="shared" si="39"/>
        <v>10.942844600484717</v>
      </c>
      <c r="AH41" s="809">
        <f>IF($M16="",AH40,COS(RADIANS($L16))*$M16)*Settings!$AG$25</f>
        <v>52.731864326066379</v>
      </c>
      <c r="AI41" s="809">
        <f>IF($M16="",AI40,SIN(RADIANS($L16))*$M16)*Settings!$AG$25</f>
        <v>10.195456464264629</v>
      </c>
      <c r="AJ41" s="15"/>
      <c r="AK41" s="289">
        <f t="shared" si="40"/>
        <v>7</v>
      </c>
      <c r="AL41" s="809">
        <f>COS(RADIANS($L38))*$M38*Settings!$AG$26</f>
        <v>103.40192583510084</v>
      </c>
      <c r="AM41" s="809">
        <f>SIN(RADIANS($L38))*$M38*Settings!$AG$26</f>
        <v>12.696160060177563</v>
      </c>
      <c r="AN41" s="14"/>
      <c r="AO41" s="3"/>
      <c r="AP41" s="986">
        <v>0</v>
      </c>
      <c r="AQ41" s="989">
        <f>2*PSB_F_R</f>
        <v>70</v>
      </c>
      <c r="AR41" s="986">
        <v>0</v>
      </c>
      <c r="AS41" s="989">
        <f>PSBe_F_R</f>
        <v>110</v>
      </c>
      <c r="AV41" s="888">
        <f>IF(SOTF_Rev="ZR1",O22,R22)</f>
        <v>290.60867994460727</v>
      </c>
      <c r="AW41" s="234">
        <f>IF(SOTF_Rev="ZR1",P22,S22)</f>
        <v>57.243209147467979</v>
      </c>
      <c r="AX41" s="881">
        <f t="shared" si="29"/>
        <v>57.243209147467979</v>
      </c>
      <c r="AY41" s="889">
        <f>IF(SOTF_Rev="ZR1",P45,S45)</f>
        <v>69.853008628405036</v>
      </c>
      <c r="AZ41" s="311"/>
      <c r="BG41" s="3"/>
      <c r="BK41" s="3"/>
      <c r="BL41" s="3"/>
      <c r="BM41" s="3">
        <v>41</v>
      </c>
      <c r="BN41" s="102">
        <f>P41</f>
        <v>27.496163111702352</v>
      </c>
      <c r="BO41" s="100">
        <f>D43</f>
        <v>14.604133333333333</v>
      </c>
      <c r="BP41" s="98">
        <f>G43</f>
        <v>32.073036004277867</v>
      </c>
      <c r="BQ41" s="98">
        <f t="shared" si="0"/>
        <v>32.073036004277867</v>
      </c>
      <c r="BR41" s="3"/>
      <c r="BS41" s="32">
        <f t="shared" si="38"/>
        <v>52.731864326066379</v>
      </c>
      <c r="BT41" s="32">
        <f t="shared" si="38"/>
        <v>10.195456464264629</v>
      </c>
      <c r="BU41" s="3"/>
      <c r="BV41" s="32" t="e">
        <f>#REF!*$BW$4</f>
        <v>#REF!</v>
      </c>
      <c r="BW41" s="32" t="e">
        <f>#REF!*$BW$4</f>
        <v>#REF!</v>
      </c>
      <c r="BX41" s="3"/>
      <c r="BY41" s="3"/>
      <c r="BZ41" s="3"/>
    </row>
    <row r="42" spans="1:79" ht="13.5">
      <c r="A42" s="16"/>
      <c r="B42" s="818"/>
      <c r="C42" s="25">
        <f>IF(Load_Comp=0,AP203,AH183)+_Dir1</f>
        <v>32.412364445780845</v>
      </c>
      <c r="D42" s="28">
        <f>IF(Load_Comp=0,AQ203,AI202)</f>
        <v>27.246060496942857</v>
      </c>
      <c r="F42" s="25">
        <f t="shared" si="31"/>
        <v>-25</v>
      </c>
      <c r="G42" s="28">
        <f t="shared" si="36"/>
        <v>32.073036004277867</v>
      </c>
      <c r="I42" s="25">
        <f>(I43+I41)/2</f>
        <v>51.5</v>
      </c>
      <c r="J42" s="28">
        <f>ABS(EX_2/SIN(RADIANS(I42)))</f>
        <v>26.021791989202487</v>
      </c>
      <c r="L42" s="25">
        <f>(L43+L41)/2</f>
        <v>57</v>
      </c>
      <c r="M42" s="28">
        <f>ABS(EX_3/SIN(RADIANS(L42)))</f>
        <v>44.832859810631625</v>
      </c>
      <c r="O42" s="244">
        <f>(O43+O41)/2</f>
        <v>239</v>
      </c>
      <c r="P42" s="234">
        <f>ABS(EX_4/SIN(RADIANS(O42)))</f>
        <v>15.059681646853633</v>
      </c>
      <c r="R42" s="244">
        <f>(R43+R41)/2</f>
        <v>253</v>
      </c>
      <c r="S42" s="234">
        <f>ABS(EX_5/SIN(RADIANS(R42)))</f>
        <v>50.423256497810286</v>
      </c>
      <c r="U42" s="25">
        <v>180</v>
      </c>
      <c r="V42" s="28">
        <f>V37</f>
        <v>45.5</v>
      </c>
      <c r="X42" s="244">
        <f>(X43+X41)/2</f>
        <v>251.5</v>
      </c>
      <c r="Y42" s="234">
        <f>ABS(EX_6/SIN(RADIANS(X42)))</f>
        <v>43.655981555156053</v>
      </c>
      <c r="Z42" s="14"/>
      <c r="AA42" s="244">
        <f t="shared" si="32"/>
        <v>51.5</v>
      </c>
      <c r="AB42" s="234">
        <f t="shared" si="33"/>
        <v>26.021791989202487</v>
      </c>
      <c r="AC42" s="3"/>
      <c r="AD42" s="266">
        <f>IF(SOTF_Rev="ZR1",O37,R37)</f>
        <v>180</v>
      </c>
      <c r="AE42" s="234">
        <f t="shared" si="41"/>
        <v>10.968215537982047</v>
      </c>
      <c r="AF42" s="305">
        <f t="shared" si="35"/>
        <v>3</v>
      </c>
      <c r="AG42" s="289">
        <f t="shared" si="39"/>
        <v>21.885689200969434</v>
      </c>
      <c r="AH42" s="809">
        <f>IF($M17="",AH41,COS(RADIANS($L17))*$M17)*Settings!$AG$25</f>
        <v>56.031019305983598</v>
      </c>
      <c r="AI42" s="809">
        <f>IF($M17="",AI41,SIN(RADIANS($L17))*$M17)*Settings!$AG$25</f>
        <v>22.508070471359545</v>
      </c>
      <c r="AJ42" s="15"/>
      <c r="AK42" s="289">
        <f t="shared" si="40"/>
        <v>14</v>
      </c>
      <c r="AL42" s="809">
        <f>COS(RADIANS($L39))*$M39*Settings!$AG$26</f>
        <v>107.15899647554116</v>
      </c>
      <c r="AM42" s="809">
        <f>SIN(RADIANS($L39))*$M39*Settings!$AG$26</f>
        <v>26.717738577926117</v>
      </c>
      <c r="AN42" s="14"/>
      <c r="AO42" s="3"/>
      <c r="AP42" s="993">
        <f>DEGREES(ATAN(PSB_F_X/(PSB_F_R+PSB_F_X/TAN(RADIANS(Slope)))))</f>
        <v>34.511384288652337</v>
      </c>
      <c r="AQ42" s="994">
        <f>SQRT((PSB_F_R+PSB_F_X/TAN(RADIANS(Slope)))^2+PSB_F_X^2)*2</f>
        <v>104.13541609314301</v>
      </c>
      <c r="AR42" s="993">
        <f>DEGREES(ATAN(PSBe_F_X/(PSBe_F_R+PSBe_F_X/TAN(RADIANS(Slope)))))</f>
        <v>21.194609207750528</v>
      </c>
      <c r="AS42" s="994">
        <f>SQRT((PSBe_F_R+PSBe_F_X/TAN(RADIANS(Slope)))^2+PSBe_F_X^2)</f>
        <v>131.66016175027917</v>
      </c>
      <c r="BG42" s="3"/>
      <c r="BH42" s="3"/>
      <c r="BI42" s="3"/>
      <c r="BJ42" s="3"/>
      <c r="BK42" s="3"/>
      <c r="BL42" s="3"/>
      <c r="BM42" s="3">
        <v>42</v>
      </c>
      <c r="BN42" s="102">
        <f>P43</f>
        <v>12.908666666666667</v>
      </c>
      <c r="BO42" s="100">
        <f>BO40</f>
        <v>48.265402921336388</v>
      </c>
      <c r="BP42" s="98">
        <f>BP40</f>
        <v>32.073036004277867</v>
      </c>
      <c r="BQ42" s="98">
        <f t="shared" si="0"/>
        <v>32.073036004277867</v>
      </c>
      <c r="BR42" s="3"/>
      <c r="BS42" s="32">
        <f t="shared" si="38"/>
        <v>56.031019305983598</v>
      </c>
      <c r="BT42" s="32">
        <f t="shared" si="38"/>
        <v>22.508070471359545</v>
      </c>
      <c r="BU42" s="3"/>
      <c r="BV42" s="32" t="e">
        <f>#REF!*$BW$4</f>
        <v>#REF!</v>
      </c>
      <c r="BW42" s="32" t="e">
        <f>#REF!*$BW$4</f>
        <v>#REF!</v>
      </c>
      <c r="BX42" s="3"/>
      <c r="BY42" s="3"/>
      <c r="BZ42" s="3"/>
      <c r="CA42" s="3"/>
    </row>
    <row r="43" spans="1:79" ht="13.5">
      <c r="C43" s="25">
        <f>90+_Dir1</f>
        <v>90</v>
      </c>
      <c r="D43" s="28">
        <f>EX_1</f>
        <v>14.604133333333333</v>
      </c>
      <c r="E43" s="14"/>
      <c r="F43" s="25">
        <f t="shared" si="31"/>
        <v>-25</v>
      </c>
      <c r="G43" s="28">
        <f t="shared" si="36"/>
        <v>32.073036004277867</v>
      </c>
      <c r="H43" s="14"/>
      <c r="I43" s="25">
        <f>90+_Dir2</f>
        <v>90</v>
      </c>
      <c r="J43" s="28">
        <f>EX_2</f>
        <v>20.364866666666668</v>
      </c>
      <c r="K43" s="14"/>
      <c r="L43" s="25">
        <f>90+_Dir3</f>
        <v>90</v>
      </c>
      <c r="M43" s="28">
        <f>EX_3</f>
        <v>37.6</v>
      </c>
      <c r="O43" s="244">
        <f>90+_Dir4</f>
        <v>270</v>
      </c>
      <c r="P43" s="234">
        <f>EX_4</f>
        <v>12.908666666666667</v>
      </c>
      <c r="Q43" s="3"/>
      <c r="R43" s="244">
        <f>90+_Dir6</f>
        <v>270</v>
      </c>
      <c r="S43" s="234">
        <f>EX_5</f>
        <v>48.22</v>
      </c>
      <c r="T43" s="3"/>
      <c r="U43" s="25"/>
      <c r="V43" s="28"/>
      <c r="W43" s="3"/>
      <c r="X43" s="244">
        <f>90+_Dir6</f>
        <v>270</v>
      </c>
      <c r="Y43" s="234">
        <f>EX_6</f>
        <v>41.4</v>
      </c>
      <c r="Z43" s="14"/>
      <c r="AA43" s="244">
        <f t="shared" si="32"/>
        <v>90</v>
      </c>
      <c r="AB43" s="234">
        <f t="shared" si="33"/>
        <v>20.364866666666668</v>
      </c>
      <c r="AC43" s="3"/>
      <c r="AD43" s="266">
        <f>IF(SOTF_Rev="ZR1",O39,R39)</f>
        <v>232</v>
      </c>
      <c r="AE43" s="234">
        <f t="shared" si="41"/>
        <v>10.968215537982047</v>
      </c>
      <c r="AF43" s="305">
        <f t="shared" si="35"/>
        <v>3</v>
      </c>
      <c r="AG43" s="289">
        <f t="shared" si="39"/>
        <v>32.828533801454149</v>
      </c>
      <c r="AH43" s="809">
        <f>IF($M18="",AH42,COS(RADIANS($L18))*$M18)*Settings!$AG$25</f>
        <v>60.450018504813784</v>
      </c>
      <c r="AI43" s="809">
        <f>IF($M18="",AI42,SIN(RADIANS($L18))*$M18)*Settings!$AG$25</f>
        <v>39</v>
      </c>
      <c r="AJ43" s="15"/>
      <c r="AK43" s="289">
        <f t="shared" si="40"/>
        <v>18.859429503917497</v>
      </c>
      <c r="AL43" s="809">
        <f>COS(RADIANS($L40))*$M40*Settings!$AG$26</f>
        <v>110.07488963541022</v>
      </c>
      <c r="AM43" s="809">
        <f>SIN(RADIANS($L40))*$M40*Settings!$AG$26</f>
        <v>37.600000000000009</v>
      </c>
      <c r="AN43" s="14"/>
      <c r="AO43" s="3"/>
      <c r="AP43" s="986">
        <v>90</v>
      </c>
      <c r="AQ43" s="989">
        <f>2*PSB_F_X</f>
        <v>59</v>
      </c>
      <c r="AR43" s="986">
        <v>90</v>
      </c>
      <c r="AS43" s="989">
        <f>PSBe_F_X</f>
        <v>47.6</v>
      </c>
      <c r="BG43" s="3"/>
      <c r="BH43" s="3"/>
      <c r="BI43" s="3"/>
      <c r="BJ43" s="3"/>
      <c r="BK43" s="3"/>
      <c r="BL43" s="3"/>
      <c r="BM43" s="3">
        <v>43</v>
      </c>
      <c r="BN43" s="102" t="e">
        <f>#REF!</f>
        <v>#REF!</v>
      </c>
      <c r="BO43" s="100">
        <f>BO39</f>
        <v>69.382357948200521</v>
      </c>
      <c r="BP43" s="98">
        <f>BP39</f>
        <v>32.073036004277867</v>
      </c>
      <c r="BQ43" s="98">
        <f t="shared" si="0"/>
        <v>32.073036004277867</v>
      </c>
      <c r="BR43" s="3"/>
      <c r="BS43" s="32">
        <f t="shared" si="38"/>
        <v>60.450018504813784</v>
      </c>
      <c r="BT43" s="32">
        <f t="shared" si="38"/>
        <v>39</v>
      </c>
      <c r="BU43" s="3"/>
      <c r="BV43" s="32" t="e">
        <f>#REF!*$BW$4</f>
        <v>#REF!</v>
      </c>
      <c r="BW43" s="32" t="e">
        <f>#REF!*$BW$4</f>
        <v>#REF!</v>
      </c>
      <c r="BX43" s="3"/>
      <c r="BY43" s="3"/>
      <c r="BZ43" s="3"/>
    </row>
    <row r="44" spans="1:79" ht="13.5">
      <c r="C44" s="25">
        <f>(C43+C45)/2</f>
        <v>102.5</v>
      </c>
      <c r="D44" s="28">
        <f>ABS(EX_1/SIN(RADIANS(C44)))</f>
        <v>14.958714597651001</v>
      </c>
      <c r="E44" s="13"/>
      <c r="F44" s="25">
        <f t="shared" si="31"/>
        <v>-25</v>
      </c>
      <c r="G44" s="28">
        <f t="shared" si="36"/>
        <v>32.073036004277867</v>
      </c>
      <c r="H44" s="48"/>
      <c r="I44" s="25">
        <f>(I43+I45)/2</f>
        <v>102.5</v>
      </c>
      <c r="J44" s="28">
        <f>ABS(EX_2/SIN(RADIANS(I44)))</f>
        <v>20.859315738413073</v>
      </c>
      <c r="K44" s="13"/>
      <c r="L44" s="25">
        <f>(L43+L45)/2</f>
        <v>102.5</v>
      </c>
      <c r="M44" s="28">
        <f>ABS(EX_3/SIN(RADIANS(L44)))</f>
        <v>38.512909738225552</v>
      </c>
      <c r="N44" s="6"/>
      <c r="O44" s="244">
        <f>(O43+O45)/2</f>
        <v>297.5</v>
      </c>
      <c r="P44" s="234">
        <f>ABS(EX_4/SIN(RADIANS(O44)))</f>
        <v>14.552997758115326</v>
      </c>
      <c r="Q44" s="3"/>
      <c r="R44" s="244">
        <f>(R43+R45)/2</f>
        <v>293.17280405960349</v>
      </c>
      <c r="S44" s="234">
        <f>ABS(EX_5/SIN(RADIANS(R44)))</f>
        <v>52.45168533820874</v>
      </c>
      <c r="T44" s="283"/>
      <c r="U44" s="25">
        <v>270</v>
      </c>
      <c r="V44" s="28">
        <f>V37</f>
        <v>45.5</v>
      </c>
      <c r="W44" s="283"/>
      <c r="X44" s="244">
        <f>(X43+X45)/2</f>
        <v>297.5</v>
      </c>
      <c r="Y44" s="234">
        <f>ABS(EX_6/SIN(RADIANS(X44)))</f>
        <v>46.67361260026658</v>
      </c>
      <c r="Z44" s="14"/>
      <c r="AA44" s="244">
        <f t="shared" si="32"/>
        <v>102.5</v>
      </c>
      <c r="AB44" s="234">
        <f t="shared" si="33"/>
        <v>20.859315738413073</v>
      </c>
      <c r="AC44" s="3"/>
      <c r="AD44" s="894">
        <f>IF(SOTF_Rev="ZR1",O40,R40)</f>
        <v>233.54641338816776</v>
      </c>
      <c r="AE44" s="797">
        <f t="shared" si="41"/>
        <v>10.968215537982047</v>
      </c>
      <c r="AF44" s="305">
        <f t="shared" si="35"/>
        <v>3</v>
      </c>
      <c r="AG44" s="289">
        <f t="shared" si="39"/>
        <v>51.885689200969438</v>
      </c>
      <c r="AH44" s="809">
        <f>IF($M19="",AH43,COS(RADIANS($L19))*$M19)*Settings!$AG$25</f>
        <v>30.595639225604163</v>
      </c>
      <c r="AI44" s="809">
        <f>IF($M19="",AI43,SIN(RADIANS($L19))*$M19)*Settings!$AG$25</f>
        <v>39</v>
      </c>
      <c r="AJ44" s="15"/>
      <c r="AK44" s="289">
        <f t="shared" si="40"/>
        <v>24</v>
      </c>
      <c r="AL44" s="809">
        <f>COS(RADIANS($L41))*$M41*Settings!$AG$26</f>
        <v>84.450982698798526</v>
      </c>
      <c r="AM44" s="809">
        <f>SIN(RADIANS($L41))*$M41*Settings!$AG$26</f>
        <v>37.6</v>
      </c>
      <c r="AN44" s="14"/>
      <c r="AO44" s="3"/>
      <c r="AP44" s="986">
        <f>Z3_Blinder2</f>
        <v>115</v>
      </c>
      <c r="AQ44" s="989">
        <f>2*ABS(PSB_F_X/SIN(RADIANS(AP44)))</f>
        <v>65.099297218787001</v>
      </c>
      <c r="AR44" s="986">
        <f>L45</f>
        <v>115</v>
      </c>
      <c r="AS44" s="989">
        <f>ABS(PSBe_F_X/SIN(RADIANS(AR44)))</f>
        <v>52.520788942614601</v>
      </c>
      <c r="BG44" s="3"/>
      <c r="BH44" s="3"/>
      <c r="BI44" s="3"/>
      <c r="BJ44" s="3"/>
      <c r="BK44" s="3"/>
      <c r="BL44" s="3"/>
      <c r="BM44" s="3">
        <v>44</v>
      </c>
      <c r="BN44" s="102">
        <f>S35</f>
        <v>22.264768113061393</v>
      </c>
      <c r="BO44" s="100">
        <f>BO38</f>
        <v>65.099999999999994</v>
      </c>
      <c r="BP44" s="98">
        <f>BP38</f>
        <v>32.073036004277867</v>
      </c>
      <c r="BQ44" s="98">
        <f t="shared" si="0"/>
        <v>32.073036004277867</v>
      </c>
      <c r="BR44" s="3"/>
      <c r="BS44" s="32">
        <f t="shared" si="38"/>
        <v>30.595639225604163</v>
      </c>
      <c r="BT44" s="32">
        <f t="shared" si="38"/>
        <v>39</v>
      </c>
      <c r="BU44" s="3"/>
      <c r="BV44" s="32" t="e">
        <f>#REF!*$BW$4</f>
        <v>#REF!</v>
      </c>
      <c r="BW44" s="32" t="e">
        <f>#REF!*$BW$4</f>
        <v>#REF!</v>
      </c>
      <c r="BX44" s="3"/>
      <c r="BY44" s="3"/>
      <c r="BZ44" s="3"/>
      <c r="CA44" s="3"/>
    </row>
    <row r="45" spans="1:79" ht="13.5">
      <c r="C45" s="25">
        <f>_Dir1+AngQ2E-DirDelta</f>
        <v>115</v>
      </c>
      <c r="D45" s="28">
        <f>ABS(EX_1/SIN(RADIANS(C45)))</f>
        <v>16.11387824558409</v>
      </c>
      <c r="E45" s="13"/>
      <c r="F45" s="25">
        <f t="shared" si="31"/>
        <v>-25</v>
      </c>
      <c r="G45" s="28">
        <f t="shared" si="36"/>
        <v>32.073036004277867</v>
      </c>
      <c r="H45" s="13"/>
      <c r="I45" s="25">
        <f>_Dir2+AngQ2E-DirDelta</f>
        <v>115</v>
      </c>
      <c r="J45" s="28">
        <f>ABS(EX_2/SIN(RADIANS(I45)))</f>
        <v>22.47014420261528</v>
      </c>
      <c r="K45" s="13"/>
      <c r="L45" s="25">
        <f>_Dir3+AngQ2E-DirDelta</f>
        <v>115</v>
      </c>
      <c r="M45" s="28">
        <f>ABS(EX_3/SIN(RADIANS(L45)))</f>
        <v>41.487009752989685</v>
      </c>
      <c r="N45" s="6"/>
      <c r="O45" s="244">
        <f>MIN(360-ZBG-DirDelta,BD84)</f>
        <v>325</v>
      </c>
      <c r="P45" s="234">
        <f>ABS(EX_4/SIN(RADIANS(O45)))</f>
        <v>22.505573535740865</v>
      </c>
      <c r="Q45" s="3"/>
      <c r="R45" s="244">
        <f>MIN(360-ZBG-DirDelta,BD89)</f>
        <v>316.34560811920699</v>
      </c>
      <c r="S45" s="234">
        <f>ABS(EX_5/SIN(RADIANS(R45)))</f>
        <v>69.853008628405036</v>
      </c>
      <c r="T45" s="3"/>
      <c r="U45" s="25"/>
      <c r="V45" s="28"/>
      <c r="W45" s="3"/>
      <c r="X45" s="244">
        <f>MIN(360-ZBG-DirDelta,BJ89)</f>
        <v>325</v>
      </c>
      <c r="Y45" s="234">
        <f>ABS(EX_6/SIN(RADIANS(X45)))</f>
        <v>72.178697338713405</v>
      </c>
      <c r="Z45" s="3"/>
      <c r="AA45" s="244">
        <f t="shared" si="32"/>
        <v>115</v>
      </c>
      <c r="AB45" s="234">
        <f t="shared" si="33"/>
        <v>22.47014420261528</v>
      </c>
      <c r="AC45" s="3"/>
      <c r="AD45" s="266">
        <f>IF(SOTF_Rev="ZR1",O43,R43)</f>
        <v>270</v>
      </c>
      <c r="AE45" s="234">
        <f t="shared" si="41"/>
        <v>10.968215537982047</v>
      </c>
      <c r="AF45" s="305">
        <f t="shared" si="35"/>
        <v>3</v>
      </c>
      <c r="AG45" s="289">
        <f t="shared" si="39"/>
        <v>70.942844600484719</v>
      </c>
      <c r="AH45" s="809">
        <f>IF($M20="",AH44,COS(RADIANS($L20))*$M20)*Settings!$AG$25</f>
        <v>13.472308901364933</v>
      </c>
      <c r="AI45" s="809">
        <f>IF($M20="",AI44,SIN(RADIANS($L20))*$M20)*Settings!$AG$25</f>
        <v>39</v>
      </c>
      <c r="AJ45" s="15"/>
      <c r="AK45" s="289">
        <f t="shared" si="40"/>
        <v>57</v>
      </c>
      <c r="AL45" s="809">
        <f>COS(RADIANS($L42))*$M42*Settings!$AG$26</f>
        <v>24.417725504226397</v>
      </c>
      <c r="AM45" s="809">
        <f>SIN(RADIANS($L42))*$M42*Settings!$AG$26</f>
        <v>37.6</v>
      </c>
      <c r="AN45" s="14"/>
      <c r="AO45" s="3"/>
      <c r="AP45" s="987">
        <f>O13</f>
        <v>125</v>
      </c>
      <c r="AQ45" s="990">
        <f>ABS(2*PSB_R_R*SIN(RADIANS(180-Slope))/SIN(RADIANS(Slope-AP45)))</f>
        <v>45.393358125313952</v>
      </c>
      <c r="AR45" s="987">
        <f>R35</f>
        <v>155</v>
      </c>
      <c r="AS45" s="990">
        <f>ABS(PSBe_R_R*SIN(RADIANS(180-Slope))/SIN(RADIANS(Slope-AR45)))</f>
        <v>32.073036004277867</v>
      </c>
      <c r="BG45" s="3"/>
      <c r="BH45" s="3"/>
      <c r="BI45" s="3"/>
      <c r="BJ45" s="3"/>
      <c r="BK45" s="3"/>
      <c r="BL45" s="3"/>
      <c r="BM45" s="3">
        <v>45</v>
      </c>
      <c r="BN45" s="102">
        <f>S37</f>
        <v>22.7</v>
      </c>
      <c r="BO45" s="100">
        <f>BO43</f>
        <v>69.382357948200521</v>
      </c>
      <c r="BP45" s="98">
        <f>BP43</f>
        <v>32.073036004277867</v>
      </c>
      <c r="BQ45" s="98">
        <f t="shared" si="0"/>
        <v>32.073036004277867</v>
      </c>
      <c r="BR45" s="3"/>
      <c r="BS45" s="32">
        <f t="shared" si="38"/>
        <v>13.472308901364933</v>
      </c>
      <c r="BT45" s="32">
        <f t="shared" si="38"/>
        <v>39</v>
      </c>
      <c r="BU45" s="3"/>
      <c r="BV45" s="32" t="e">
        <f>#REF!*$BW$4</f>
        <v>#REF!</v>
      </c>
      <c r="BW45" s="32" t="e">
        <f>#REF!*$BW$4</f>
        <v>#REF!</v>
      </c>
      <c r="BX45" s="3"/>
      <c r="BY45" s="3"/>
      <c r="BZ45" s="3"/>
    </row>
    <row r="46" spans="1:79" ht="13.5">
      <c r="B46" s="78"/>
      <c r="C46" s="78"/>
      <c r="D46" s="78"/>
      <c r="E46" s="78"/>
      <c r="F46" s="78"/>
      <c r="G46" s="78"/>
      <c r="H46" s="78"/>
      <c r="I46" s="78"/>
      <c r="J46" s="78"/>
      <c r="K46" s="78"/>
      <c r="L46" s="78"/>
      <c r="M46" s="78"/>
      <c r="N46" s="78"/>
      <c r="O46" s="244" t="str">
        <f>IF(BE86=TRUE,"",BD85)</f>
        <v/>
      </c>
      <c r="P46" s="234" t="str">
        <f>IF(BE86=TRUE,"",BE85)</f>
        <v/>
      </c>
      <c r="R46" s="244">
        <f>IF(BD85=R45,"",BD90)</f>
        <v>325</v>
      </c>
      <c r="S46" s="234">
        <f>IF(R46="","",BE90)</f>
        <v>46.516628469709964</v>
      </c>
      <c r="Z46" s="78"/>
      <c r="AA46" s="78"/>
      <c r="AB46" s="78"/>
      <c r="AC46" s="3"/>
      <c r="AD46" s="266">
        <f>IF(SOTF_Rev="ZR1",O45,R45)</f>
        <v>316.34560811920699</v>
      </c>
      <c r="AE46" s="234">
        <f t="shared" si="41"/>
        <v>10.968215537982047</v>
      </c>
      <c r="AF46" s="305">
        <f t="shared" si="35"/>
        <v>3</v>
      </c>
      <c r="AG46" s="289">
        <f t="shared" si="39"/>
        <v>90</v>
      </c>
      <c r="AH46" s="809">
        <f>IF($M21="",AH45,COS(RADIANS($L21))*$M21)*Settings!$AG$25</f>
        <v>2.389039487071809E-15</v>
      </c>
      <c r="AI46" s="809">
        <f>IF($M21="",AI45,SIN(RADIANS($L21))*$M21)*Settings!$AG$25</f>
        <v>39</v>
      </c>
      <c r="AJ46" s="15"/>
      <c r="AK46" s="289">
        <f t="shared" si="40"/>
        <v>90</v>
      </c>
      <c r="AL46" s="809">
        <f>COS(RADIANS($L43))*$M43*Settings!$AG$26</f>
        <v>2.3032790952282056E-15</v>
      </c>
      <c r="AM46" s="809">
        <f>SIN(RADIANS($L43))*$M43*Settings!$AG$26</f>
        <v>37.6</v>
      </c>
      <c r="AN46" s="14"/>
      <c r="AO46" s="3"/>
      <c r="AP46" s="987">
        <v>180</v>
      </c>
      <c r="AQ46" s="990">
        <f>2*PSB_R_R</f>
        <v>36</v>
      </c>
      <c r="AR46" s="987">
        <v>180</v>
      </c>
      <c r="AS46" s="990">
        <f>PSBe_R_R</f>
        <v>32.700000000000003</v>
      </c>
      <c r="BG46" s="3"/>
      <c r="BH46" s="3"/>
      <c r="BI46" s="3"/>
      <c r="BJ46" s="3"/>
      <c r="BK46" s="3"/>
      <c r="BL46" s="3"/>
      <c r="BM46" s="3">
        <v>46</v>
      </c>
      <c r="BN46" s="102">
        <f>S39</f>
        <v>56.116635348554702</v>
      </c>
      <c r="BO46" s="100">
        <f>BO42</f>
        <v>48.265402921336388</v>
      </c>
      <c r="BP46" s="98">
        <f>BP42</f>
        <v>32.073036004277867</v>
      </c>
      <c r="BQ46" s="98">
        <f t="shared" si="0"/>
        <v>32.073036004277867</v>
      </c>
      <c r="BR46" s="3"/>
      <c r="BS46" s="32">
        <f t="shared" si="38"/>
        <v>2.389039487071809E-15</v>
      </c>
      <c r="BT46" s="32">
        <f t="shared" si="38"/>
        <v>39</v>
      </c>
      <c r="BU46" s="3"/>
      <c r="BV46" s="32" t="e">
        <f>#REF!*$BW$4</f>
        <v>#REF!</v>
      </c>
      <c r="BW46" s="32" t="e">
        <f>#REF!*$BW$4</f>
        <v>#REF!</v>
      </c>
      <c r="BX46" s="3"/>
      <c r="BY46" s="3"/>
      <c r="BZ46" s="3"/>
    </row>
    <row r="47" spans="1:79" ht="13.5">
      <c r="A47" s="195" t="s">
        <v>672</v>
      </c>
      <c r="B47" s="196"/>
      <c r="C47" s="460"/>
      <c r="D47" s="196"/>
      <c r="E47" s="196"/>
      <c r="F47" s="196"/>
      <c r="G47" s="196"/>
      <c r="H47" s="196"/>
      <c r="I47" s="197"/>
      <c r="J47" s="197"/>
      <c r="K47" s="197"/>
      <c r="L47" s="197"/>
      <c r="M47" s="197"/>
      <c r="N47" s="197"/>
      <c r="O47" s="197"/>
      <c r="P47" s="198"/>
      <c r="Q47" s="198"/>
      <c r="R47" s="198"/>
      <c r="S47" s="198"/>
      <c r="T47" s="198"/>
      <c r="U47" s="198"/>
      <c r="V47" s="198"/>
      <c r="W47" s="198"/>
      <c r="X47" s="198"/>
      <c r="Y47" s="198"/>
      <c r="Z47" s="198"/>
      <c r="AA47" s="198"/>
      <c r="AB47" s="198"/>
      <c r="AC47" s="198"/>
      <c r="AD47" s="198"/>
      <c r="AE47" s="199"/>
      <c r="AF47" s="3"/>
      <c r="AG47" s="289">
        <f t="shared" si="39"/>
        <v>102.5</v>
      </c>
      <c r="AH47" s="809">
        <f>IF($M22="",AH46,COS(RADIANS($L22))*$M22)*Settings!$AG$25</f>
        <v>-8.6460918430746521</v>
      </c>
      <c r="AI47" s="809">
        <f>IF($M22="",AI46,SIN(RADIANS($L22))*$M22)*Settings!$AG$25</f>
        <v>39</v>
      </c>
      <c r="AJ47" s="15"/>
      <c r="AK47" s="289">
        <f t="shared" si="40"/>
        <v>102.5</v>
      </c>
      <c r="AL47" s="809">
        <f>COS(RADIANS($L44))*$M44*Settings!$AG$26</f>
        <v>-8.3357193153745381</v>
      </c>
      <c r="AM47" s="809">
        <f>SIN(RADIANS($L44))*$M44*Settings!$AG$26</f>
        <v>37.6</v>
      </c>
      <c r="AN47" s="14"/>
      <c r="AO47" s="3"/>
      <c r="AP47" s="991">
        <f>DEGREES(ATAN(PSB_R_X/(PSB_R_R+PSB_R_X/TAN(RADIANS(Slope)))))+_Dir5</f>
        <v>232.86653647159724</v>
      </c>
      <c r="AQ47" s="992">
        <f>SQRT((PSB_R_R+PSB_R_X/TAN(RADIANS(Slope)))^2+PSB_R_X^2)*2</f>
        <v>92.294397459701315</v>
      </c>
      <c r="AR47" s="991">
        <f>DEGREES(ATAN(PSBe_R_X/(PSBe_R_R+PSBe_R_X/TAN(RADIANS(Slope)))))+_Dir5</f>
        <v>230.3204972705083</v>
      </c>
      <c r="AS47" s="992">
        <f>SQRT((PSBe_R_R+PSBe_R_X/TAN(RADIANS(Slope)))^2+PSBe_R_X^2)</f>
        <v>75.646933788426907</v>
      </c>
      <c r="BG47" s="3"/>
      <c r="BH47" s="3"/>
      <c r="BI47" s="3"/>
      <c r="BJ47" s="3"/>
      <c r="BK47" s="3"/>
      <c r="BL47" s="3"/>
      <c r="BM47" s="3">
        <v>47</v>
      </c>
      <c r="BN47" s="102">
        <f>S41</f>
        <v>58.163829476858304</v>
      </c>
      <c r="BO47" s="100">
        <f>BO41</f>
        <v>14.604133333333333</v>
      </c>
      <c r="BP47" s="98">
        <f>BP41</f>
        <v>32.073036004277867</v>
      </c>
      <c r="BQ47" s="98">
        <f t="shared" si="0"/>
        <v>32.073036004277867</v>
      </c>
      <c r="BR47" s="3"/>
      <c r="BS47" s="32">
        <f t="shared" si="38"/>
        <v>-8.6460918430746521</v>
      </c>
      <c r="BT47" s="32">
        <f t="shared" si="38"/>
        <v>39</v>
      </c>
      <c r="BU47" s="3"/>
      <c r="BV47" s="32" t="e">
        <f>#REF!*$BW$4</f>
        <v>#REF!</v>
      </c>
      <c r="BW47" s="32" t="e">
        <f>#REF!*$BW$4</f>
        <v>#REF!</v>
      </c>
      <c r="BX47" s="3"/>
      <c r="BY47" s="3"/>
      <c r="BZ47" s="3"/>
    </row>
    <row r="48" spans="1:79" ht="13.5">
      <c r="A48" s="202"/>
      <c r="B48" s="165"/>
      <c r="C48" s="203"/>
      <c r="D48" s="166"/>
      <c r="E48" s="166"/>
      <c r="F48" s="200"/>
      <c r="G48" s="165"/>
      <c r="H48" s="165"/>
      <c r="I48" s="165"/>
      <c r="J48" s="165"/>
      <c r="K48" s="165"/>
      <c r="L48" s="165"/>
      <c r="M48" s="165"/>
      <c r="N48" s="165"/>
      <c r="O48" s="165"/>
      <c r="P48" s="166"/>
      <c r="Q48" s="166"/>
      <c r="R48" s="166"/>
      <c r="S48" s="166"/>
      <c r="T48" s="166"/>
      <c r="U48" s="166"/>
      <c r="V48" s="166"/>
      <c r="W48" s="166"/>
      <c r="X48" s="166"/>
      <c r="Y48" s="166"/>
      <c r="Z48" s="166"/>
      <c r="AA48" s="166"/>
      <c r="AB48" s="166"/>
      <c r="AC48" s="166"/>
      <c r="AD48" s="166"/>
      <c r="AE48" s="201"/>
      <c r="AF48" s="78"/>
      <c r="AG48" s="289">
        <f t="shared" si="39"/>
        <v>115</v>
      </c>
      <c r="AH48" s="809">
        <f>IF($M23="",AH47,COS(RADIANS($L23))*$M23)*Settings!$AG$25</f>
        <v>-18.185998668044938</v>
      </c>
      <c r="AI48" s="809">
        <f>IF($M23="",AI47,SIN(RADIANS($L23))*$M23)*Settings!$AG$25</f>
        <v>39</v>
      </c>
      <c r="AJ48" s="15"/>
      <c r="AK48" s="289">
        <f t="shared" si="40"/>
        <v>115</v>
      </c>
      <c r="AL48" s="809">
        <f>COS(RADIANS($L45))*$M45*Settings!$AG$26</f>
        <v>-17.533167946627941</v>
      </c>
      <c r="AM48" s="809">
        <f>SIN(RADIANS($L45))*$M45*Settings!$AG$26</f>
        <v>37.6</v>
      </c>
      <c r="AN48" s="14"/>
      <c r="AO48" s="3"/>
      <c r="AP48" s="987">
        <v>270</v>
      </c>
      <c r="AQ48" s="990">
        <f>2*PSB_R_X</f>
        <v>73.58</v>
      </c>
      <c r="AR48" s="987">
        <v>270</v>
      </c>
      <c r="AS48" s="990">
        <f>PSBe_R_X</f>
        <v>58.22</v>
      </c>
      <c r="BG48" s="3"/>
      <c r="BH48" s="3"/>
      <c r="BI48" s="3"/>
      <c r="BJ48" s="3"/>
      <c r="BK48" s="3"/>
      <c r="BL48" s="3"/>
      <c r="BM48" s="3">
        <v>48</v>
      </c>
      <c r="BN48" s="102">
        <f>S43</f>
        <v>48.22</v>
      </c>
      <c r="BO48" s="100">
        <f>BO40</f>
        <v>48.265402921336388</v>
      </c>
      <c r="BP48" s="98">
        <f>BP40</f>
        <v>32.073036004277867</v>
      </c>
      <c r="BQ48" s="98">
        <f t="shared" si="0"/>
        <v>32.073036004277867</v>
      </c>
      <c r="BR48" s="3"/>
      <c r="BS48" s="32">
        <f t="shared" si="38"/>
        <v>-18.185998668044938</v>
      </c>
      <c r="BT48" s="32">
        <f t="shared" si="38"/>
        <v>39</v>
      </c>
      <c r="BU48" s="3"/>
      <c r="BV48" s="32" t="e">
        <f>#REF!*$BW$4</f>
        <v>#REF!</v>
      </c>
      <c r="BW48" s="32" t="e">
        <f>#REF!*$BW$4</f>
        <v>#REF!</v>
      </c>
      <c r="BX48" s="3"/>
      <c r="BY48" s="3"/>
      <c r="BZ48" s="3"/>
    </row>
    <row r="49" spans="1:79" ht="13.5">
      <c r="A49" s="202"/>
      <c r="B49" s="165"/>
      <c r="C49" s="165"/>
      <c r="D49" s="203" t="str">
        <f>IF(AND(Settings!E103="Forward",G21&gt;=J21),"Note:  Zone 1B over-reaches Zone 2 !","")</f>
        <v/>
      </c>
      <c r="E49" s="165"/>
      <c r="F49" s="165"/>
      <c r="G49" s="165"/>
      <c r="H49" s="166"/>
      <c r="I49" s="166"/>
      <c r="J49" s="166"/>
      <c r="K49" s="166"/>
      <c r="L49" s="166"/>
      <c r="M49" s="166"/>
      <c r="N49" s="166"/>
      <c r="O49" s="204"/>
      <c r="P49" s="166"/>
      <c r="Q49" s="166"/>
      <c r="R49" s="166"/>
      <c r="S49" s="166"/>
      <c r="T49" s="166"/>
      <c r="U49" s="166"/>
      <c r="V49" s="166"/>
      <c r="W49" s="166"/>
      <c r="X49" s="166"/>
      <c r="Y49" s="166"/>
      <c r="Z49" s="166"/>
      <c r="AA49" s="166"/>
      <c r="AB49" s="166"/>
      <c r="AC49" s="166"/>
      <c r="AD49" s="166"/>
      <c r="AE49" s="201"/>
      <c r="AF49" s="3"/>
      <c r="AG49" s="287" t="s">
        <v>712</v>
      </c>
      <c r="AH49" s="806">
        <f>COS(RADIANS($O13))*$P13*Settings!$AH$25</f>
        <v>-10.615146279259202</v>
      </c>
      <c r="AI49" s="806">
        <f>SIN(RADIANS($O13))*$P13*Settings!$AH$25</f>
        <v>15.159999999999998</v>
      </c>
      <c r="AJ49" s="15"/>
      <c r="AN49" s="14"/>
      <c r="AO49" s="3"/>
      <c r="AP49" s="987">
        <f>Z5_Blinder2</f>
        <v>311.21735988921461</v>
      </c>
      <c r="AQ49" s="990">
        <f>2*ABS(PSB_R_X/SIN(RADIANS(AP49)))</f>
        <v>97.817739166712613</v>
      </c>
      <c r="AR49" s="987">
        <f>R45</f>
        <v>316.34560811920699</v>
      </c>
      <c r="AS49" s="990">
        <f>ABS(PSBe_R_X/SIN(RADIANS(AR49)))</f>
        <v>84.339323151093765</v>
      </c>
      <c r="BG49" s="3"/>
      <c r="BH49" s="3"/>
      <c r="BI49" s="3"/>
      <c r="BJ49" s="3"/>
      <c r="BK49" s="3"/>
      <c r="BL49" s="3"/>
      <c r="BM49" s="3">
        <v>49</v>
      </c>
      <c r="BN49" s="102" t="e">
        <f>#REF!</f>
        <v>#REF!</v>
      </c>
      <c r="BO49" s="100">
        <f>BO39</f>
        <v>69.382357948200521</v>
      </c>
      <c r="BP49" s="98">
        <f>BP39</f>
        <v>32.073036004277867</v>
      </c>
      <c r="BQ49" s="98">
        <f t="shared" si="0"/>
        <v>32.073036004277867</v>
      </c>
      <c r="BR49" s="3"/>
      <c r="BS49" s="32">
        <f t="shared" si="38"/>
        <v>-10.615146279259202</v>
      </c>
      <c r="BT49" s="32">
        <f t="shared" si="38"/>
        <v>15.159999999999998</v>
      </c>
      <c r="BU49" s="3"/>
      <c r="BV49" s="32" t="e">
        <f>#REF!*$BW$4</f>
        <v>#REF!</v>
      </c>
      <c r="BW49" s="32" t="e">
        <f>#REF!*$BW$4</f>
        <v>#REF!</v>
      </c>
      <c r="BX49" s="3"/>
      <c r="BY49" s="3"/>
      <c r="BZ49" s="3"/>
      <c r="CA49" s="3"/>
    </row>
    <row r="50" spans="1:79" ht="13.5">
      <c r="A50" s="205"/>
      <c r="B50" s="167" t="str">
        <f>"Forward,   [A]    " &amp; IF(Settings!AC9="Busbar"," 90","270") &amp;"º"</f>
        <v>Forward,   [A]     90º</v>
      </c>
      <c r="C50" s="168"/>
      <c r="D50" s="169"/>
      <c r="E50" s="170" t="s">
        <v>35</v>
      </c>
      <c r="F50" s="171"/>
      <c r="G50" s="166"/>
      <c r="H50" s="172" t="s">
        <v>47</v>
      </c>
      <c r="I50" s="173"/>
      <c r="J50" s="173"/>
      <c r="K50" s="173"/>
      <c r="L50" s="174"/>
      <c r="M50" s="166"/>
      <c r="N50" s="166"/>
      <c r="O50" s="165"/>
      <c r="P50" s="166"/>
      <c r="Q50" s="166"/>
      <c r="R50" s="175" t="s">
        <v>81</v>
      </c>
      <c r="S50" s="196"/>
      <c r="T50" s="166"/>
      <c r="U50" s="251"/>
      <c r="V50" s="251"/>
      <c r="W50" s="251"/>
      <c r="X50" s="251"/>
      <c r="Y50" s="251"/>
      <c r="Z50" s="251"/>
      <c r="AA50" s="166"/>
      <c r="AB50" s="166"/>
      <c r="AC50" s="166"/>
      <c r="AD50" s="166"/>
      <c r="AE50" s="201"/>
      <c r="AF50" s="14"/>
      <c r="AG50" s="287"/>
      <c r="AH50" s="836">
        <f>IF($S13="",AH61,COS(RADIANS($R13))*$S13)*Settings!$AH$25</f>
        <v>-10.615146279259202</v>
      </c>
      <c r="AI50" s="836">
        <f>IF($S13="",AH61,SIN(RADIANS($R13))*$S13)*Settings!$AH$25</f>
        <v>15.159999999999998</v>
      </c>
      <c r="AJ50" s="15"/>
      <c r="AK50" s="287" t="s">
        <v>712</v>
      </c>
      <c r="AL50" s="806">
        <f>COS(RADIANS($O35))*$P35*Settings!$AH$26</f>
        <v>-20.17873271743284</v>
      </c>
      <c r="AM50" s="806">
        <f>SIN(RADIANS($O35))*$P35*Settings!$AH$26</f>
        <v>9.4094975980017601</v>
      </c>
      <c r="AN50" s="14"/>
      <c r="AO50" s="3"/>
      <c r="BG50" s="3"/>
      <c r="BH50" s="3"/>
      <c r="BI50" s="3"/>
      <c r="BJ50" s="3"/>
      <c r="BK50" s="3"/>
      <c r="BL50" s="3"/>
      <c r="BN50" s="3"/>
      <c r="BO50" s="3"/>
      <c r="BP50" s="3"/>
      <c r="BQ50" s="3"/>
      <c r="BR50" s="3"/>
      <c r="BS50" s="32">
        <f t="shared" ref="BS50:BS59" si="42">AH51*$BW$4</f>
        <v>-11.937890242744185</v>
      </c>
      <c r="BT50" s="32">
        <f t="shared" ref="BT50:BT59" si="43">AI51*$BW$4</f>
        <v>15.159999999999998</v>
      </c>
      <c r="BU50" s="3"/>
      <c r="BV50" s="32" t="e">
        <f>#REF!*$BW$4</f>
        <v>#REF!</v>
      </c>
      <c r="BW50" s="32" t="e">
        <f>#REF!*$BW$4</f>
        <v>#REF!</v>
      </c>
      <c r="BX50" s="3"/>
      <c r="BY50" s="3"/>
      <c r="BZ50" s="3"/>
      <c r="CA50" s="3"/>
    </row>
    <row r="51" spans="1:79" ht="13.5">
      <c r="A51" s="202"/>
      <c r="B51" s="146"/>
      <c r="C51" s="371"/>
      <c r="D51" s="170"/>
      <c r="E51" s="170" t="s">
        <v>38</v>
      </c>
      <c r="F51" s="177"/>
      <c r="G51" s="166"/>
      <c r="H51" s="178"/>
      <c r="I51" s="173" t="s">
        <v>48</v>
      </c>
      <c r="J51" s="173"/>
      <c r="K51" s="179" t="str">
        <f>IF(Settings!AC9="Busbar"," 90","270")</f>
        <v xml:space="preserve"> 90</v>
      </c>
      <c r="L51" s="223" t="str">
        <f xml:space="preserve"> "º"</f>
        <v>º</v>
      </c>
      <c r="M51" s="166"/>
      <c r="N51" s="166"/>
      <c r="O51" s="165"/>
      <c r="P51" s="166"/>
      <c r="Q51" s="166"/>
      <c r="R51" s="180" t="s">
        <v>56</v>
      </c>
      <c r="S51" s="181">
        <f>IF(P35&lt;MIN(P41,S41),0,#REF!)</f>
        <v>0</v>
      </c>
      <c r="T51" s="176"/>
      <c r="U51" s="251"/>
      <c r="V51" s="251"/>
      <c r="W51" s="251"/>
      <c r="X51" s="251"/>
      <c r="Y51" s="251"/>
      <c r="Z51" s="251"/>
      <c r="AA51" s="166"/>
      <c r="AB51" s="166"/>
      <c r="AC51" s="166"/>
      <c r="AD51" s="166"/>
      <c r="AE51" s="201"/>
      <c r="AF51" s="3"/>
      <c r="AG51" s="287">
        <f t="shared" ref="AG51:AG61" si="44">O14</f>
        <v>128.21900962126432</v>
      </c>
      <c r="AH51" s="806">
        <f>IF($P14="",AH49,COS(RADIANS($O14))*$P14)*Settings!$AH$25</f>
        <v>-11.937890242744185</v>
      </c>
      <c r="AI51" s="806">
        <f>IF($P14="",AI49,SIN(RADIANS($O14))*$P14)*Settings!$AH$25</f>
        <v>15.159999999999998</v>
      </c>
      <c r="AJ51" s="15"/>
      <c r="AK51" s="287">
        <f t="shared" ref="AK51:AK61" si="45">O36</f>
        <v>167.5</v>
      </c>
      <c r="AL51" s="806">
        <f>IF($P36="",AL50,COS(RADIANS($O36))*$P36*Settings!$AH$26)</f>
        <v>-21.427164183959185</v>
      </c>
      <c r="AM51" s="806">
        <f>IF($P36="",AM50,SIN(RADIANS($O36))*$P36*Settings!$AH$26)</f>
        <v>4.7502879351577132</v>
      </c>
      <c r="AN51" s="14"/>
      <c r="BG51" s="3"/>
      <c r="BH51" s="3"/>
      <c r="BI51" s="3"/>
      <c r="BJ51" s="3"/>
      <c r="BK51" s="3"/>
      <c r="BL51" s="3"/>
      <c r="BN51" s="3"/>
      <c r="BO51" s="3"/>
      <c r="BP51" s="3"/>
      <c r="BQ51" s="3"/>
      <c r="BR51" s="3"/>
      <c r="BS51" s="32">
        <f t="shared" si="42"/>
        <v>-16</v>
      </c>
      <c r="BT51" s="32">
        <f t="shared" si="43"/>
        <v>1.960237527853792E-15</v>
      </c>
      <c r="BU51" s="3"/>
      <c r="BV51" s="32" t="e">
        <f>#REF!*$BW$4</f>
        <v>#REF!</v>
      </c>
      <c r="BW51" s="32" t="e">
        <f>#REF!*$BW$4</f>
        <v>#REF!</v>
      </c>
      <c r="BX51" s="3"/>
      <c r="BY51" s="3"/>
      <c r="BZ51" s="3"/>
      <c r="CA51" s="3"/>
    </row>
    <row r="52" spans="1:79" ht="13.5">
      <c r="A52" s="202"/>
      <c r="B52" s="182" t="s">
        <v>39</v>
      </c>
      <c r="C52" s="551">
        <f>MIN(TimesTestV/$D21*2.5,30)*I_Nom</f>
        <v>1.1576517150395778</v>
      </c>
      <c r="D52" s="552">
        <f>MIN(TimesTestV_E/$D43*2.5,30)*I_Nom</f>
        <v>2.3171522217454417</v>
      </c>
      <c r="E52" s="183">
        <f>T_1*1000+OpTime</f>
        <v>28</v>
      </c>
      <c r="F52" s="225"/>
      <c r="G52" s="166"/>
      <c r="H52" s="184"/>
      <c r="I52" s="185" t="s">
        <v>49</v>
      </c>
      <c r="J52" s="185"/>
      <c r="K52" s="186" t="str">
        <f>IF(Settings!AC9="Busbar"," 270","90")</f>
        <v xml:space="preserve"> 270</v>
      </c>
      <c r="L52" s="224" t="str">
        <f>"º"</f>
        <v>º</v>
      </c>
      <c r="M52" s="166"/>
      <c r="N52" s="166"/>
      <c r="O52" s="165"/>
      <c r="P52" s="166"/>
      <c r="Q52" s="166"/>
      <c r="R52" s="187" t="s">
        <v>83</v>
      </c>
      <c r="S52" s="190" t="s">
        <v>82</v>
      </c>
      <c r="T52" s="176"/>
      <c r="U52" s="251"/>
      <c r="V52" s="251"/>
      <c r="W52" s="251"/>
      <c r="X52" s="251"/>
      <c r="Y52" s="251"/>
      <c r="Z52" s="251"/>
      <c r="AA52" s="166"/>
      <c r="AB52" s="166"/>
      <c r="AC52" s="166"/>
      <c r="AD52" s="166"/>
      <c r="AE52" s="201"/>
      <c r="AG52" s="287">
        <f t="shared" si="44"/>
        <v>180</v>
      </c>
      <c r="AH52" s="806">
        <f>IF($P15="",AH51,COS(RADIANS($O15))*$P15)*Settings!$AH$25</f>
        <v>-16</v>
      </c>
      <c r="AI52" s="806">
        <f>IF($P15="",AI51,SIN(RADIANS($O15))*$P15)*Settings!$AH$25</f>
        <v>1.960237527853792E-15</v>
      </c>
      <c r="AJ52" s="15"/>
      <c r="AK52" s="287">
        <f t="shared" si="45"/>
        <v>180</v>
      </c>
      <c r="AL52" s="806">
        <f>IF($P37="",AL51,COS(RADIANS($O37))*$P37*Settings!$AH$26)</f>
        <v>-22.7</v>
      </c>
      <c r="AM52" s="806">
        <f>IF($P37="",AM51,SIN(RADIANS($O37))*$P37*Settings!$AH$26)</f>
        <v>2.7810869926425674E-15</v>
      </c>
      <c r="AN52" s="14"/>
      <c r="BG52" s="3"/>
      <c r="BH52" s="3"/>
      <c r="BI52" s="3"/>
      <c r="BJ52" s="3"/>
      <c r="BK52" s="3"/>
      <c r="BL52" s="3"/>
      <c r="BN52" s="3"/>
      <c r="BO52" s="3"/>
      <c r="BP52" s="3"/>
      <c r="BQ52" s="3"/>
      <c r="BR52" s="3"/>
      <c r="BS52" s="32">
        <f t="shared" si="42"/>
        <v>-16.786438275114897</v>
      </c>
      <c r="BT52" s="32">
        <f t="shared" si="43"/>
        <v>-2.9350275997456285</v>
      </c>
      <c r="BU52" s="3"/>
      <c r="BV52" s="32" t="e">
        <f>#REF!*$BW$4</f>
        <v>#REF!</v>
      </c>
      <c r="BW52" s="32" t="e">
        <f>#REF!*$BW$4</f>
        <v>#REF!</v>
      </c>
      <c r="BX52" s="3"/>
      <c r="BY52" s="3"/>
      <c r="BZ52" s="3"/>
      <c r="CA52" s="3"/>
    </row>
    <row r="53" spans="1:79" ht="14.25" thickBot="1">
      <c r="A53" s="202"/>
      <c r="B53" s="188" t="s">
        <v>684</v>
      </c>
      <c r="C53" s="551">
        <f>ROUND(TimesTestV/$D21*I_Nom*(1+Delta_I),$AP$66)</f>
        <v>0.48</v>
      </c>
      <c r="D53" s="552">
        <f>ROUND(TimesTestV_E/$D43*I_Nom*(1+Delta_I),$AP$66)</f>
        <v>0.95</v>
      </c>
      <c r="E53" s="183">
        <f>E52</f>
        <v>28</v>
      </c>
      <c r="F53" s="166"/>
      <c r="G53" s="166"/>
      <c r="H53" s="166" t="str">
        <f>IF(MAX(C52:D52)&gt;30,"Reduce test voltage to time inner Zones","")</f>
        <v/>
      </c>
      <c r="I53" s="166"/>
      <c r="J53" s="166"/>
      <c r="K53" s="166"/>
      <c r="L53" s="166"/>
      <c r="M53" s="166"/>
      <c r="N53" s="166"/>
      <c r="O53" s="165"/>
      <c r="P53" s="166"/>
      <c r="Q53" s="166"/>
      <c r="R53" s="189" t="str">
        <f>IF(AND(Settings!$AC$33=TRUE,AV64&gt;$AV$78),Settings!AB40,"")</f>
        <v/>
      </c>
      <c r="S53" s="190" t="str">
        <f>IF(R53="","",Settings!AC40)</f>
        <v/>
      </c>
      <c r="T53" s="176"/>
      <c r="U53" s="251"/>
      <c r="V53" s="251"/>
      <c r="W53" s="251"/>
      <c r="X53" s="251"/>
      <c r="Y53" s="251"/>
      <c r="Z53" s="251"/>
      <c r="AA53" s="166"/>
      <c r="AB53" s="166"/>
      <c r="AC53" s="166"/>
      <c r="AD53" s="166"/>
      <c r="AE53" s="201"/>
      <c r="AF53" s="3"/>
      <c r="AG53" s="287">
        <f t="shared" si="44"/>
        <v>189.91763760020854</v>
      </c>
      <c r="AH53" s="806">
        <f>IF($P16="",AH52,COS(RADIANS($O16))*$P16)*Settings!$AH$25</f>
        <v>-16.786438275114897</v>
      </c>
      <c r="AI53" s="806">
        <f>IF($P16="",AI52,SIN(RADIANS($O16))*$P16)*Settings!$AH$25</f>
        <v>-2.9350275997456285</v>
      </c>
      <c r="AJ53" s="15"/>
      <c r="AK53" s="287">
        <f t="shared" si="45"/>
        <v>192</v>
      </c>
      <c r="AL53" s="806">
        <f>IF($P38="",AL52,COS(RADIANS($O38))*$P38*Settings!$AH$26)</f>
        <v>-24.070945258834261</v>
      </c>
      <c r="AM53" s="806">
        <f>IF($P38="",AM52,SIN(RADIANS($O38))*$P38*Settings!$AH$26)</f>
        <v>-5.1164373603651354</v>
      </c>
      <c r="AN53" s="14"/>
      <c r="BG53" s="3"/>
      <c r="BH53" s="3"/>
      <c r="BI53" s="3"/>
      <c r="BJ53" s="3"/>
      <c r="BK53" s="3"/>
      <c r="BL53" s="3"/>
      <c r="BN53" s="3"/>
      <c r="BO53" s="3"/>
      <c r="BP53" s="3"/>
      <c r="BQ53" s="3"/>
      <c r="BR53" s="3"/>
      <c r="BS53" s="32">
        <f t="shared" si="42"/>
        <v>-17.711929484753323</v>
      </c>
      <c r="BT53" s="32">
        <f t="shared" si="43"/>
        <v>-6.3890078160746242</v>
      </c>
      <c r="BU53" s="3"/>
      <c r="BV53" s="32" t="e">
        <f>#REF!*$BW$4</f>
        <v>#REF!</v>
      </c>
      <c r="BW53" s="32" t="e">
        <f>#REF!*$BW$4</f>
        <v>#REF!</v>
      </c>
      <c r="BX53" s="3"/>
      <c r="BY53" s="3"/>
      <c r="BZ53" s="3"/>
      <c r="CA53" s="3"/>
    </row>
    <row r="54" spans="1:79" ht="13.5">
      <c r="A54" s="202"/>
      <c r="B54" s="182" t="s">
        <v>739</v>
      </c>
      <c r="C54" s="551" t="str">
        <f>IF($AP$58="No","",ROUND(TimesTestV/$D21*I_Nom*(1-Delta_I),3))</f>
        <v/>
      </c>
      <c r="D54" s="552" t="str">
        <f>IF($AP$58="No","",ROUND(TimesTestV_E/$D43*I_Nom*(1-Delta_I),3))</f>
        <v/>
      </c>
      <c r="E54" s="183" t="str">
        <f>IF(C54="","",T_1B*1000+OpTime)</f>
        <v/>
      </c>
      <c r="F54" s="166"/>
      <c r="G54" s="166"/>
      <c r="H54" s="1194" t="s">
        <v>601</v>
      </c>
      <c r="I54" s="1195"/>
      <c r="J54" s="1195"/>
      <c r="K54" s="1195"/>
      <c r="L54" s="1195"/>
      <c r="M54" s="1195"/>
      <c r="N54" s="1196"/>
      <c r="O54" s="165"/>
      <c r="P54" s="166"/>
      <c r="Q54" s="166"/>
      <c r="R54" s="189" t="str">
        <f>IF(AND(Settings!$AC$33=TRUE,AV65&gt;$AV$78),Settings!AB41,"")</f>
        <v/>
      </c>
      <c r="S54" s="190" t="str">
        <f>IF(R54="","",Settings!AC41)</f>
        <v/>
      </c>
      <c r="T54" s="176"/>
      <c r="U54" s="251"/>
      <c r="V54" s="251"/>
      <c r="W54" s="251"/>
      <c r="X54" s="251"/>
      <c r="Y54" s="251"/>
      <c r="Z54" s="251"/>
      <c r="AA54" s="166"/>
      <c r="AB54" s="166"/>
      <c r="AC54" s="166"/>
      <c r="AD54" s="166"/>
      <c r="AE54" s="201"/>
      <c r="AF54" s="3"/>
      <c r="AG54" s="287">
        <f t="shared" si="44"/>
        <v>199.83527520041707</v>
      </c>
      <c r="AH54" s="806">
        <f>IF($P17="",AH53,COS(RADIANS($O17))*$P17)*Settings!$AH$25</f>
        <v>-17.711929484753323</v>
      </c>
      <c r="AI54" s="806">
        <f>IF($P17="",AI53,SIN(RADIANS($O17))*$P17)*Settings!$AH$25</f>
        <v>-6.3890078160746242</v>
      </c>
      <c r="AJ54" s="15"/>
      <c r="AK54" s="287">
        <f t="shared" si="45"/>
        <v>204</v>
      </c>
      <c r="AL54" s="806">
        <f>IF($P39="",AL53,COS(RADIANS($O39))*$P39*Settings!$AH$26)</f>
        <v>-25.774912721335038</v>
      </c>
      <c r="AM54" s="806">
        <f>IF($P39="",AM53,SIN(RADIANS($O39))*$P39*Settings!$AH$26)</f>
        <v>-11.475730504862264</v>
      </c>
      <c r="AN54" s="14"/>
      <c r="AO54" s="417" t="s">
        <v>696</v>
      </c>
      <c r="AP54" s="462"/>
      <c r="AT54" s="3"/>
      <c r="BG54" s="3"/>
      <c r="BH54" s="3"/>
      <c r="BI54" s="3"/>
      <c r="BJ54" s="3"/>
      <c r="BK54" s="3"/>
      <c r="BL54" s="3"/>
      <c r="BN54" s="3"/>
      <c r="BO54" s="3"/>
      <c r="BP54" s="3"/>
      <c r="BQ54" s="3"/>
      <c r="BR54" s="3"/>
      <c r="BS54" s="32">
        <f t="shared" si="42"/>
        <v>-18.893851278256133</v>
      </c>
      <c r="BT54" s="32">
        <f t="shared" si="43"/>
        <v>-10.79999999999999</v>
      </c>
      <c r="BU54" s="3"/>
      <c r="BV54" s="32" t="e">
        <f>#REF!*$BW$4</f>
        <v>#REF!</v>
      </c>
      <c r="BW54" s="32" t="e">
        <f>#REF!*$BW$4</f>
        <v>#REF!</v>
      </c>
      <c r="BX54" s="3"/>
      <c r="BY54" s="3"/>
      <c r="BZ54" s="3"/>
      <c r="CA54" s="3"/>
    </row>
    <row r="55" spans="1:79" ht="13.5">
      <c r="A55" s="205"/>
      <c r="B55" s="188" t="str">
        <f>IF(OR(G21&lt;D21,G43&lt;D43),"Not Testable","t1x")</f>
        <v>t1x</v>
      </c>
      <c r="C55" s="551" t="str">
        <f>IF(C54="","",TimesTestV/$G21*I_Nom*(1+Delta_I))</f>
        <v/>
      </c>
      <c r="D55" s="552" t="str">
        <f>IF(D54="","",TimesTestV_E/$G43*I_Nom*(1+Delta_I))</f>
        <v/>
      </c>
      <c r="E55" s="183" t="str">
        <f>E54</f>
        <v/>
      </c>
      <c r="F55" s="166"/>
      <c r="G55" s="166"/>
      <c r="H55" s="392"/>
      <c r="I55" s="194"/>
      <c r="J55" s="194"/>
      <c r="K55" s="194"/>
      <c r="L55" s="194"/>
      <c r="M55" s="194"/>
      <c r="N55" s="393"/>
      <c r="O55" s="165"/>
      <c r="P55" s="166"/>
      <c r="Q55" s="166"/>
      <c r="R55" s="189" t="str">
        <f>IF(AND(Settings!$AC$33=TRUE,AV66&gt;$AV$78),Settings!AB42,"")</f>
        <v/>
      </c>
      <c r="S55" s="190" t="str">
        <f>IF(R55="","",Settings!AC42)</f>
        <v/>
      </c>
      <c r="T55" s="176"/>
      <c r="U55" s="251"/>
      <c r="V55" s="251"/>
      <c r="W55" s="251"/>
      <c r="X55" s="251"/>
      <c r="Y55" s="251"/>
      <c r="Z55" s="251"/>
      <c r="AA55" s="166"/>
      <c r="AB55" s="166"/>
      <c r="AC55" s="166"/>
      <c r="AD55" s="166"/>
      <c r="AE55" s="201"/>
      <c r="AF55" s="3"/>
      <c r="AG55" s="287">
        <f t="shared" si="44"/>
        <v>209.75291280062561</v>
      </c>
      <c r="AH55" s="806">
        <f>IF($P18="",AH54,COS(RADIANS($O18))*$P18)*Settings!$AH$25</f>
        <v>-18.893851278256133</v>
      </c>
      <c r="AI55" s="806">
        <f>IF($P18="",AI54,SIN(RADIANS($O18))*$P18)*Settings!$AH$25</f>
        <v>-10.79999999999999</v>
      </c>
      <c r="AJ55" s="15"/>
      <c r="AK55" s="287">
        <f t="shared" si="45"/>
        <v>206.26504615177132</v>
      </c>
      <c r="AL55" s="806">
        <f>IF($P40="",AL54,COS(RADIANS($O40))*$P40*Settings!$AH$26)</f>
        <v>-26.15886680869589</v>
      </c>
      <c r="AM55" s="806">
        <f>IF($P40="",AM54,SIN(RADIANS($O40))*$P40*Settings!$AH$26)</f>
        <v>-12.908666666666658</v>
      </c>
      <c r="AN55" s="14"/>
      <c r="AO55" s="417" t="s">
        <v>697</v>
      </c>
      <c r="AP55" s="462" t="b">
        <f>AND(T_1&lt;=(T_1B+0.1),OR(G15/D15&lt;(1+Delta_I*2),G18/D18&lt;(1+Delta_I*2),G21/D21&lt;(1+Delta_I*2),G37/D37&lt;(1+Delta_I*2),G40/D40&lt;(1+Delta_I*2),G43/D43&lt;(1+Delta_I*2)))</f>
        <v>1</v>
      </c>
      <c r="AQ55" s="458" t="s">
        <v>612</v>
      </c>
      <c r="AR55" s="414" t="str">
        <f>IF(MIN(AF13:AF24)&lt;J_*1.05,"Block","OK")</f>
        <v>OK</v>
      </c>
      <c r="BF55" s="3"/>
      <c r="BG55" s="3"/>
      <c r="BH55" s="3"/>
      <c r="BI55" s="3"/>
      <c r="BJ55" s="3"/>
      <c r="BK55" s="3"/>
      <c r="BL55" s="3"/>
      <c r="BN55" s="3"/>
      <c r="BO55" s="3"/>
      <c r="BP55" s="3"/>
      <c r="BQ55" s="3"/>
      <c r="BR55" s="3"/>
      <c r="BS55" s="32">
        <f t="shared" si="42"/>
        <v>-9.115315872724036</v>
      </c>
      <c r="BT55" s="32">
        <f t="shared" si="43"/>
        <v>-10.8</v>
      </c>
      <c r="BU55" s="3"/>
      <c r="BV55" s="32" t="e">
        <f>#REF!*$BW$4</f>
        <v>#REF!</v>
      </c>
      <c r="BW55" s="32" t="e">
        <f>#REF!*$BW$4</f>
        <v>#REF!</v>
      </c>
      <c r="BX55" s="3"/>
      <c r="BY55" s="3"/>
      <c r="BZ55" s="3"/>
      <c r="CA55" s="3"/>
    </row>
    <row r="56" spans="1:79" ht="13.5">
      <c r="A56" s="202"/>
      <c r="B56" s="182" t="s">
        <v>40</v>
      </c>
      <c r="C56" s="551">
        <f>IF(OR(AND($AR$26&lt;&gt;"No Overreach",$G21&gt;=$J21),Settings!$E103&lt;&gt;"Forward"),"",IF($AR$26="No Overreach",1/$D21,1/$G21)*TimesTestV*I_Nom*(1-Delta_I))</f>
        <v>0.44916886543535617</v>
      </c>
      <c r="D56" s="552">
        <f>IF(OR(AND($AR$26&lt;&gt;"No Overreach",$G43&gt;=$J43),Settings!$E103&lt;&gt;"Forward"),"",IF($AR$26="No Overreach",1/$D43,1/$G43)*TimesTestV_E*I_Nom*(1-Delta_I))</f>
        <v>0.89905506203723118</v>
      </c>
      <c r="E56" s="183">
        <f>IF(C56="","",T_2*1000+OpTime)</f>
        <v>428</v>
      </c>
      <c r="F56" s="166"/>
      <c r="G56" s="166"/>
      <c r="H56" s="392"/>
      <c r="I56" s="194"/>
      <c r="J56" s="194"/>
      <c r="K56" s="194"/>
      <c r="L56" s="194"/>
      <c r="M56" s="194"/>
      <c r="N56" s="393"/>
      <c r="O56" s="165"/>
      <c r="P56" s="166"/>
      <c r="Q56" s="166"/>
      <c r="R56" s="189" t="str">
        <f>IF(AND(Settings!$AC$33=TRUE,AV67&gt;$AV$78),Settings!AB43,"")</f>
        <v/>
      </c>
      <c r="S56" s="190" t="str">
        <f>IF(R56="","",Settings!AC43)</f>
        <v/>
      </c>
      <c r="T56" s="176"/>
      <c r="U56" s="251"/>
      <c r="V56" s="251"/>
      <c r="W56" s="251"/>
      <c r="X56" s="251"/>
      <c r="Y56" s="251"/>
      <c r="Z56" s="251"/>
      <c r="AA56" s="166"/>
      <c r="AB56" s="166"/>
      <c r="AC56" s="166"/>
      <c r="AD56" s="166"/>
      <c r="AE56" s="201"/>
      <c r="AF56" s="3"/>
      <c r="AG56" s="287">
        <f t="shared" si="44"/>
        <v>229.83527520041707</v>
      </c>
      <c r="AH56" s="806">
        <f>IF($P19="",AH55,COS(RADIANS($O19))*$P19)*Settings!$AH$25</f>
        <v>-9.115315872724036</v>
      </c>
      <c r="AI56" s="806">
        <f>IF($P19="",AI55,SIN(RADIANS($O19))*$P19)*Settings!$AH$25</f>
        <v>-10.8</v>
      </c>
      <c r="AJ56" s="15"/>
      <c r="AK56" s="287">
        <f t="shared" si="45"/>
        <v>208</v>
      </c>
      <c r="AL56" s="806">
        <f>IF($P41="",AL55,COS(RADIANS($O41))*$P41*Settings!$AH$26)</f>
        <v>-24.277671032334013</v>
      </c>
      <c r="AM56" s="806">
        <f>IF($P41="",AM55,SIN(RADIANS($O41))*$P41*Settings!$AH$26)</f>
        <v>-12.908666666666667</v>
      </c>
      <c r="AN56" s="14"/>
      <c r="AO56" s="417" t="s">
        <v>698</v>
      </c>
      <c r="AP56" s="463" t="str">
        <f>IF(T_1&lt;&gt;T_1B,"Message","")</f>
        <v/>
      </c>
      <c r="AQ56" s="311" t="s">
        <v>613</v>
      </c>
      <c r="AR56" s="414" t="str">
        <f>IF(MIN(AF35:AF46)&lt;Je_*1.05,"Block","OK")</f>
        <v>OK</v>
      </c>
      <c r="AT56" s="3"/>
      <c r="BF56" s="3"/>
      <c r="BG56" s="3"/>
      <c r="BH56" s="3"/>
      <c r="BI56" s="3"/>
      <c r="BJ56" s="3"/>
      <c r="BK56" s="3"/>
      <c r="BL56" s="3"/>
      <c r="BN56" s="3"/>
      <c r="BO56" s="3"/>
      <c r="BP56" s="3"/>
      <c r="BQ56" s="3"/>
      <c r="BR56" s="3"/>
      <c r="BS56" s="32">
        <f t="shared" si="42"/>
        <v>-3.9484693493326311</v>
      </c>
      <c r="BT56" s="32">
        <f t="shared" si="43"/>
        <v>-10.8</v>
      </c>
      <c r="BU56" s="3"/>
      <c r="BV56" s="32" t="e">
        <f>#REF!*$BW$4</f>
        <v>#REF!</v>
      </c>
      <c r="BW56" s="32" t="e">
        <f>#REF!*$BW$4</f>
        <v>#REF!</v>
      </c>
      <c r="BX56" s="3"/>
      <c r="BY56" s="3"/>
      <c r="BZ56" s="3"/>
      <c r="CA56" s="3"/>
    </row>
    <row r="57" spans="1:79" ht="13.5">
      <c r="A57" s="206"/>
      <c r="B57" s="188" t="str">
        <f>IF(C56&lt;C57,"Not Testable","t2")</f>
        <v>t2</v>
      </c>
      <c r="C57" s="551">
        <f>IF(C56="","",TimesTestV/$J21*I_Nom*(1+Delta_I))</f>
        <v>0.34203405865657516</v>
      </c>
      <c r="D57" s="552">
        <f>IF(D56="","",TimesTestV_E/$J43*I_Nom*(1+Delta_I))</f>
        <v>0.684614352168604</v>
      </c>
      <c r="E57" s="183">
        <f>E56</f>
        <v>428</v>
      </c>
      <c r="F57" s="166"/>
      <c r="G57" s="166"/>
      <c r="H57" s="385" t="s">
        <v>70</v>
      </c>
      <c r="I57" s="394">
        <f>VLOOKUP(VLOOKUP(BC25,$AP$3:$AS$5,2),$AP$22:$BD$24,14)</f>
        <v>30.204637061219593</v>
      </c>
      <c r="J57" s="395">
        <f>VLOOKUP(VLOOKUP(BC25,$AP$3:$AS$5,2),$AP$22:$BD$24,15)</f>
        <v>96.673266453279908</v>
      </c>
      <c r="K57" s="191"/>
      <c r="L57" s="426">
        <f>IF(AT4=TRUE,60,AR75)</f>
        <v>30.385088659406609</v>
      </c>
      <c r="M57" s="427">
        <f>IF(AT4=TRUE,270,IF(AT5=TRUE,90-AR74,90+AR74))</f>
        <v>99.131612700197735</v>
      </c>
      <c r="N57" s="386"/>
      <c r="O57" s="165"/>
      <c r="P57" s="166"/>
      <c r="Q57" s="166"/>
      <c r="R57" s="189" t="str">
        <f>IF(AND(Settings!$AC$33=TRUE,AV68&gt;$AV$78),Settings!AB44,"")</f>
        <v/>
      </c>
      <c r="S57" s="190" t="str">
        <f>IF(R57="","",Settings!AC44)</f>
        <v/>
      </c>
      <c r="T57" s="176"/>
      <c r="U57" s="251"/>
      <c r="V57" s="251"/>
      <c r="W57" s="251"/>
      <c r="X57" s="251"/>
      <c r="Y57" s="251"/>
      <c r="Z57" s="251"/>
      <c r="AA57" s="166"/>
      <c r="AB57" s="166"/>
      <c r="AC57" s="166"/>
      <c r="AD57" s="166"/>
      <c r="AE57" s="201"/>
      <c r="AF57" s="3"/>
      <c r="AG57" s="287">
        <f t="shared" si="44"/>
        <v>249.91763760020854</v>
      </c>
      <c r="AH57" s="806">
        <f>IF($P20="",AH56,COS(RADIANS($O20))*$P20)*Settings!$AH$25</f>
        <v>-3.9484693493326311</v>
      </c>
      <c r="AI57" s="806">
        <f>IF($P20="",AI56,SIN(RADIANS($O20))*$P20)*Settings!$AH$25</f>
        <v>-10.8</v>
      </c>
      <c r="AJ57" s="15"/>
      <c r="AK57" s="287">
        <f t="shared" si="45"/>
        <v>239</v>
      </c>
      <c r="AL57" s="806">
        <f>IF($P42="",AL56,COS(RADIANS($O42))*$P42*Settings!$AH$26)</f>
        <v>-7.7563094441537741</v>
      </c>
      <c r="AM57" s="806">
        <f>IF($P42="",AM56,SIN(RADIANS($O42))*$P42*Settings!$AH$26)</f>
        <v>-12.908666666666667</v>
      </c>
      <c r="AN57" s="14"/>
      <c r="AO57" s="46" t="s">
        <v>755</v>
      </c>
      <c r="AP57" s="46" t="str">
        <f>Settings!D$103</f>
        <v>Off</v>
      </c>
      <c r="AT57" s="3"/>
      <c r="AU57" s="3"/>
      <c r="AV57" s="3"/>
      <c r="AW57" s="3"/>
      <c r="BB57" s="3"/>
      <c r="BC57" s="3"/>
      <c r="BD57" s="3"/>
      <c r="BE57" s="3"/>
      <c r="BF57" s="3"/>
      <c r="BG57" s="3"/>
      <c r="BH57" s="3"/>
      <c r="BI57" s="3"/>
      <c r="BJ57" s="3"/>
      <c r="BK57" s="3"/>
      <c r="BL57" s="3"/>
      <c r="BN57" s="3"/>
      <c r="BO57" s="3"/>
      <c r="BP57" s="3"/>
      <c r="BQ57" s="3"/>
      <c r="BR57" s="3"/>
      <c r="BS57" s="32">
        <f t="shared" si="42"/>
        <v>-1.9847404969519644E-15</v>
      </c>
      <c r="BT57" s="32">
        <f t="shared" si="43"/>
        <v>-10.8</v>
      </c>
      <c r="BU57" s="3"/>
      <c r="BV57" s="32" t="e">
        <f>#REF!*$BW$4</f>
        <v>#REF!</v>
      </c>
      <c r="BW57" s="32" t="e">
        <f>#REF!*$BW$4</f>
        <v>#REF!</v>
      </c>
      <c r="BX57" s="3"/>
      <c r="BY57" s="3"/>
      <c r="BZ57" s="3"/>
      <c r="CA57" s="3"/>
    </row>
    <row r="58" spans="1:79" ht="13.5">
      <c r="A58" s="202"/>
      <c r="B58" s="182" t="s">
        <v>681</v>
      </c>
      <c r="C58" s="551">
        <f>IF(Settings!$F103&lt;&gt;"Forward","",MIN(C53:C57)*(1-Delta_I)^2)</f>
        <v>0.32181984578997153</v>
      </c>
      <c r="D58" s="552">
        <f>IF(Settings!$F103&lt;&gt;"Forward","",MIN(D53:D57)*(1-Delta_I)^2)</f>
        <v>0.6441536439554395</v>
      </c>
      <c r="E58" s="183">
        <f>IF(C58="","",T_3*1000+OpTime)</f>
        <v>4528</v>
      </c>
      <c r="F58" s="166"/>
      <c r="G58" s="166"/>
      <c r="H58" s="385" t="s">
        <v>71</v>
      </c>
      <c r="I58" s="368">
        <f>VLOOKUP(VLOOKUP(BC25,$AP$3:$AS$5,3),$AP$22:$BD$24,14)</f>
        <v>30.204637061219593</v>
      </c>
      <c r="J58" s="369">
        <f>VLOOKUP(VLOOKUP(BC25,$AP$3:$AS$5,3),$AP$22:$BD$24,15)</f>
        <v>83.326733546720092</v>
      </c>
      <c r="K58" s="191"/>
      <c r="L58" s="428">
        <f>IF(AT5=TRUE,60,AR75)</f>
        <v>30.385088659406609</v>
      </c>
      <c r="M58" s="429">
        <f>IF(AT5=TRUE,270,IF(AT3=TRUE,90-AR74,90+AR74))</f>
        <v>80.868387299802265</v>
      </c>
      <c r="N58" s="386"/>
      <c r="O58" s="194"/>
      <c r="P58" s="166"/>
      <c r="Q58" s="166"/>
      <c r="R58" s="189" t="str">
        <f>IF(AND(Settings!$AC$33=TRUE,AV69&gt;$AV$78),Settings!AB45,"")</f>
        <v/>
      </c>
      <c r="S58" s="190" t="str">
        <f>IF(R58="","",Settings!AC45)</f>
        <v/>
      </c>
      <c r="T58" s="176"/>
      <c r="U58" s="251"/>
      <c r="V58" s="251"/>
      <c r="W58" s="251"/>
      <c r="X58" s="251"/>
      <c r="Y58" s="251"/>
      <c r="Z58" s="251"/>
      <c r="AA58" s="166"/>
      <c r="AB58" s="166"/>
      <c r="AC58" s="166"/>
      <c r="AD58" s="166"/>
      <c r="AE58" s="201"/>
      <c r="AF58" s="3"/>
      <c r="AG58" s="287">
        <f t="shared" si="44"/>
        <v>270</v>
      </c>
      <c r="AH58" s="806">
        <f>IF($P21="",AH57,COS(RADIANS($O21))*$P21)*Settings!$AH$25</f>
        <v>-1.9847404969519644E-15</v>
      </c>
      <c r="AI58" s="806">
        <f>IF($P21="",AI57,SIN(RADIANS($O21))*$P21)*Settings!$AH$25</f>
        <v>-10.8</v>
      </c>
      <c r="AJ58" s="15"/>
      <c r="AK58" s="287">
        <f t="shared" si="45"/>
        <v>270</v>
      </c>
      <c r="AL58" s="806">
        <f>IF($P43="",AL57,COS(RADIANS($O43))*$P43*Settings!$AH$26)</f>
        <v>-2.3722549532395608E-15</v>
      </c>
      <c r="AM58" s="806">
        <f>IF($P43="",AM57,SIN(RADIANS($O43))*$P43*Settings!$AH$26)</f>
        <v>-12.908666666666667</v>
      </c>
      <c r="AN58" s="14"/>
      <c r="AO58" s="46" t="s">
        <v>680</v>
      </c>
      <c r="AP58" s="459" t="str">
        <f>IF(AR26="Z1B Released","Yes","No")</f>
        <v>No</v>
      </c>
      <c r="AT58" s="3"/>
      <c r="AU58" s="3"/>
      <c r="AV58" s="3"/>
      <c r="AW58" s="3"/>
      <c r="BF58" s="3"/>
      <c r="BG58" s="3"/>
      <c r="BH58" s="3"/>
      <c r="BI58" s="3"/>
      <c r="BJ58" s="3"/>
      <c r="BK58" s="3"/>
      <c r="BL58" s="3"/>
      <c r="BN58" s="3"/>
      <c r="BO58" s="3"/>
      <c r="BP58" s="3"/>
      <c r="BQ58" s="3"/>
      <c r="BR58" s="3"/>
      <c r="BS58" s="32">
        <f t="shared" si="42"/>
        <v>5.6221241459588622</v>
      </c>
      <c r="BT58" s="32">
        <f t="shared" si="43"/>
        <v>-10.8</v>
      </c>
      <c r="BU58" s="3"/>
      <c r="BV58" s="32" t="e">
        <f>#REF!*$BW$4</f>
        <v>#REF!</v>
      </c>
      <c r="BW58" s="32" t="e">
        <f>#REF!*$BW$4</f>
        <v>#REF!</v>
      </c>
      <c r="BX58" s="3"/>
      <c r="BY58" s="3"/>
      <c r="BZ58" s="3"/>
      <c r="CA58" s="3"/>
    </row>
    <row r="59" spans="1:79" ht="14.25" thickBot="1">
      <c r="A59" s="202"/>
      <c r="B59" s="188" t="str">
        <f>IF(C58&lt;C59,"Not Testable","t3")</f>
        <v>t3</v>
      </c>
      <c r="C59" s="551">
        <f>IF(C58="","",TimesTestV/$M21*I_Nom*(1+Delta_I))</f>
        <v>0.18540000000000001</v>
      </c>
      <c r="D59" s="552">
        <f>IF(D58="","",TimesTestV_E/$M43*I_Nom*(1+Delta_I))</f>
        <v>0.37079999999999996</v>
      </c>
      <c r="E59" s="183">
        <f>E58</f>
        <v>4528</v>
      </c>
      <c r="F59" s="166"/>
      <c r="G59" s="165"/>
      <c r="H59" s="387" t="s">
        <v>72</v>
      </c>
      <c r="I59" s="388">
        <f>VLOOKUP(VLOOKUP(BC25,$AP$3:$AS$5,4),$AP$22:$BD$24,14)</f>
        <v>60</v>
      </c>
      <c r="J59" s="389">
        <f>VLOOKUP(VLOOKUP(BC25,$AP$3:$AS$5,4),$AP$22:$BD$24,15)</f>
        <v>270</v>
      </c>
      <c r="K59" s="390"/>
      <c r="L59" s="430">
        <f>IF(AT3=TRUE,60,AR75)</f>
        <v>60</v>
      </c>
      <c r="M59" s="431">
        <f>IF(AT3=TRUE,270,IF(AT4=TRUE,90-AR74,90+AR74))</f>
        <v>270</v>
      </c>
      <c r="N59" s="391"/>
      <c r="O59" s="165"/>
      <c r="P59" s="166"/>
      <c r="Q59" s="166"/>
      <c r="R59" s="189" t="str">
        <f>IF(AND(Settings!$AC$33=TRUE,AV70&gt;$AV$78),Settings!AB46,"")</f>
        <v/>
      </c>
      <c r="S59" s="190" t="str">
        <f>IF(R59="","",Settings!AC46)</f>
        <v/>
      </c>
      <c r="T59" s="176"/>
      <c r="U59" s="251"/>
      <c r="V59" s="251"/>
      <c r="W59" s="251"/>
      <c r="X59" s="251"/>
      <c r="Y59" s="251"/>
      <c r="Z59" s="251"/>
      <c r="AA59" s="166"/>
      <c r="AB59" s="166"/>
      <c r="AC59" s="166"/>
      <c r="AD59" s="166"/>
      <c r="AE59" s="201"/>
      <c r="AF59" s="3"/>
      <c r="AG59" s="287">
        <f t="shared" si="44"/>
        <v>297.5</v>
      </c>
      <c r="AH59" s="806">
        <f>IF($P22="",AH58,COS(RADIANS($O22))*$P22)*Settings!$AH$25</f>
        <v>5.6221241459588622</v>
      </c>
      <c r="AI59" s="806">
        <f>IF($P22="",AI58,SIN(RADIANS($O22))*$P22)*Settings!$AH$25</f>
        <v>-10.8</v>
      </c>
      <c r="AJ59" s="15"/>
      <c r="AK59" s="287">
        <f t="shared" si="45"/>
        <v>297.5</v>
      </c>
      <c r="AL59" s="806">
        <f>IF($P44="",AL58,COS(RADIANS($O44))*$P44*Settings!$AH$26)</f>
        <v>6.7198265332223119</v>
      </c>
      <c r="AM59" s="806">
        <f>IF($P44="",AM58,SIN(RADIANS($O44))*$P44*Settings!$AH$26)</f>
        <v>-12.908666666666667</v>
      </c>
      <c r="AN59" s="14"/>
      <c r="AO59" t="s">
        <v>9</v>
      </c>
      <c r="AP59" t="str">
        <f>Settings!E103</f>
        <v>Forward</v>
      </c>
      <c r="AT59" s="3"/>
      <c r="AU59" s="3"/>
      <c r="AV59" s="3"/>
      <c r="AW59" s="3"/>
      <c r="AX59" s="3"/>
      <c r="BF59" s="3"/>
      <c r="BG59" s="3"/>
      <c r="BH59" s="3"/>
      <c r="BI59" s="3"/>
      <c r="BJ59" s="3"/>
      <c r="BK59" s="3"/>
      <c r="BL59" s="3"/>
      <c r="BN59" s="3"/>
      <c r="BO59" s="3"/>
      <c r="BP59" s="3"/>
      <c r="BQ59" s="3"/>
      <c r="BR59" s="3"/>
      <c r="BS59" s="32">
        <f t="shared" si="42"/>
        <v>15.423998472814823</v>
      </c>
      <c r="BT59" s="32">
        <f t="shared" si="43"/>
        <v>-10.8</v>
      </c>
      <c r="BU59" s="3"/>
      <c r="BV59" s="32" t="e">
        <f>#REF!*$BW$4</f>
        <v>#REF!</v>
      </c>
      <c r="BW59" s="32" t="e">
        <f>#REF!*$BW$4</f>
        <v>#REF!</v>
      </c>
      <c r="BX59" s="3"/>
      <c r="BY59" s="3"/>
      <c r="BZ59" s="3"/>
      <c r="CA59" s="3"/>
    </row>
    <row r="60" spans="1:79" ht="14.25" thickBot="1">
      <c r="A60" s="202"/>
      <c r="B60" s="182" t="s">
        <v>746</v>
      </c>
      <c r="C60" s="551" t="str">
        <f>IF(Settings!$G103&lt;&gt;"Forward","",MIN(C53:C59)*(1-Delta_I)^2)</f>
        <v/>
      </c>
      <c r="D60" s="552" t="str">
        <f>IF(Settings!$G103&lt;&gt;"Forward","",MIN(D53:D59)*(1-Delta_I)^2)</f>
        <v/>
      </c>
      <c r="E60" s="183" t="str">
        <f>IF(C60="","",T_4*1000+OpTime)</f>
        <v/>
      </c>
      <c r="F60" s="166"/>
      <c r="G60" s="165"/>
      <c r="H60" s="251"/>
      <c r="I60" s="251"/>
      <c r="J60" s="251"/>
      <c r="K60" s="251"/>
      <c r="L60" s="251"/>
      <c r="M60" s="251"/>
      <c r="N60" s="251"/>
      <c r="O60" s="165"/>
      <c r="P60" s="166"/>
      <c r="Q60" s="166"/>
      <c r="R60" s="189" t="str">
        <f>IF(AND(Settings!$AC$33=TRUE,AV71&gt;$AV$78),Settings!AB47,"")</f>
        <v/>
      </c>
      <c r="S60" s="190"/>
      <c r="T60" s="176"/>
      <c r="U60" s="251"/>
      <c r="V60" s="251"/>
      <c r="W60" s="251"/>
      <c r="X60" s="251"/>
      <c r="Y60" s="251"/>
      <c r="Z60" s="251"/>
      <c r="AA60" s="166"/>
      <c r="AB60" s="166"/>
      <c r="AC60" s="166"/>
      <c r="AD60" s="166"/>
      <c r="AE60" s="201"/>
      <c r="AF60" s="3"/>
      <c r="AG60" s="287">
        <f t="shared" si="44"/>
        <v>325</v>
      </c>
      <c r="AH60" s="806">
        <f>IF($P23="",AH59,COS(RADIANS($O23))*$P23)*Settings!$AH$25</f>
        <v>15.423998472814823</v>
      </c>
      <c r="AI60" s="806">
        <f>IF($P23="",AI59,SIN(RADIANS($O23))*$P23)*Settings!$AH$25</f>
        <v>-10.8</v>
      </c>
      <c r="AJ60" s="15"/>
      <c r="AK60" s="287">
        <f t="shared" si="45"/>
        <v>325</v>
      </c>
      <c r="AL60" s="806">
        <f>IF($P45="",AL59,COS(RADIANS($O45))*$P45*Settings!$AH$26)</f>
        <v>18.435486569698359</v>
      </c>
      <c r="AM60" s="806">
        <f>IF($P45="",AM59,SIN(RADIANS($O45))*$P45*Settings!$AH$26)</f>
        <v>-12.908666666666667</v>
      </c>
      <c r="AN60" s="14"/>
      <c r="AO60" s="46" t="s">
        <v>58</v>
      </c>
      <c r="AP60" s="83" t="str">
        <f>IF(OR(Settings!E103="Off",AO61+AP61=2),"No","Yes")</f>
        <v>Yes</v>
      </c>
      <c r="AT60" s="3"/>
      <c r="AU60" s="3"/>
      <c r="AV60" s="3"/>
      <c r="AW60" s="3"/>
      <c r="AX60" s="3"/>
      <c r="BF60" s="3"/>
      <c r="BG60" s="3"/>
      <c r="BH60" s="3"/>
      <c r="BI60" s="3"/>
      <c r="BJ60" s="3"/>
      <c r="BK60" s="3"/>
      <c r="BL60" s="3"/>
      <c r="BN60" s="3"/>
      <c r="BO60" s="3"/>
      <c r="BP60" s="3"/>
      <c r="BQ60" s="3"/>
      <c r="BR60" s="3"/>
      <c r="BS60" s="32">
        <f>AH62*$BW$4</f>
        <v>-10.615146279259202</v>
      </c>
      <c r="BT60" s="32">
        <f>AI62*$BW$4</f>
        <v>15.159999999999998</v>
      </c>
      <c r="BU60" s="3"/>
      <c r="BV60" s="32" t="e">
        <f>#REF!*$BW$4</f>
        <v>#REF!</v>
      </c>
      <c r="BW60" s="32" t="e">
        <f>#REF!*$BW$4</f>
        <v>#REF!</v>
      </c>
      <c r="BX60" s="3"/>
      <c r="BY60" s="3"/>
      <c r="BZ60" s="3"/>
      <c r="CA60" s="3"/>
    </row>
    <row r="61" spans="1:79" ht="13.5">
      <c r="A61" s="202"/>
      <c r="B61" s="188" t="str">
        <f>IF(C60&lt;C61,"Not Testable","t4")</f>
        <v>t4</v>
      </c>
      <c r="C61" s="551" t="str">
        <f>IF(C60="","",TimesTestV/$P21*I_Nom*(1+Delta_I))</f>
        <v/>
      </c>
      <c r="D61" s="552" t="str">
        <f>IF(D60="","",TimesTestV_E/$P43*I_Nom*(1+Delta_I))</f>
        <v/>
      </c>
      <c r="E61" s="183" t="str">
        <f>E60</f>
        <v/>
      </c>
      <c r="F61" s="166"/>
      <c r="G61" s="165"/>
      <c r="H61" s="1194" t="s">
        <v>749</v>
      </c>
      <c r="I61" s="1195"/>
      <c r="J61" s="1195"/>
      <c r="K61" s="1195"/>
      <c r="L61" s="1195"/>
      <c r="M61" s="1195"/>
      <c r="N61" s="1196"/>
      <c r="O61" s="165"/>
      <c r="P61" s="165"/>
      <c r="Q61" s="165"/>
      <c r="R61" s="165"/>
      <c r="S61" s="165"/>
      <c r="T61" s="165"/>
      <c r="U61" s="165"/>
      <c r="V61" s="165"/>
      <c r="W61" s="165"/>
      <c r="X61" s="165"/>
      <c r="Y61" s="165"/>
      <c r="Z61" s="165"/>
      <c r="AA61" s="165"/>
      <c r="AB61" s="165"/>
      <c r="AC61" s="165"/>
      <c r="AD61" s="165"/>
      <c r="AE61" s="201"/>
      <c r="AF61" s="3"/>
      <c r="AG61" s="287" t="str">
        <f t="shared" si="44"/>
        <v/>
      </c>
      <c r="AH61" s="806">
        <f>IF($P24="",AH60,COS(RADIANS($O24))*$P24)*Settings!$AH$25</f>
        <v>15.423998472814823</v>
      </c>
      <c r="AI61" s="806">
        <f>IF($P24="",AI60,SIN(RADIANS($O24))*$P24)*Settings!$AH$25</f>
        <v>-10.8</v>
      </c>
      <c r="AJ61" s="15"/>
      <c r="AK61" s="287" t="str">
        <f t="shared" si="45"/>
        <v/>
      </c>
      <c r="AL61" s="806">
        <f>IF($P46="",AL60,COS(RADIANS($O46))*$P46*Settings!$AH$26)</f>
        <v>18.435486569698359</v>
      </c>
      <c r="AM61" s="806">
        <f>IF($P46="",AM60,SIN(RADIANS($O46))*$P46*Settings!$AH$26)</f>
        <v>-12.908666666666667</v>
      </c>
      <c r="AN61" s="14"/>
      <c r="AO61" s="83">
        <f>IF(X_1B&gt;=X_2,1,0)</f>
        <v>0</v>
      </c>
      <c r="AP61" s="83">
        <f>IF(AR26="Z1B Released",1,0)</f>
        <v>0</v>
      </c>
      <c r="AT61" s="3"/>
      <c r="AU61" s="3"/>
      <c r="AV61" s="3"/>
      <c r="AW61" s="3"/>
      <c r="AX61" s="3"/>
      <c r="BF61" s="3"/>
      <c r="BG61" s="3"/>
      <c r="BH61" s="3"/>
      <c r="BI61" s="3"/>
      <c r="BJ61" s="3"/>
      <c r="BK61" s="3"/>
      <c r="BL61" s="3"/>
      <c r="BN61" s="3"/>
      <c r="BO61" s="3"/>
      <c r="BP61" s="3"/>
      <c r="BQ61" s="3"/>
      <c r="BR61" s="3"/>
      <c r="BS61" s="32">
        <f t="shared" ref="BS61:BS70" si="46">AH64*$BW$4</f>
        <v>-11.937890242744185</v>
      </c>
      <c r="BT61" s="32">
        <f t="shared" ref="BT61:BT70" si="47">AI64*$BW$4</f>
        <v>15.159999999999998</v>
      </c>
      <c r="BU61" s="3"/>
      <c r="BV61" s="32" t="e">
        <f>#REF!*$BW$4</f>
        <v>#REF!</v>
      </c>
      <c r="BW61" s="32" t="e">
        <f>#REF!*$BW$4</f>
        <v>#REF!</v>
      </c>
      <c r="BX61" s="3"/>
      <c r="BY61" s="3"/>
      <c r="BZ61" s="3"/>
      <c r="CA61" s="3"/>
    </row>
    <row r="62" spans="1:79" ht="13.5">
      <c r="A62" s="202"/>
      <c r="B62" s="193" t="s">
        <v>682</v>
      </c>
      <c r="C62" s="551">
        <f>MIN(C53:C61)*(1-Delta_I)^2</f>
        <v>0.17444286000000001</v>
      </c>
      <c r="D62" s="552">
        <f>MIN(D53:D61)*(1-Delta_I)^2</f>
        <v>0.34888571999999995</v>
      </c>
      <c r="E62" s="183"/>
      <c r="F62" s="166"/>
      <c r="G62" s="165"/>
      <c r="H62" s="385"/>
      <c r="I62" s="251"/>
      <c r="J62" s="251"/>
      <c r="K62" s="251"/>
      <c r="L62" s="251"/>
      <c r="M62" s="251"/>
      <c r="N62" s="386"/>
      <c r="O62" s="165"/>
      <c r="P62" s="165"/>
      <c r="Q62" s="165"/>
      <c r="R62" s="166"/>
      <c r="S62" s="166"/>
      <c r="T62" s="165"/>
      <c r="U62" s="166"/>
      <c r="V62" s="166"/>
      <c r="W62" s="165"/>
      <c r="X62" s="166"/>
      <c r="Y62" s="166"/>
      <c r="Z62" s="166"/>
      <c r="AA62" s="166"/>
      <c r="AB62" s="166"/>
      <c r="AC62" s="166"/>
      <c r="AD62" s="166"/>
      <c r="AE62" s="201"/>
      <c r="AF62" s="3"/>
      <c r="AG62" s="289" t="s">
        <v>714</v>
      </c>
      <c r="AH62" s="835">
        <f>COS(RADIANS($O13))*$P13*Settings!$AI$25</f>
        <v>-10.615146279259202</v>
      </c>
      <c r="AI62" s="835">
        <f>SIN(RADIANS($O13))*$P13*Settings!$AI$25</f>
        <v>15.159999999999998</v>
      </c>
      <c r="AJ62" s="15"/>
      <c r="AK62" s="289" t="s">
        <v>714</v>
      </c>
      <c r="AL62" s="809">
        <f>COS(RADIANS($R35))*$S35*Settings!$AI$26</f>
        <v>-20.17873271743284</v>
      </c>
      <c r="AM62" s="809">
        <f>SIN(RADIANS($R35))*$S35*Settings!$AI$26</f>
        <v>9.4094975980017601</v>
      </c>
      <c r="AN62" s="14"/>
      <c r="AO62" s="46" t="s">
        <v>679</v>
      </c>
      <c r="AP62" s="46" t="str">
        <f>Settings!F$103</f>
        <v>Forward</v>
      </c>
      <c r="AT62" s="3"/>
      <c r="AU62" s="111" t="s">
        <v>81</v>
      </c>
      <c r="AV62" s="112"/>
      <c r="AW62" s="3"/>
      <c r="AX62" s="3"/>
      <c r="BF62" s="3"/>
      <c r="BG62" s="3"/>
      <c r="BH62" s="3"/>
      <c r="BI62" s="3"/>
      <c r="BJ62" s="3"/>
      <c r="BK62" s="3"/>
      <c r="BL62" s="3"/>
      <c r="BN62" s="3"/>
      <c r="BO62" s="3"/>
      <c r="BP62" s="3"/>
      <c r="BQ62" s="3"/>
      <c r="BR62" s="3"/>
      <c r="BS62" s="32">
        <f t="shared" si="46"/>
        <v>-16</v>
      </c>
      <c r="BT62" s="32">
        <f t="shared" si="47"/>
        <v>1.960237527853792E-15</v>
      </c>
      <c r="BU62" s="3"/>
      <c r="BV62" s="32" t="e">
        <f>#REF!*$BW$4</f>
        <v>#REF!</v>
      </c>
      <c r="BW62" s="32" t="e">
        <f>#REF!*$BW$4</f>
        <v>#REF!</v>
      </c>
      <c r="BX62" s="3"/>
      <c r="BY62" s="3"/>
      <c r="BZ62" s="3"/>
      <c r="CA62" s="3"/>
    </row>
    <row r="63" spans="1:79" ht="13.5">
      <c r="A63" s="202"/>
      <c r="B63" s="370" t="s">
        <v>53</v>
      </c>
      <c r="C63" s="452">
        <f>TimesTestV</f>
        <v>7.02</v>
      </c>
      <c r="D63" s="451">
        <f>ROUND(TimesTestV_E,2)</f>
        <v>13.54</v>
      </c>
      <c r="E63" s="193"/>
      <c r="F63" s="166"/>
      <c r="G63" s="165"/>
      <c r="H63" s="385"/>
      <c r="I63" s="251"/>
      <c r="J63" s="251"/>
      <c r="K63" s="251"/>
      <c r="L63" s="251"/>
      <c r="M63" s="251"/>
      <c r="N63" s="386"/>
      <c r="O63" s="165"/>
      <c r="P63" s="165"/>
      <c r="Q63" s="165"/>
      <c r="R63" s="166"/>
      <c r="S63" s="166"/>
      <c r="T63" s="165"/>
      <c r="U63" s="166"/>
      <c r="V63" s="166"/>
      <c r="W63" s="165"/>
      <c r="X63" s="166"/>
      <c r="Y63" s="166"/>
      <c r="Z63" s="166"/>
      <c r="AA63" s="166"/>
      <c r="AB63" s="166"/>
      <c r="AC63" s="166"/>
      <c r="AD63" s="166"/>
      <c r="AE63" s="201"/>
      <c r="AF63" s="3"/>
      <c r="AG63" s="289"/>
      <c r="AH63" s="809">
        <f>IF($S13="",AH61,COS(RADIANS($R13))*$S13)*Settings!$AI$25</f>
        <v>-10.615146279259202</v>
      </c>
      <c r="AI63" s="809">
        <f>IF($S13="",AI61,SIN(RADIANS($R13))*$S13)*Settings!$AI$25</f>
        <v>15.159999999999998</v>
      </c>
      <c r="AJ63" s="15"/>
      <c r="AK63" s="289">
        <f t="shared" ref="AK63:AK73" si="48">R36</f>
        <v>167.5</v>
      </c>
      <c r="AL63" s="809">
        <f>IF($S36="",AL62,COS(RADIANS($R36))*$S36*Settings!$AI$26)</f>
        <v>-21.427164183959185</v>
      </c>
      <c r="AM63" s="809">
        <f>IF($S36="",AM62,SIN(RADIANS($R36))*$S36*Settings!$AI$26)</f>
        <v>4.7502879351577132</v>
      </c>
      <c r="AN63" s="14"/>
      <c r="AO63" s="46" t="s">
        <v>740</v>
      </c>
      <c r="AP63" s="46" t="str">
        <f>Settings!G$103</f>
        <v>Reverse</v>
      </c>
      <c r="AT63" s="3"/>
      <c r="AU63" s="113"/>
      <c r="AV63" s="231" t="s">
        <v>259</v>
      </c>
      <c r="AW63" s="3"/>
      <c r="AX63" s="3"/>
      <c r="BF63" s="3"/>
      <c r="BG63" s="3"/>
      <c r="BH63" s="3"/>
      <c r="BI63" s="3"/>
      <c r="BJ63" s="3"/>
      <c r="BK63" s="3"/>
      <c r="BL63" s="3"/>
      <c r="BN63" s="3"/>
      <c r="BO63" s="3"/>
      <c r="BP63" s="3"/>
      <c r="BQ63" s="3"/>
      <c r="BR63" s="3"/>
      <c r="BS63" s="32">
        <f t="shared" si="46"/>
        <v>-17.745207706492369</v>
      </c>
      <c r="BT63" s="32">
        <f t="shared" si="47"/>
        <v>-6.513203830390256</v>
      </c>
      <c r="BU63" s="3"/>
      <c r="BV63" s="32" t="e">
        <f>#REF!*$BW$4</f>
        <v>#REF!</v>
      </c>
      <c r="BW63" s="32" t="e">
        <f>#REF!*$BW$4</f>
        <v>#REF!</v>
      </c>
      <c r="BX63" s="3"/>
      <c r="BY63" s="3"/>
      <c r="BZ63" s="3"/>
      <c r="CA63" s="3"/>
    </row>
    <row r="64" spans="1:79" ht="13.5">
      <c r="A64" s="202"/>
      <c r="B64" s="372" t="str">
        <f>IF(AO70&gt;4,"Increase Voltage to test outer Zones","")</f>
        <v/>
      </c>
      <c r="C64" s="372"/>
      <c r="D64" s="372"/>
      <c r="E64" s="372"/>
      <c r="F64" s="194"/>
      <c r="G64" s="191"/>
      <c r="H64" s="385" t="s">
        <v>70</v>
      </c>
      <c r="I64" s="505">
        <f>AY97</f>
        <v>57.7</v>
      </c>
      <c r="J64" s="506">
        <f>BA97</f>
        <v>-120</v>
      </c>
      <c r="K64" s="191"/>
      <c r="L64" s="507">
        <f>AZ97</f>
        <v>57.7</v>
      </c>
      <c r="M64" s="508">
        <f>J64</f>
        <v>-120</v>
      </c>
      <c r="N64" s="386"/>
      <c r="O64" s="166"/>
      <c r="P64" s="166"/>
      <c r="Q64" s="166"/>
      <c r="R64" s="166"/>
      <c r="S64" s="166"/>
      <c r="T64" s="166"/>
      <c r="U64" s="166"/>
      <c r="V64" s="166"/>
      <c r="W64" s="166"/>
      <c r="X64" s="166"/>
      <c r="Y64" s="166"/>
      <c r="Z64" s="166"/>
      <c r="AA64" s="166"/>
      <c r="AB64" s="166"/>
      <c r="AC64" s="166"/>
      <c r="AD64" s="166"/>
      <c r="AE64" s="201"/>
      <c r="AF64" s="3"/>
      <c r="AG64" s="289">
        <f t="shared" ref="AG64:AG74" si="49">R14</f>
        <v>128.21900962126432</v>
      </c>
      <c r="AH64" s="809">
        <f>IF($S14="",AH62,COS(RADIANS($R14))*$S14)*Settings!$AI$25</f>
        <v>-11.937890242744185</v>
      </c>
      <c r="AI64" s="809">
        <f>IF($S14="",AI62,SIN(RADIANS($R14))*$S14)*Settings!$AI$25</f>
        <v>15.159999999999998</v>
      </c>
      <c r="AJ64" s="15"/>
      <c r="AK64" s="289">
        <f t="shared" si="48"/>
        <v>180</v>
      </c>
      <c r="AL64" s="809">
        <f>IF($S37="",AL63,COS(RADIANS($R37))*$S37*Settings!$AI$26)</f>
        <v>-22.7</v>
      </c>
      <c r="AM64" s="809">
        <f>IF($S37="",AM63,SIN(RADIANS($R37))*$S37*Settings!$AI$26)</f>
        <v>2.7810869926425674E-15</v>
      </c>
      <c r="AN64" s="14"/>
      <c r="AO64" s="46" t="s">
        <v>741</v>
      </c>
      <c r="AP64" s="46" t="str">
        <f>Settings!H$103</f>
        <v>Reverse</v>
      </c>
      <c r="AT64" s="3"/>
      <c r="AU64" s="114"/>
      <c r="AV64" s="105">
        <f>70/(3*(Settings!AB40/In))</f>
        <v>350</v>
      </c>
      <c r="AW64" s="228"/>
      <c r="AX64" s="3"/>
      <c r="BF64" s="3"/>
      <c r="BG64" s="3"/>
      <c r="BH64" s="3"/>
      <c r="BI64" s="3"/>
      <c r="BJ64" s="3"/>
      <c r="BK64" s="3"/>
      <c r="BL64" s="3"/>
      <c r="BN64" s="3"/>
      <c r="BO64" s="3"/>
      <c r="BP64" s="3"/>
      <c r="BQ64" s="3"/>
      <c r="BR64" s="3"/>
      <c r="BS64" s="32">
        <f t="shared" si="46"/>
        <v>-20.707162516232962</v>
      </c>
      <c r="BT64" s="32">
        <f t="shared" si="47"/>
        <v>-17.567369670065158</v>
      </c>
      <c r="BU64" s="3"/>
      <c r="BV64" s="32" t="e">
        <f>#REF!*$BW$4</f>
        <v>#REF!</v>
      </c>
      <c r="BW64" s="32" t="e">
        <f>#REF!*$BW$4</f>
        <v>#REF!</v>
      </c>
      <c r="BX64" s="3"/>
      <c r="BY64" s="3"/>
      <c r="BZ64" s="3"/>
      <c r="CA64" s="3"/>
    </row>
    <row r="65" spans="1:79" ht="13.5">
      <c r="A65" s="202"/>
      <c r="B65" s="167" t="str">
        <f>"Reverse,   [A]      " &amp; IF(Settings!AC9="Busbar","270"," 90") &amp;"º"</f>
        <v>Reverse,   [A]      270º</v>
      </c>
      <c r="C65" s="167"/>
      <c r="D65" s="167"/>
      <c r="E65" s="170" t="s">
        <v>35</v>
      </c>
      <c r="F65" s="166"/>
      <c r="G65" s="165"/>
      <c r="H65" s="385" t="s">
        <v>71</v>
      </c>
      <c r="I65" s="505">
        <f>AY98</f>
        <v>57.7</v>
      </c>
      <c r="J65" s="509">
        <f>BA98</f>
        <v>120</v>
      </c>
      <c r="K65" s="191"/>
      <c r="L65" s="507">
        <f>AZ98</f>
        <v>57.7</v>
      </c>
      <c r="M65" s="510">
        <f>J65</f>
        <v>120</v>
      </c>
      <c r="N65" s="386"/>
      <c r="O65" s="194"/>
      <c r="P65" s="166"/>
      <c r="Q65" s="165"/>
      <c r="R65" s="165"/>
      <c r="S65" s="165"/>
      <c r="T65" s="165"/>
      <c r="U65" s="165"/>
      <c r="V65" s="165"/>
      <c r="W65" s="165"/>
      <c r="X65" s="165"/>
      <c r="Y65" s="165"/>
      <c r="Z65" s="165"/>
      <c r="AA65" s="165"/>
      <c r="AB65" s="165"/>
      <c r="AC65" s="165"/>
      <c r="AD65" s="165"/>
      <c r="AE65" s="207"/>
      <c r="AF65" s="3"/>
      <c r="AG65" s="289">
        <f t="shared" si="49"/>
        <v>180</v>
      </c>
      <c r="AH65" s="809">
        <f>IF($S15="",AH64,COS(RADIANS($R15))*$S15)*Settings!$AI$25</f>
        <v>-16</v>
      </c>
      <c r="AI65" s="809">
        <f>IF($S15="",AI64,SIN(RADIANS($R15))*$S15)*Settings!$AI$25</f>
        <v>1.960237527853792E-15</v>
      </c>
      <c r="AJ65" s="15"/>
      <c r="AK65" s="289">
        <f t="shared" si="48"/>
        <v>206</v>
      </c>
      <c r="AL65" s="809">
        <f>IF($S38="",AL64,COS(RADIANS($R38))*$S38*Settings!$AI$26)</f>
        <v>-26.112590570060458</v>
      </c>
      <c r="AM65" s="809">
        <f>IF($S38="",AM64,SIN(RADIANS($R38))*$S38*Settings!$AI$26)</f>
        <v>-12.735961392896092</v>
      </c>
      <c r="AN65" s="14"/>
      <c r="AO65" s="547" t="s">
        <v>768</v>
      </c>
      <c r="AP65" s="46" t="str">
        <f>Settings!J$103</f>
        <v>Off</v>
      </c>
      <c r="AQ65" s="3"/>
      <c r="AR65" s="3"/>
      <c r="AT65" s="3"/>
      <c r="AU65" s="114"/>
      <c r="AV65" s="105">
        <f>70/(3*(Settings!AB41/In))</f>
        <v>700</v>
      </c>
      <c r="AW65" s="228"/>
      <c r="AX65" s="3"/>
      <c r="BF65" s="3"/>
      <c r="BG65" s="3"/>
      <c r="BH65" s="3"/>
      <c r="BI65" s="3"/>
      <c r="BJ65" s="3"/>
      <c r="BK65" s="3"/>
      <c r="BL65" s="3"/>
      <c r="BN65" s="3"/>
      <c r="BO65" s="3"/>
      <c r="BP65" s="3"/>
      <c r="BQ65" s="3"/>
      <c r="BR65" s="3"/>
      <c r="BS65" s="32">
        <f t="shared" si="46"/>
        <v>-30.35671773045954</v>
      </c>
      <c r="BT65" s="32">
        <f t="shared" si="47"/>
        <v>-53.580000000000005</v>
      </c>
      <c r="BU65" s="3"/>
      <c r="BV65" s="32" t="e">
        <f>#REF!*$BW$4</f>
        <v>#REF!</v>
      </c>
      <c r="BW65" s="32" t="e">
        <f>#REF!*$BW$4</f>
        <v>#REF!</v>
      </c>
      <c r="BX65" s="3"/>
      <c r="BY65" s="3"/>
      <c r="BZ65" s="3"/>
      <c r="CA65" s="3"/>
    </row>
    <row r="66" spans="1:79" ht="14.25" thickBot="1">
      <c r="A66" s="202"/>
      <c r="B66" s="146"/>
      <c r="C66" s="170"/>
      <c r="D66" s="170"/>
      <c r="E66" s="170" t="s">
        <v>38</v>
      </c>
      <c r="F66" s="166"/>
      <c r="G66" s="165"/>
      <c r="H66" s="387" t="s">
        <v>72</v>
      </c>
      <c r="I66" s="511">
        <f>AY99</f>
        <v>13.535999999999998</v>
      </c>
      <c r="J66" s="512">
        <f>BA99</f>
        <v>0</v>
      </c>
      <c r="K66" s="390"/>
      <c r="L66" s="513">
        <f>AZ99</f>
        <v>17.359199999999998</v>
      </c>
      <c r="M66" s="514">
        <f>J66</f>
        <v>0</v>
      </c>
      <c r="N66" s="515"/>
      <c r="O66" s="166"/>
      <c r="P66" s="166"/>
      <c r="Q66" s="165"/>
      <c r="R66" s="165"/>
      <c r="S66" s="165"/>
      <c r="T66" s="165"/>
      <c r="U66" s="165"/>
      <c r="V66" s="165"/>
      <c r="W66" s="165"/>
      <c r="X66" s="165"/>
      <c r="Y66" s="165"/>
      <c r="Z66" s="165"/>
      <c r="AA66" s="165"/>
      <c r="AB66" s="165"/>
      <c r="AC66" s="165"/>
      <c r="AD66" s="165"/>
      <c r="AE66" s="207"/>
      <c r="AF66" s="3"/>
      <c r="AG66" s="289">
        <f t="shared" si="49"/>
        <v>200.15516452043127</v>
      </c>
      <c r="AH66" s="809">
        <f>IF($S16="",AH65,COS(RADIANS($R16))*$S16)*Settings!$AI$25</f>
        <v>-17.745207706492369</v>
      </c>
      <c r="AI66" s="809">
        <f>IF($S16="",AI65,SIN(RADIANS($R16))*$S16)*Settings!$AI$25</f>
        <v>-6.513203830390256</v>
      </c>
      <c r="AJ66" s="15"/>
      <c r="AK66" s="289">
        <f t="shared" si="48"/>
        <v>232</v>
      </c>
      <c r="AL66" s="809">
        <f>IF($S39="",AL65,COS(RADIANS($R39))*$S39*Settings!$AI$26)</f>
        <v>-34.548850509003159</v>
      </c>
      <c r="AM66" s="809">
        <f>IF($S39="",AM65,SIN(RADIANS($R39))*$S39*Settings!$AI$26)</f>
        <v>-44.220512110888215</v>
      </c>
      <c r="AN66" s="14"/>
      <c r="AO66" s="46" t="s">
        <v>59</v>
      </c>
      <c r="AP66" s="83">
        <v>2</v>
      </c>
      <c r="AT66" s="3"/>
      <c r="AU66" s="114"/>
      <c r="AV66" s="105">
        <f>70/(3*(Settings!AB42/In))</f>
        <v>875</v>
      </c>
      <c r="AW66" s="228"/>
      <c r="AX66" s="3"/>
      <c r="BF66" s="3"/>
      <c r="BG66" s="3"/>
      <c r="BH66" s="3"/>
      <c r="BI66" s="3"/>
      <c r="BJ66" s="3"/>
      <c r="BK66" s="3"/>
      <c r="BL66" s="3"/>
      <c r="BN66" s="3"/>
      <c r="BO66" s="3"/>
      <c r="BP66" s="3"/>
      <c r="BQ66" s="3"/>
      <c r="BR66" s="3"/>
      <c r="BS66" s="32">
        <f t="shared" si="46"/>
        <v>-19.173520657876583</v>
      </c>
      <c r="BT66" s="32">
        <f t="shared" si="47"/>
        <v>-53.58</v>
      </c>
      <c r="BU66" s="3"/>
      <c r="BV66" s="233" t="e">
        <f>#REF!*$BW$4</f>
        <v>#REF!</v>
      </c>
      <c r="BW66" s="233" t="e">
        <f>#REF!*$BW$4</f>
        <v>#REF!</v>
      </c>
      <c r="BX66" s="3"/>
      <c r="BY66" s="3"/>
      <c r="BZ66" s="3"/>
      <c r="CA66" s="3"/>
    </row>
    <row r="67" spans="1:79" ht="13.5">
      <c r="A67" s="202"/>
      <c r="B67" s="182" t="s">
        <v>747</v>
      </c>
      <c r="C67" s="553">
        <f>IF(Settings!$G103="Off","",MIN(TimesTest_R_V/$P21*5,6)*I_Nom)</f>
        <v>4.4649999999999999</v>
      </c>
      <c r="D67" s="554">
        <f>IF(Settings!$G103="Off","",MIN(TimesTest_R_V_E/$P43*5,6)*I_Nom)</f>
        <v>6</v>
      </c>
      <c r="E67" s="183">
        <f>IF(C67="","",T_4*1000+OpTime)</f>
        <v>528</v>
      </c>
      <c r="F67" s="166"/>
      <c r="G67" s="166"/>
      <c r="H67" s="166"/>
      <c r="I67" s="208"/>
      <c r="J67" s="166"/>
      <c r="K67" s="194"/>
      <c r="L67" s="166"/>
      <c r="M67" s="166"/>
      <c r="N67" s="166"/>
      <c r="O67" s="166"/>
      <c r="P67" s="165"/>
      <c r="Q67" s="165"/>
      <c r="R67" s="165"/>
      <c r="S67" s="165"/>
      <c r="T67" s="165"/>
      <c r="U67" s="165"/>
      <c r="V67" s="165"/>
      <c r="W67" s="165"/>
      <c r="X67" s="165"/>
      <c r="Y67" s="165"/>
      <c r="Z67" s="165"/>
      <c r="AA67" s="165"/>
      <c r="AB67" s="165"/>
      <c r="AC67" s="165"/>
      <c r="AD67" s="165"/>
      <c r="AE67" s="207"/>
      <c r="AF67" s="3"/>
      <c r="AG67" s="289">
        <f t="shared" si="49"/>
        <v>220.31032904086254</v>
      </c>
      <c r="AH67" s="809">
        <f>IF($S17="",AH66,COS(RADIANS($R17))*$S17)*Settings!$AI$25</f>
        <v>-20.707162516232962</v>
      </c>
      <c r="AI67" s="809">
        <f>IF($S17="",AI66,SIN(RADIANS($R17))*$S17)*Settings!$AI$25</f>
        <v>-17.567369670065158</v>
      </c>
      <c r="AJ67" s="15"/>
      <c r="AK67" s="289">
        <f t="shared" si="48"/>
        <v>233.54641338816776</v>
      </c>
      <c r="AL67" s="809">
        <f>IF($S40="",AL66,COS(RADIANS($R40))*$S40*Settings!$AI$26)</f>
        <v>-35.620510059028717</v>
      </c>
      <c r="AM67" s="809">
        <f>IF($S40="",AM66,SIN(RADIANS($R40))*$S40*Settings!$AI$26)</f>
        <v>-48.220000000000006</v>
      </c>
      <c r="AN67" s="14"/>
      <c r="AO67" s="459" t="s">
        <v>683</v>
      </c>
      <c r="AP67" s="46">
        <v>2</v>
      </c>
      <c r="AT67" s="3"/>
      <c r="AU67" s="114"/>
      <c r="AV67" s="105">
        <f>70/(3*(Settings!AB43/In))</f>
        <v>1166.6666666666667</v>
      </c>
      <c r="AW67" s="228"/>
      <c r="AX67" s="3"/>
      <c r="BF67" s="3"/>
      <c r="BG67" s="3"/>
      <c r="BH67" s="3"/>
      <c r="BI67" s="3"/>
      <c r="BJ67" s="3"/>
      <c r="BK67" s="3"/>
      <c r="BL67" s="3"/>
      <c r="BN67" s="3"/>
      <c r="BO67" s="3"/>
      <c r="BP67" s="3"/>
      <c r="BQ67" s="3"/>
      <c r="BR67" s="3"/>
      <c r="BS67" s="32">
        <f t="shared" si="46"/>
        <v>-9.2980575831272514</v>
      </c>
      <c r="BT67" s="32">
        <f t="shared" si="47"/>
        <v>-53.58</v>
      </c>
      <c r="BU67" s="3"/>
      <c r="BV67" s="233" t="e">
        <f>#REF!*$BW$4</f>
        <v>#REF!</v>
      </c>
      <c r="BW67" s="233" t="e">
        <f>#REF!*$BW$4</f>
        <v>#REF!</v>
      </c>
      <c r="BX67" s="3"/>
      <c r="BY67" s="3"/>
      <c r="BZ67" s="3"/>
      <c r="CA67" s="3"/>
    </row>
    <row r="68" spans="1:79" ht="13.5">
      <c r="A68" s="205"/>
      <c r="B68" s="188" t="str">
        <f>IF(C67&lt;C68,"Not Testable","tR1")</f>
        <v>tR1</v>
      </c>
      <c r="C68" s="553">
        <f>IF(C67="","",TimesTest_R_V/$P21*I_Nom*(1+Delta_I))</f>
        <v>0.91978999999999989</v>
      </c>
      <c r="D68" s="554">
        <f>IF(D67="","",TimesTest_R_V_E/$P43*I_Nom*(1+Delta_I))</f>
        <v>1.3851140835614313</v>
      </c>
      <c r="E68" s="183">
        <f>E67</f>
        <v>528</v>
      </c>
      <c r="F68" s="166"/>
      <c r="G68" s="166"/>
      <c r="H68" s="166"/>
      <c r="I68" s="166"/>
      <c r="J68" s="166"/>
      <c r="K68" s="194"/>
      <c r="L68" s="166"/>
      <c r="M68" s="166"/>
      <c r="N68" s="166"/>
      <c r="O68" s="166"/>
      <c r="P68" s="165"/>
      <c r="Q68" s="165"/>
      <c r="R68" s="165"/>
      <c r="S68" s="165"/>
      <c r="T68" s="165"/>
      <c r="U68" s="165"/>
      <c r="V68" s="165"/>
      <c r="W68" s="165"/>
      <c r="X68" s="165"/>
      <c r="Y68" s="165"/>
      <c r="Z68" s="165"/>
      <c r="AA68" s="165"/>
      <c r="AB68" s="165"/>
      <c r="AC68" s="165"/>
      <c r="AD68" s="165"/>
      <c r="AE68" s="207"/>
      <c r="AF68" s="3"/>
      <c r="AG68" s="289">
        <f t="shared" si="49"/>
        <v>240.46549356129381</v>
      </c>
      <c r="AH68" s="809">
        <f>IF($S18="",AH67,COS(RADIANS($R18))*$S18)*Settings!$AI$25</f>
        <v>-30.35671773045954</v>
      </c>
      <c r="AI68" s="809">
        <f>IF($S18="",AI67,SIN(RADIANS($R18))*$S18)*Settings!$AI$25</f>
        <v>-53.580000000000005</v>
      </c>
      <c r="AJ68" s="15"/>
      <c r="AK68" s="289">
        <f t="shared" si="48"/>
        <v>236</v>
      </c>
      <c r="AL68" s="809">
        <f>IF($S41="",AL67,COS(RADIANS($R41))*$S41*Settings!$AI$26)</f>
        <v>-32.524800682141787</v>
      </c>
      <c r="AM68" s="809">
        <f>IF($S41="",AM67,SIN(RADIANS($R41))*$S41*Settings!$AI$26)</f>
        <v>-48.22</v>
      </c>
      <c r="AN68" s="14"/>
      <c r="AT68" s="3"/>
      <c r="AU68" s="114"/>
      <c r="AV68" s="105">
        <f>70/(3*(Settings!AB44/In))</f>
        <v>1750</v>
      </c>
      <c r="AW68" s="228"/>
      <c r="AX68" s="3"/>
      <c r="BF68" s="3"/>
      <c r="BG68" s="3"/>
      <c r="BH68" s="3"/>
      <c r="BI68" s="3"/>
      <c r="BJ68" s="3"/>
      <c r="BK68" s="3"/>
      <c r="BL68" s="3"/>
      <c r="BN68" s="3"/>
      <c r="BO68" s="3"/>
      <c r="BP68" s="3"/>
      <c r="BQ68" s="3"/>
      <c r="BR68" s="3"/>
      <c r="BS68" s="32">
        <f t="shared" si="46"/>
        <v>-9.8465181321005781E-15</v>
      </c>
      <c r="BT68" s="32">
        <f t="shared" si="47"/>
        <v>-53.58</v>
      </c>
      <c r="BU68" s="3"/>
      <c r="BV68" s="233" t="e">
        <f>#REF!*$BW$4</f>
        <v>#REF!</v>
      </c>
      <c r="BW68" s="233" t="e">
        <f>#REF!*$BW$4</f>
        <v>#REF!</v>
      </c>
      <c r="BX68" s="3"/>
      <c r="BY68" s="3"/>
      <c r="BZ68" s="3"/>
      <c r="CA68" s="3"/>
    </row>
    <row r="69" spans="1:79" ht="14.25" thickBot="1">
      <c r="A69" s="202"/>
      <c r="B69" s="182" t="s">
        <v>748</v>
      </c>
      <c r="C69" s="553">
        <f>IF(Settings!$H103="Off","",IF(C67="",MIN(TimesTest_R_V/$S21*5,5)*I_Nom,C68*(1-Delta_I)^2))</f>
        <v>0.86543041099999984</v>
      </c>
      <c r="D69" s="554">
        <f>IF(Settings!$H103="Off","",IF(D67="",MIN(TimesTest_R_V_E/$S43*5,5)*I_Nom,D68*(1-Delta_I)^2))</f>
        <v>1.3032538412229506</v>
      </c>
      <c r="E69" s="183">
        <f>IF(C69="","",T_5*1000+OpTime)</f>
        <v>1128</v>
      </c>
      <c r="F69" s="166"/>
      <c r="G69" s="166"/>
      <c r="H69" s="166"/>
      <c r="I69" s="166"/>
      <c r="J69" s="166"/>
      <c r="K69" s="166"/>
      <c r="L69" s="166"/>
      <c r="M69" s="166"/>
      <c r="N69" s="166"/>
      <c r="O69" s="166"/>
      <c r="P69" s="165"/>
      <c r="Q69" s="165"/>
      <c r="R69" s="165"/>
      <c r="S69" s="165"/>
      <c r="T69" s="165"/>
      <c r="U69" s="165"/>
      <c r="V69" s="165"/>
      <c r="W69" s="165"/>
      <c r="X69" s="165"/>
      <c r="Y69" s="165"/>
      <c r="Z69" s="165"/>
      <c r="AA69" s="165"/>
      <c r="AB69" s="165"/>
      <c r="AC69" s="165"/>
      <c r="AD69" s="165"/>
      <c r="AE69" s="207"/>
      <c r="AF69" s="3"/>
      <c r="AG69" s="289">
        <f t="shared" si="49"/>
        <v>250.31032904086254</v>
      </c>
      <c r="AH69" s="809">
        <f>IF($S19="",AH68,COS(RADIANS($R19))*$S19)*Settings!$AI$25</f>
        <v>-19.173520657876583</v>
      </c>
      <c r="AI69" s="809">
        <f>IF($S19="",AI68,SIN(RADIANS($R19))*$S19)*Settings!$AI$25</f>
        <v>-53.58</v>
      </c>
      <c r="AJ69" s="15"/>
      <c r="AK69" s="289">
        <f t="shared" si="48"/>
        <v>253</v>
      </c>
      <c r="AL69" s="809">
        <f>IF($S42="",AL68,COS(RADIANS($R42))*$S42*Settings!$AI$26)</f>
        <v>-14.742333459936624</v>
      </c>
      <c r="AM69" s="809">
        <f>IF($S42="",AM68,SIN(RADIANS($R42))*$S42*Settings!$AI$26)</f>
        <v>-48.22</v>
      </c>
      <c r="AN69" s="14"/>
      <c r="AS69" s="3"/>
      <c r="AT69" s="3"/>
      <c r="AU69" s="114"/>
      <c r="AV69" s="105">
        <f>70/(3*(Settings!AB45/In))</f>
        <v>3500</v>
      </c>
      <c r="AW69" s="228"/>
      <c r="AX69" s="3"/>
      <c r="BF69" s="3"/>
      <c r="BG69" s="3"/>
      <c r="BH69" s="3"/>
      <c r="BI69" s="3"/>
      <c r="BJ69" s="3"/>
      <c r="BK69" s="3"/>
      <c r="BL69" s="3"/>
      <c r="BN69" s="3"/>
      <c r="BO69" s="3"/>
      <c r="BP69" s="3"/>
      <c r="BQ69" s="3"/>
      <c r="BR69" s="3"/>
      <c r="BS69" s="32">
        <f t="shared" si="46"/>
        <v>20.148662325344617</v>
      </c>
      <c r="BT69" s="32">
        <f t="shared" si="47"/>
        <v>-53.58</v>
      </c>
      <c r="BU69" s="3"/>
      <c r="BV69" s="233" t="e">
        <f>#REF!*$BW$4</f>
        <v>#REF!</v>
      </c>
      <c r="BW69" s="233" t="e">
        <f>#REF!*$BW$4</f>
        <v>#REF!</v>
      </c>
      <c r="BX69" s="3"/>
      <c r="BY69" s="3"/>
      <c r="BZ69" s="3"/>
      <c r="CA69" s="3"/>
    </row>
    <row r="70" spans="1:79" ht="13.5">
      <c r="A70" s="206"/>
      <c r="B70" s="188" t="str">
        <f>IF(C69&lt;C70,"Not Testable","tR2")</f>
        <v>tR2</v>
      </c>
      <c r="C70" s="553">
        <f>IF(C69="","",TimesTest_R_V/$S21*I_Nom*(1+Delta_I))</f>
        <v>0.18540000000000001</v>
      </c>
      <c r="D70" s="554">
        <f>IF(D69="","",TimesTest_R_V_E/$S43*I_Nom*(1+Delta_I))</f>
        <v>0.37080000000000002</v>
      </c>
      <c r="E70" s="183">
        <f>E69</f>
        <v>1128</v>
      </c>
      <c r="F70" s="166"/>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c r="AE70" s="201"/>
      <c r="AF70" s="3"/>
      <c r="AG70" s="289">
        <f t="shared" si="49"/>
        <v>260.1551645204313</v>
      </c>
      <c r="AH70" s="809">
        <f>IF($S20="",AH69,COS(RADIANS($R20))*$S20)*Settings!$AI$25</f>
        <v>-9.2980575831272514</v>
      </c>
      <c r="AI70" s="809">
        <f>IF($S20="",AI69,SIN(RADIANS($R20))*$S20)*Settings!$AI$25</f>
        <v>-53.58</v>
      </c>
      <c r="AJ70" s="15"/>
      <c r="AK70" s="289">
        <f t="shared" si="48"/>
        <v>270</v>
      </c>
      <c r="AL70" s="809">
        <f>IF($S43="",AL69,COS(RADIANS($R43))*$S43*Settings!$AI$26)</f>
        <v>-8.8614987743540479E-15</v>
      </c>
      <c r="AM70" s="809">
        <f>IF($S43="",AM69,SIN(RADIANS($R43))*$S43*Settings!$AI$26)</f>
        <v>-48.22</v>
      </c>
      <c r="AN70" s="14"/>
      <c r="AO70" s="382">
        <f>SUM(AP72:AS72)</f>
        <v>4</v>
      </c>
      <c r="AP70" s="1202" t="s">
        <v>41</v>
      </c>
      <c r="AQ70" s="1202"/>
      <c r="AR70" s="1202"/>
      <c r="AS70" s="1203"/>
      <c r="AT70" s="3"/>
      <c r="AU70" s="114"/>
      <c r="AV70" s="105">
        <f>70/(3*(Settings!AB46/In))</f>
        <v>4666.666666666667</v>
      </c>
      <c r="AW70" s="228"/>
      <c r="AX70" s="3"/>
      <c r="AY70" s="3"/>
      <c r="AZ70" s="3"/>
      <c r="BA70" s="3"/>
      <c r="BB70" s="3"/>
      <c r="BC70" s="3"/>
      <c r="BD70" s="3"/>
      <c r="BE70" s="3"/>
      <c r="BF70" s="3"/>
      <c r="BG70" s="3"/>
      <c r="BH70" s="3"/>
      <c r="BI70" s="3"/>
      <c r="BJ70" s="3"/>
      <c r="BK70" s="3"/>
      <c r="BL70" s="3"/>
      <c r="BN70" s="3"/>
      <c r="BO70" s="3"/>
      <c r="BP70" s="3"/>
      <c r="BQ70" s="3"/>
      <c r="BR70" s="3"/>
      <c r="BS70" s="32">
        <f t="shared" si="46"/>
        <v>46.93442742318009</v>
      </c>
      <c r="BT70" s="32">
        <f t="shared" si="47"/>
        <v>-53.579999999999991</v>
      </c>
      <c r="BU70" s="3"/>
      <c r="BV70" s="233" t="e">
        <f>#REF!*$BW$4</f>
        <v>#REF!</v>
      </c>
      <c r="BW70" s="233" t="e">
        <f>#REF!*$BW$4</f>
        <v>#REF!</v>
      </c>
      <c r="BX70" s="3"/>
      <c r="BY70" s="3"/>
      <c r="BZ70" s="3"/>
      <c r="CA70" s="3"/>
    </row>
    <row r="71" spans="1:79" ht="14.25" thickBot="1">
      <c r="A71" s="206"/>
      <c r="B71" s="193" t="s">
        <v>682</v>
      </c>
      <c r="C71" s="553">
        <f>IF(C72=0,"",IF(C70="",C68,C70)*(1-Delta_I)^2)</f>
        <v>0.17444286000000001</v>
      </c>
      <c r="D71" s="554">
        <f>IF(D72=0,"",IF(D70="",D68,D70)*(1-Delta_I)^2)</f>
        <v>0.34888572000000001</v>
      </c>
      <c r="E71" s="193"/>
      <c r="F71" s="166"/>
      <c r="G71" s="166"/>
      <c r="H71" s="166"/>
      <c r="I71" s="208" t="s">
        <v>109</v>
      </c>
      <c r="J71" s="166"/>
      <c r="K71" s="194"/>
      <c r="L71" s="194"/>
      <c r="M71" s="194"/>
      <c r="N71" s="194"/>
      <c r="O71" s="194"/>
      <c r="P71" s="194"/>
      <c r="Q71" s="194"/>
      <c r="R71" s="194"/>
      <c r="S71" s="194"/>
      <c r="T71" s="194"/>
      <c r="U71" s="194"/>
      <c r="V71" s="194"/>
      <c r="W71" s="194"/>
      <c r="X71" s="194"/>
      <c r="Y71" s="194"/>
      <c r="Z71" s="194"/>
      <c r="AA71" s="194"/>
      <c r="AB71" s="194"/>
      <c r="AC71" s="194"/>
      <c r="AD71" s="194"/>
      <c r="AE71" s="209"/>
      <c r="AG71" s="289">
        <f t="shared" si="49"/>
        <v>270</v>
      </c>
      <c r="AH71" s="809">
        <f>IF($S21="",AH70,COS(RADIANS($R21))*$S21)*Settings!$AI$25</f>
        <v>-9.8465181321005781E-15</v>
      </c>
      <c r="AI71" s="809">
        <f>IF($S21="",AI70,SIN(RADIANS($R21))*$S21)*Settings!$AI$25</f>
        <v>-53.58</v>
      </c>
      <c r="AJ71" s="15">
        <v>10</v>
      </c>
      <c r="AK71" s="289">
        <f t="shared" si="48"/>
        <v>293.17280405960349</v>
      </c>
      <c r="AL71" s="809">
        <f>IF($S44="",AL70,COS(RADIANS($R44))*$S44*Settings!$AI$26)</f>
        <v>20.640031366702477</v>
      </c>
      <c r="AM71" s="809">
        <f>IF($S44="",AM70,SIN(RADIANS($R44))*$S44*Settings!$AI$26)</f>
        <v>-48.22</v>
      </c>
      <c r="AN71" s="14"/>
      <c r="AO71" s="378" t="s">
        <v>54</v>
      </c>
      <c r="AP71" s="76">
        <v>50</v>
      </c>
      <c r="AQ71" s="374">
        <v>50</v>
      </c>
      <c r="AR71" s="383">
        <v>50</v>
      </c>
      <c r="AS71" s="384">
        <v>50</v>
      </c>
      <c r="AT71" s="3"/>
      <c r="AU71" s="229"/>
      <c r="AV71" s="230"/>
      <c r="AW71" s="3"/>
      <c r="AX71" s="3"/>
      <c r="AY71" s="3"/>
      <c r="AZ71" s="3"/>
      <c r="BA71" s="3"/>
      <c r="BB71" s="3"/>
      <c r="BC71" s="3"/>
      <c r="BD71" s="3"/>
      <c r="BE71" s="3"/>
      <c r="BF71" s="3"/>
      <c r="BG71" s="3"/>
      <c r="BH71" s="3"/>
      <c r="BI71" s="3"/>
      <c r="BJ71" s="3"/>
      <c r="BK71" s="3"/>
      <c r="BL71" s="3"/>
      <c r="BN71" s="3"/>
      <c r="BO71" s="3"/>
      <c r="BP71" s="3"/>
      <c r="BQ71" s="3"/>
      <c r="BR71" s="3"/>
      <c r="BS71" s="32">
        <f t="shared" ref="BS71:BS81" si="50">AH75*$BW$4</f>
        <v>0</v>
      </c>
      <c r="BT71" s="32">
        <f t="shared" ref="BT71:BT81" si="51">AI75*$BW$4</f>
        <v>0</v>
      </c>
      <c r="BU71" s="3"/>
      <c r="BV71" s="233">
        <f t="shared" ref="BV71:BV81" si="52">AL74*$BW$4</f>
        <v>0</v>
      </c>
      <c r="BW71" s="233">
        <f t="shared" ref="BW71:BW81" si="53">AM74*$BW$4</f>
        <v>0</v>
      </c>
      <c r="BX71" s="3"/>
      <c r="BY71" s="3"/>
      <c r="BZ71" s="3"/>
      <c r="CA71" s="3"/>
    </row>
    <row r="72" spans="1:79" ht="13.5">
      <c r="A72" s="206"/>
      <c r="B72" s="219" t="s">
        <v>53</v>
      </c>
      <c r="C72" s="226">
        <f>TimesTest_R_V</f>
        <v>9.6443999999999992</v>
      </c>
      <c r="D72" s="453">
        <f>TimesTest_R_V_E</f>
        <v>17.359199999999998</v>
      </c>
      <c r="E72" s="193"/>
      <c r="F72" s="194"/>
      <c r="G72" s="194"/>
      <c r="H72" s="194"/>
      <c r="I72" s="166"/>
      <c r="J72" s="166"/>
      <c r="K72" s="194"/>
      <c r="L72" s="194"/>
      <c r="M72" s="191"/>
      <c r="N72" s="191"/>
      <c r="O72" s="191"/>
      <c r="P72" s="191"/>
      <c r="Q72" s="191"/>
      <c r="R72" s="191"/>
      <c r="S72" s="191"/>
      <c r="T72" s="191"/>
      <c r="U72" s="191"/>
      <c r="V72" s="191"/>
      <c r="W72" s="191"/>
      <c r="X72" s="191"/>
      <c r="Y72" s="191"/>
      <c r="Z72" s="191"/>
      <c r="AA72" s="191"/>
      <c r="AB72" s="191"/>
      <c r="AC72" s="191"/>
      <c r="AD72" s="191"/>
      <c r="AE72" s="210"/>
      <c r="AF72" s="16"/>
      <c r="AG72" s="289">
        <f t="shared" si="49"/>
        <v>290.60867994460727</v>
      </c>
      <c r="AH72" s="809">
        <f>IF($S22="",AH71,COS(RADIANS($R22))*$S22)*Settings!$AI$25</f>
        <v>20.148662325344617</v>
      </c>
      <c r="AI72" s="809">
        <f>IF($S22="",AI71,SIN(RADIANS($R22))*$S22)*Settings!$AI$25</f>
        <v>-53.58</v>
      </c>
      <c r="AJ72" s="15"/>
      <c r="AK72" s="289">
        <f t="shared" si="48"/>
        <v>316.34560811920699</v>
      </c>
      <c r="AL72" s="809">
        <f>IF($S45="",AL71,COS(RADIANS($R45))*$S45*Settings!$AI$26)</f>
        <v>50.539829980323717</v>
      </c>
      <c r="AM72" s="809">
        <f>IF($S45="",AM71,SIN(RADIANS($R45))*$S45*Settings!$AI$26)</f>
        <v>-48.22</v>
      </c>
      <c r="AN72" s="14"/>
      <c r="AO72" s="378" t="s">
        <v>55</v>
      </c>
      <c r="AP72" s="571">
        <f>50/AP71</f>
        <v>1</v>
      </c>
      <c r="AQ72" s="374">
        <f>50/AQ71</f>
        <v>1</v>
      </c>
      <c r="AR72" s="154">
        <f>50/AR71</f>
        <v>1</v>
      </c>
      <c r="AS72" s="380">
        <f>50/AS71</f>
        <v>1</v>
      </c>
      <c r="AT72" s="3"/>
      <c r="AU72" s="106" t="s">
        <v>24</v>
      </c>
      <c r="AV72" s="106" t="s">
        <v>108</v>
      </c>
      <c r="AW72" s="106"/>
      <c r="AX72" s="3"/>
      <c r="AY72" s="1189" t="s">
        <v>1028</v>
      </c>
      <c r="AZ72" s="1190"/>
      <c r="BA72" s="1191"/>
      <c r="BB72" s="3"/>
      <c r="BC72" s="1178" t="s">
        <v>989</v>
      </c>
      <c r="BD72" s="1179"/>
      <c r="BE72" s="1180"/>
      <c r="BF72" s="3"/>
      <c r="BG72" s="3"/>
      <c r="BH72" s="3"/>
      <c r="BI72" s="3"/>
      <c r="BJ72" s="3"/>
      <c r="BK72" s="3"/>
      <c r="BL72" s="3"/>
      <c r="BN72" s="3"/>
      <c r="BO72" s="3"/>
      <c r="BP72" s="3"/>
      <c r="BQ72" s="3"/>
      <c r="BR72" s="3"/>
      <c r="BS72" s="32">
        <f t="shared" si="50"/>
        <v>0</v>
      </c>
      <c r="BT72" s="32">
        <f t="shared" si="51"/>
        <v>0</v>
      </c>
      <c r="BU72" s="3"/>
      <c r="BV72" s="233">
        <f t="shared" si="52"/>
        <v>0</v>
      </c>
      <c r="BW72" s="233">
        <f t="shared" si="53"/>
        <v>0</v>
      </c>
      <c r="BX72" s="3"/>
      <c r="BY72" s="3"/>
      <c r="BZ72" s="3"/>
      <c r="CA72" s="3"/>
    </row>
    <row r="73" spans="1:79" ht="13.5">
      <c r="A73" s="206"/>
      <c r="B73" s="194"/>
      <c r="C73" s="194"/>
      <c r="D73" s="194"/>
      <c r="E73" s="194"/>
      <c r="F73" s="194"/>
      <c r="G73" s="194"/>
      <c r="H73" s="194"/>
      <c r="I73" s="194"/>
      <c r="J73" s="194"/>
      <c r="K73" s="194"/>
      <c r="L73" s="194"/>
      <c r="M73" s="165"/>
      <c r="N73" s="165"/>
      <c r="O73" s="165"/>
      <c r="P73" s="165"/>
      <c r="Q73" s="165"/>
      <c r="R73" s="165"/>
      <c r="S73" s="165"/>
      <c r="T73" s="165"/>
      <c r="U73" s="165"/>
      <c r="V73" s="165"/>
      <c r="W73" s="165"/>
      <c r="X73" s="165"/>
      <c r="Y73" s="165"/>
      <c r="Z73" s="165"/>
      <c r="AA73" s="165"/>
      <c r="AB73" s="165"/>
      <c r="AC73" s="165"/>
      <c r="AD73" s="165"/>
      <c r="AE73" s="207"/>
      <c r="AF73" s="14"/>
      <c r="AG73" s="289">
        <f t="shared" si="49"/>
        <v>311.21735988921461</v>
      </c>
      <c r="AH73" s="809">
        <f>IF($S23="",AH72,COS(RADIANS($R23))*$S23)*Settings!$AI$25</f>
        <v>46.93442742318009</v>
      </c>
      <c r="AI73" s="809">
        <f>IF($S23="",AI72,SIN(RADIANS($R23))*$S23)*Settings!$AI$25</f>
        <v>-53.579999999999991</v>
      </c>
      <c r="AJ73" s="15"/>
      <c r="AK73" s="289">
        <f t="shared" si="48"/>
        <v>325</v>
      </c>
      <c r="AL73" s="809">
        <f>IF($S46="",AL72,COS(RADIANS($R46))*$S46*Settings!$AI$26)</f>
        <v>38.104191304394426</v>
      </c>
      <c r="AM73" s="809">
        <f>IF($S46="",AM72,SIN(RADIANS($R46))*$S46*Settings!$AI$26)</f>
        <v>-26.680841988721873</v>
      </c>
      <c r="AN73" s="14"/>
      <c r="AO73" s="378" t="s">
        <v>687</v>
      </c>
      <c r="AP73" s="40">
        <f>IF(AP76/D21&lt;4,1.5,1.2)*(AP76*J_)/AP72</f>
        <v>7.02</v>
      </c>
      <c r="AQ73" s="373">
        <f>MIN(IF(AQ76/D43&lt;4,1.5,1.2)*(AQ76*Je_),65)/V_Scaler_E</f>
        <v>13.535999999999998</v>
      </c>
      <c r="AR73" s="219">
        <f>IF(AR76/D21&lt;4,1.5,1.2)*(AR76*J_)/AR72</f>
        <v>9.6443999999999992</v>
      </c>
      <c r="AS73" s="380">
        <f>IF(AS76/M43&lt;4,1.5,1.2)*(AS76*Je_)/AS72</f>
        <v>17.359199999999998</v>
      </c>
      <c r="AU73" s="107">
        <v>0</v>
      </c>
      <c r="AV73" s="108"/>
      <c r="AW73" s="108"/>
      <c r="AX73" s="3"/>
      <c r="AY73" s="830" t="s">
        <v>1025</v>
      </c>
      <c r="AZ73" s="220" t="s">
        <v>1032</v>
      </c>
      <c r="BA73" s="732">
        <f>7.5/In*SIN(RADIANS(90+ZBS))/(SIN(RADIANS(180-ZBS-$AZ$80)))*2</f>
        <v>30.737860222275309</v>
      </c>
      <c r="BC73" s="728" t="s">
        <v>917</v>
      </c>
      <c r="BD73" s="690">
        <f>BRLS+X_4/TAN(RADIANS(180-BRLS_ang))</f>
        <v>11.11769145362398</v>
      </c>
      <c r="BE73" s="730">
        <f>BRLS*SIN(RADIANS(BRLS_ang))/SIN(RADIANS(180-BRLS_ang-(360-BE74)))</f>
        <v>9.4659169751133572</v>
      </c>
      <c r="BS73" s="32">
        <f t="shared" si="50"/>
        <v>0</v>
      </c>
      <c r="BT73" s="32">
        <f t="shared" si="51"/>
        <v>0</v>
      </c>
      <c r="BV73" s="233">
        <f t="shared" si="52"/>
        <v>0</v>
      </c>
      <c r="BW73" s="233">
        <f t="shared" si="53"/>
        <v>0</v>
      </c>
    </row>
    <row r="74" spans="1:79" ht="13.5">
      <c r="A74" s="206"/>
      <c r="B74" s="194"/>
      <c r="C74" s="194"/>
      <c r="D74" s="194"/>
      <c r="E74" s="194"/>
      <c r="F74" s="194"/>
      <c r="G74" s="194"/>
      <c r="H74" s="194"/>
      <c r="I74" s="194"/>
      <c r="J74" s="194"/>
      <c r="K74" s="194"/>
      <c r="L74" s="194"/>
      <c r="M74" s="165"/>
      <c r="N74" s="165"/>
      <c r="O74" s="165"/>
      <c r="P74" s="165"/>
      <c r="Q74" s="165"/>
      <c r="R74" s="165"/>
      <c r="S74" s="165"/>
      <c r="T74" s="165"/>
      <c r="U74" s="165"/>
      <c r="V74" s="165"/>
      <c r="W74" s="165"/>
      <c r="X74" s="165"/>
      <c r="Y74" s="165"/>
      <c r="Z74" s="165"/>
      <c r="AA74" s="165"/>
      <c r="AB74" s="165"/>
      <c r="AC74" s="165"/>
      <c r="AD74" s="165"/>
      <c r="AE74" s="207"/>
      <c r="AF74" s="14"/>
      <c r="AG74" s="289">
        <f t="shared" si="49"/>
        <v>325</v>
      </c>
      <c r="AH74" s="809">
        <f>IF($S24="",AH73,COS(RADIANS($R24))*$S24)*Settings!$AI$25</f>
        <v>26.857579774022504</v>
      </c>
      <c r="AI74" s="809">
        <f>IF($S24="",AI73,SIN(RADIANS($R24))*$S24)*Settings!$AI$25</f>
        <v>-18.805879815839209</v>
      </c>
      <c r="AJ74" s="15"/>
      <c r="AK74" s="286">
        <v>10</v>
      </c>
      <c r="AL74" s="807">
        <f>10*0</f>
        <v>0</v>
      </c>
      <c r="AM74" s="807">
        <f>10*0</f>
        <v>0</v>
      </c>
      <c r="AN74" s="14"/>
      <c r="AO74" s="378" t="s">
        <v>42</v>
      </c>
      <c r="AP74" s="40">
        <f>DEGREES(ATAN(TimesTestV/60))</f>
        <v>6.6732664532799086</v>
      </c>
      <c r="AQ74" s="373"/>
      <c r="AR74" s="154">
        <f>DEGREES(ATAN(TimesTest_R_V/60))</f>
        <v>9.1316127001977403</v>
      </c>
      <c r="AS74" s="380"/>
      <c r="AU74" s="109">
        <v>90</v>
      </c>
      <c r="AV74" s="108"/>
      <c r="AW74" s="108"/>
      <c r="AX74" s="3"/>
      <c r="AY74" s="830" t="s">
        <v>1046</v>
      </c>
      <c r="AZ74" s="220">
        <f>180-ABS(DEGREES(ATAN(BA76/AZ76)))</f>
        <v>128.21900962126432</v>
      </c>
      <c r="BA74" s="732">
        <f>SQRT(AZ76^2+BA76^2)</f>
        <v>19.296083111549006</v>
      </c>
      <c r="BC74" s="728" t="s">
        <v>56</v>
      </c>
      <c r="BD74" s="731">
        <f>360-DEGREES(ATAN(X_4/BD73))</f>
        <v>334.09358191536069</v>
      </c>
      <c r="BE74" s="733">
        <f>360-(360-BD74)/2</f>
        <v>347.04679095768034</v>
      </c>
      <c r="BS74" s="32">
        <f t="shared" si="50"/>
        <v>0</v>
      </c>
      <c r="BT74" s="32">
        <f t="shared" si="51"/>
        <v>0</v>
      </c>
      <c r="BV74" s="233">
        <f t="shared" si="52"/>
        <v>0</v>
      </c>
      <c r="BW74" s="233">
        <f t="shared" si="53"/>
        <v>0</v>
      </c>
    </row>
    <row r="75" spans="1:79" ht="14.25" thickBot="1">
      <c r="A75" s="206"/>
      <c r="B75" s="194"/>
      <c r="C75" s="194"/>
      <c r="D75" s="194"/>
      <c r="E75" s="194"/>
      <c r="F75" s="194"/>
      <c r="G75" s="194"/>
      <c r="H75" s="194"/>
      <c r="I75" s="194"/>
      <c r="J75" s="194"/>
      <c r="K75" s="194"/>
      <c r="L75" s="194"/>
      <c r="M75" s="165"/>
      <c r="N75" s="165"/>
      <c r="O75" s="165"/>
      <c r="P75" s="165"/>
      <c r="Q75" s="165"/>
      <c r="R75" s="165"/>
      <c r="S75" s="165"/>
      <c r="T75" s="165"/>
      <c r="U75" s="165"/>
      <c r="V75" s="165"/>
      <c r="W75" s="165"/>
      <c r="X75" s="165"/>
      <c r="Y75" s="165"/>
      <c r="Z75" s="165"/>
      <c r="AA75" s="165"/>
      <c r="AB75" s="165"/>
      <c r="AC75" s="165"/>
      <c r="AD75" s="165"/>
      <c r="AE75" s="207"/>
      <c r="AF75" s="14"/>
      <c r="AG75" s="286" t="s">
        <v>358</v>
      </c>
      <c r="AH75" s="807">
        <f t="shared" ref="AH75:AH87" si="54">COS(RADIANS($AA13))*$AB13*0</f>
        <v>0</v>
      </c>
      <c r="AI75" s="807">
        <f t="shared" ref="AI75:AI87" si="55">SIN(RADIANS($AA13))*$AB13*0</f>
        <v>0</v>
      </c>
      <c r="AJ75" s="15"/>
      <c r="AK75" s="286">
        <f t="shared" ref="AK75:AK85" si="56">AA36</f>
        <v>-12.5</v>
      </c>
      <c r="AL75" s="807">
        <f t="shared" ref="AL75:AL85" si="57">IF($AB36="",AL74,COS(RADIANS($AA36))*$AB36)*0</f>
        <v>0</v>
      </c>
      <c r="AM75" s="807">
        <f t="shared" ref="AM75:AM85" si="58">IF($AB36="",AM74,SIN(RADIANS($AA36))*$AB36)*0</f>
        <v>0</v>
      </c>
      <c r="AN75" s="14"/>
      <c r="AO75" s="378" t="s">
        <v>43</v>
      </c>
      <c r="AP75" s="40">
        <f>TimesTestV/2/SIN(RADIANS(AP74))</f>
        <v>30.204637061219593</v>
      </c>
      <c r="AQ75" s="373"/>
      <c r="AR75" s="154">
        <f>TimesTest_R_V/2/SIN(RADIANS(AR74))</f>
        <v>30.385088659406609</v>
      </c>
      <c r="AS75" s="380"/>
      <c r="AU75" s="107">
        <v>180</v>
      </c>
      <c r="AV75" s="110"/>
      <c r="AW75" s="110"/>
      <c r="AX75" s="3"/>
      <c r="AY75" s="830"/>
      <c r="AZ75" s="219"/>
      <c r="BA75" s="732">
        <f>2*BRRS*SIN(RADIANS(Slope))/SIN(RADIANS($AZ$80-Slope))</f>
        <v>20.174825833472866</v>
      </c>
      <c r="BC75" s="729" t="s">
        <v>935</v>
      </c>
      <c r="BD75" s="734">
        <f>360-ZBS-DirDelta</f>
        <v>325</v>
      </c>
      <c r="BE75" s="735">
        <f>SIN(RADIANS(BRLS_ang))*2*BRLS/SIN(RADIANS((BD75-180-BRLS_ang)))</f>
        <v>32.787050903760331</v>
      </c>
      <c r="BS75" s="32">
        <f t="shared" si="50"/>
        <v>0</v>
      </c>
      <c r="BT75" s="32">
        <f t="shared" si="51"/>
        <v>0</v>
      </c>
      <c r="BV75" s="233">
        <f t="shared" si="52"/>
        <v>0</v>
      </c>
      <c r="BW75" s="233">
        <f t="shared" si="53"/>
        <v>0</v>
      </c>
    </row>
    <row r="76" spans="1:79" ht="13.5">
      <c r="A76" s="211"/>
      <c r="B76" s="212"/>
      <c r="C76" s="212"/>
      <c r="D76" s="212"/>
      <c r="E76" s="212"/>
      <c r="F76" s="212"/>
      <c r="G76" s="212"/>
      <c r="H76" s="212"/>
      <c r="I76" s="212"/>
      <c r="J76" s="212"/>
      <c r="K76" s="212"/>
      <c r="L76" s="212"/>
      <c r="M76" s="192"/>
      <c r="N76" s="192"/>
      <c r="O76" s="192"/>
      <c r="P76" s="192"/>
      <c r="Q76" s="192"/>
      <c r="R76" s="192"/>
      <c r="S76" s="192"/>
      <c r="T76" s="192"/>
      <c r="U76" s="192"/>
      <c r="V76" s="192"/>
      <c r="W76" s="192"/>
      <c r="X76" s="192"/>
      <c r="Y76" s="192"/>
      <c r="Z76" s="192"/>
      <c r="AA76" s="192"/>
      <c r="AB76" s="192"/>
      <c r="AC76" s="192"/>
      <c r="AD76" s="192"/>
      <c r="AE76" s="213"/>
      <c r="AF76" s="14"/>
      <c r="AG76" s="286">
        <f t="shared" ref="AG76:AG86" si="59">AA14</f>
        <v>-12.5</v>
      </c>
      <c r="AH76" s="807">
        <f t="shared" si="54"/>
        <v>0</v>
      </c>
      <c r="AI76" s="807">
        <f t="shared" si="55"/>
        <v>0</v>
      </c>
      <c r="AJ76" s="15"/>
      <c r="AK76" s="286">
        <f t="shared" si="56"/>
        <v>0</v>
      </c>
      <c r="AL76" s="807">
        <f t="shared" si="57"/>
        <v>0</v>
      </c>
      <c r="AM76" s="807">
        <f t="shared" si="58"/>
        <v>0</v>
      </c>
      <c r="AN76" s="14"/>
      <c r="AO76" s="378" t="s">
        <v>685</v>
      </c>
      <c r="AP76" s="40">
        <f>MAX(IF(Settings!C103="Forward",X_1,0),IF(Settings!E103="Forward",X_2,0),IF(Settings!F103="Forward",X_3,0),IF(Settings!G103="Forward",X_4,0),IF(Settings!H103="Forward",X_5,0))*2</f>
        <v>39</v>
      </c>
      <c r="AQ76" s="373">
        <f>MAX(IF(Settings!C103="Forward",EX_1,0),IF(Settings!E103="Forward",EX_2,0),IF(Settings!F103="Forward",EX_3,0),IF(Settings!G103="Forward",EX_4,0),IF(Settings!H103="Forward",EX_5,0))</f>
        <v>37.6</v>
      </c>
      <c r="AR76" s="154">
        <f>MAX(IF(Settings!C103="Reverse",X_1,0),IF(Settings!E103="Reverse",X_2,0),IF(Settings!F103="Reverse",X_3,0),IF(Settings!G103="Reverse",X_4,0),IF(Settings!H103="Reverse",X_5,0))*2</f>
        <v>53.58</v>
      </c>
      <c r="AS76" s="380">
        <f>MAX(IF(Settings!C103="Reverse",EX_1,0),IF(Settings!E103="Reverse",EX_2,0),IF(Settings!F103="Reverse",EX_3,0),IF(Settings!G103="Reverse",EX_4,0),IF(Settings!H103="Reverse",EX_5,0))</f>
        <v>48.22</v>
      </c>
      <c r="AU76" s="142">
        <v>270</v>
      </c>
      <c r="AV76" s="143"/>
      <c r="AW76" s="141"/>
      <c r="AX76" s="3"/>
      <c r="AY76" s="830" t="s">
        <v>934</v>
      </c>
      <c r="AZ76" s="485">
        <f>-(2*BRRS-(2*X_1/TAN(RADIANS(Slope))))</f>
        <v>-11.93789024274418</v>
      </c>
      <c r="BA76" s="732">
        <f>2*X_1</f>
        <v>15.16</v>
      </c>
      <c r="BC76" s="1181" t="s">
        <v>990</v>
      </c>
      <c r="BD76" s="1182"/>
      <c r="BE76" s="1183"/>
      <c r="BS76" s="32">
        <f t="shared" si="50"/>
        <v>0</v>
      </c>
      <c r="BT76" s="32">
        <f t="shared" si="51"/>
        <v>0</v>
      </c>
      <c r="BV76" s="233">
        <f t="shared" si="52"/>
        <v>0</v>
      </c>
      <c r="BW76" s="233">
        <f t="shared" si="53"/>
        <v>0</v>
      </c>
    </row>
    <row r="77" spans="1:79" ht="13.5">
      <c r="AC77" s="14"/>
      <c r="AD77" s="14"/>
      <c r="AE77" s="14"/>
      <c r="AF77" s="14"/>
      <c r="AG77" s="286">
        <f t="shared" si="59"/>
        <v>0</v>
      </c>
      <c r="AH77" s="807">
        <f t="shared" si="54"/>
        <v>0</v>
      </c>
      <c r="AI77" s="807">
        <f t="shared" si="55"/>
        <v>0</v>
      </c>
      <c r="AJ77" s="15"/>
      <c r="AK77" s="286">
        <f t="shared" si="56"/>
        <v>4.5</v>
      </c>
      <c r="AL77" s="807">
        <f t="shared" si="57"/>
        <v>0</v>
      </c>
      <c r="AM77" s="807">
        <f t="shared" si="58"/>
        <v>0</v>
      </c>
      <c r="AN77" s="14"/>
      <c r="AO77" s="378" t="s">
        <v>686</v>
      </c>
      <c r="AP77" s="40">
        <f>MAX(IF(Settings!C103="Forward",D15,0),IF(Settings!E103="Forward",J15,0),IF(Settings!F103="Forward",M15,0),IF(Settings!G103="Forward",P15,0),IF(Settings!H103="Forward",S15,0))</f>
        <v>50</v>
      </c>
      <c r="AQ77" s="373">
        <f>MAX(IF(Settings!C103="Forward",D37,0),IF(Settings!E103="Forward",J37,0),IF(Settings!F103="Forward",M37,0),IF(Settings!G103="Forward",P37,0),IF(Settings!H103="Forward",S37,0))</f>
        <v>100</v>
      </c>
      <c r="AR77" s="154">
        <f>MAX(IF(Settings!C103="Reverse",X_1,0),IF(Settings!E103="Reverse",X_2,0),IF(Settings!F103="Reverse",X_3,0),IF(Settings!G103="Reverse",X_4,0),IF(Settings!H103="Reverse",X_5,0))</f>
        <v>26.79</v>
      </c>
      <c r="AS77" s="380">
        <f>MAX(IF(Settings!C103="Reverse",D37,0),IF(Settings!E103="Reverse",J37,0),IF(Settings!F103="Reverse",M37,0),IF(Settings!G103="Reverse",P37,0),IF(Settings!H103="Reverse",S37,0))</f>
        <v>22.7</v>
      </c>
      <c r="AU77" s="144"/>
      <c r="AV77" s="145"/>
      <c r="AW77" s="112"/>
      <c r="AX77" s="3"/>
      <c r="AY77" s="830" t="s">
        <v>608</v>
      </c>
      <c r="AZ77" s="485">
        <f>IF(AZ74&lt;AZ78,AZ78,AZ74)</f>
        <v>128.21900962126432</v>
      </c>
      <c r="BA77" s="732">
        <f>IF(AZ74&lt;AZ78,MIN(Z_Blinder,BA75),BA74)</f>
        <v>19.296083111549006</v>
      </c>
      <c r="BC77" s="736" t="s">
        <v>917</v>
      </c>
      <c r="BD77" s="691">
        <f>BRLS+X_5/TAN(RADIANS(180-BRLS_ang))</f>
        <v>23.467213711590077</v>
      </c>
      <c r="BE77" s="737">
        <f>BRLS*SIN(RADIANS(BRLS_ang))/SIN(RADIANS(180-BRLS_ang-(360-BE78)))</f>
        <v>11.899096821841306</v>
      </c>
      <c r="BS77" s="32">
        <f t="shared" si="50"/>
        <v>0</v>
      </c>
      <c r="BT77" s="32">
        <f t="shared" si="51"/>
        <v>0</v>
      </c>
      <c r="BV77" s="233">
        <f t="shared" si="52"/>
        <v>0</v>
      </c>
      <c r="BW77" s="233">
        <f t="shared" si="53"/>
        <v>0</v>
      </c>
    </row>
    <row r="78" spans="1:79" ht="14.25" thickBot="1">
      <c r="AC78" s="14"/>
      <c r="AD78" s="14"/>
      <c r="AE78" s="14"/>
      <c r="AF78" s="14"/>
      <c r="AG78" s="286">
        <f t="shared" si="59"/>
        <v>9.3521074681554079</v>
      </c>
      <c r="AH78" s="807">
        <f t="shared" si="54"/>
        <v>0</v>
      </c>
      <c r="AI78" s="807">
        <f t="shared" si="55"/>
        <v>0</v>
      </c>
      <c r="AJ78" s="15"/>
      <c r="AK78" s="286">
        <f t="shared" si="56"/>
        <v>9</v>
      </c>
      <c r="AL78" s="807">
        <f t="shared" si="57"/>
        <v>0</v>
      </c>
      <c r="AM78" s="807">
        <f t="shared" si="58"/>
        <v>0</v>
      </c>
      <c r="AN78" s="14"/>
      <c r="AO78" s="379" t="s">
        <v>688</v>
      </c>
      <c r="AP78" s="375"/>
      <c r="AQ78" s="376">
        <f>MIN(63,Je_*AQ77*1.1)</f>
        <v>26.400000000000002</v>
      </c>
      <c r="AR78" s="377"/>
      <c r="AS78" s="381">
        <f>MIN(63,Je_*AS77*1.1)</f>
        <v>5.9927999999999999</v>
      </c>
      <c r="AU78" s="254" t="s">
        <v>404</v>
      </c>
      <c r="AV78" s="140">
        <f>MAX(P35:P45,S35:S45)*1.1</f>
        <v>76.838309491245539</v>
      </c>
      <c r="AW78" s="115"/>
      <c r="AX78" s="3"/>
      <c r="AY78" s="830" t="s">
        <v>1026</v>
      </c>
      <c r="AZ78" s="220">
        <f>BFLS+DirDelta</f>
        <v>125</v>
      </c>
      <c r="BA78" s="732">
        <f>2*X_1/COS(RADIANS($AZ$80-90))</f>
        <v>18.506942765623673</v>
      </c>
      <c r="BC78" s="736" t="s">
        <v>56</v>
      </c>
      <c r="BD78" s="741">
        <f>360-DEGREES(ATAN(X_5/BD77))</f>
        <v>311.21735988921461</v>
      </c>
      <c r="BE78" s="738">
        <f>360-(360-BD78)/2</f>
        <v>335.60867994460727</v>
      </c>
      <c r="BS78" s="32">
        <f t="shared" si="50"/>
        <v>0</v>
      </c>
      <c r="BT78" s="32">
        <f t="shared" si="51"/>
        <v>0</v>
      </c>
      <c r="BV78" s="233">
        <f t="shared" si="52"/>
        <v>0</v>
      </c>
      <c r="BW78" s="233">
        <f t="shared" si="53"/>
        <v>0</v>
      </c>
    </row>
    <row r="79" spans="1:79" ht="14.25" thickBot="1">
      <c r="C79" s="14"/>
      <c r="D79" s="14"/>
      <c r="E79" s="14"/>
      <c r="F79" s="14"/>
      <c r="G79" s="14"/>
      <c r="H79" s="14"/>
      <c r="I79" s="14"/>
      <c r="J79" s="14"/>
      <c r="K79" s="14"/>
      <c r="L79" s="14"/>
      <c r="M79" s="14"/>
      <c r="N79" s="14"/>
      <c r="O79" s="14"/>
      <c r="P79" s="14"/>
      <c r="Q79" s="14"/>
      <c r="R79" s="14"/>
      <c r="T79" s="14"/>
      <c r="U79" s="14"/>
      <c r="W79" s="14"/>
      <c r="X79" s="14"/>
      <c r="AB79" s="14"/>
      <c r="AC79" s="14"/>
      <c r="AD79" s="14"/>
      <c r="AE79" s="14"/>
      <c r="AF79" s="14"/>
      <c r="AG79" s="286">
        <f t="shared" si="59"/>
        <v>18.704214936310816</v>
      </c>
      <c r="AH79" s="807">
        <f t="shared" si="54"/>
        <v>0</v>
      </c>
      <c r="AI79" s="807">
        <f t="shared" si="55"/>
        <v>0</v>
      </c>
      <c r="AJ79" s="7"/>
      <c r="AK79" s="286">
        <f t="shared" si="56"/>
        <v>10.929909476122836</v>
      </c>
      <c r="AL79" s="807">
        <f t="shared" si="57"/>
        <v>0</v>
      </c>
      <c r="AM79" s="807">
        <f t="shared" si="58"/>
        <v>0</v>
      </c>
      <c r="AU79" s="3"/>
      <c r="AV79" s="69"/>
      <c r="AW79" s="3"/>
      <c r="AX79" s="3"/>
      <c r="AY79" s="830" t="s">
        <v>1027</v>
      </c>
      <c r="AZ79" s="220" t="s">
        <v>1029</v>
      </c>
      <c r="BA79" s="732">
        <f>2*BRRS*SIN(RADIANS(Slope))/SIN(RADIANS(AZ78-Slope))</f>
        <v>20.174825833472866</v>
      </c>
      <c r="BB79" s="3"/>
      <c r="BC79" s="739" t="s">
        <v>935</v>
      </c>
      <c r="BD79" s="742">
        <f>360-ZBS-DirDelta</f>
        <v>325</v>
      </c>
      <c r="BE79" s="740">
        <f>SIN(RADIANS(BRLS_ang))*2*BRLS/SIN(RADIANS((BD79-180-BRLS_ang)))</f>
        <v>32.787050903760331</v>
      </c>
      <c r="BS79" s="32">
        <f t="shared" si="50"/>
        <v>0</v>
      </c>
      <c r="BT79" s="32">
        <f t="shared" si="51"/>
        <v>0</v>
      </c>
      <c r="BV79" s="233">
        <f t="shared" si="52"/>
        <v>0</v>
      </c>
      <c r="BW79" s="233">
        <f t="shared" si="53"/>
        <v>0</v>
      </c>
    </row>
    <row r="80" spans="1:79" ht="14.25" thickBot="1">
      <c r="A80" s="14"/>
      <c r="B80" s="14"/>
      <c r="C80" s="14"/>
      <c r="D80" s="14"/>
      <c r="E80" s="14"/>
      <c r="F80" s="14"/>
      <c r="G80" s="14"/>
      <c r="H80" s="14"/>
      <c r="I80" s="14"/>
      <c r="J80" s="14"/>
      <c r="K80" s="14"/>
      <c r="L80" s="14"/>
      <c r="M80" s="14"/>
      <c r="N80" s="14"/>
      <c r="O80" s="14"/>
      <c r="P80" s="14"/>
      <c r="Q80" s="14"/>
      <c r="R80" s="14"/>
      <c r="T80" s="14"/>
      <c r="U80" s="14"/>
      <c r="W80" s="14"/>
      <c r="X80" s="14"/>
      <c r="AB80" s="14"/>
      <c r="AC80" s="14"/>
      <c r="AD80" s="14"/>
      <c r="AE80" s="14"/>
      <c r="AF80" s="14"/>
      <c r="AG80" s="286">
        <f t="shared" si="59"/>
        <v>28.056322404466226</v>
      </c>
      <c r="AH80" s="807">
        <f t="shared" si="54"/>
        <v>0</v>
      </c>
      <c r="AI80" s="807">
        <f t="shared" si="55"/>
        <v>0</v>
      </c>
      <c r="AJ80" s="7"/>
      <c r="AK80" s="286">
        <f t="shared" si="56"/>
        <v>13</v>
      </c>
      <c r="AL80" s="807">
        <f t="shared" si="57"/>
        <v>0</v>
      </c>
      <c r="AM80" s="807">
        <f t="shared" si="58"/>
        <v>0</v>
      </c>
      <c r="AY80" s="840" t="s">
        <v>1034</v>
      </c>
      <c r="AZ80" s="841">
        <f>(BFLS+DirDelta)</f>
        <v>125</v>
      </c>
      <c r="BA80" s="842">
        <f>MIN(BA73,BA78,BA79)</f>
        <v>18.506942765623673</v>
      </c>
      <c r="BS80" s="32">
        <f t="shared" si="50"/>
        <v>0</v>
      </c>
      <c r="BT80" s="32">
        <f t="shared" si="51"/>
        <v>0</v>
      </c>
      <c r="BV80" s="233">
        <f t="shared" si="52"/>
        <v>0</v>
      </c>
      <c r="BW80" s="233">
        <f t="shared" si="53"/>
        <v>0</v>
      </c>
    </row>
    <row r="81" spans="1:75" ht="14.25" thickBot="1">
      <c r="A81" s="14"/>
      <c r="R81" s="14"/>
      <c r="S81" s="14"/>
      <c r="U81" s="14"/>
      <c r="X81" s="14"/>
      <c r="AB81" s="14"/>
      <c r="AC81" s="14"/>
      <c r="AD81" s="14"/>
      <c r="AE81" s="14"/>
      <c r="AF81" s="14"/>
      <c r="AG81" s="286">
        <f t="shared" si="59"/>
        <v>48.704214936310819</v>
      </c>
      <c r="AH81" s="807">
        <f t="shared" si="54"/>
        <v>0</v>
      </c>
      <c r="AI81" s="807">
        <f t="shared" si="55"/>
        <v>0</v>
      </c>
      <c r="AJ81" s="7"/>
      <c r="AK81" s="286">
        <f t="shared" si="56"/>
        <v>51.5</v>
      </c>
      <c r="AL81" s="807">
        <f t="shared" si="57"/>
        <v>0</v>
      </c>
      <c r="AM81" s="807">
        <f t="shared" si="58"/>
        <v>0</v>
      </c>
      <c r="AO81" s="444" t="s">
        <v>671</v>
      </c>
      <c r="AP81" s="444" t="str">
        <f>IF(OR(C53&gt;C52,D53&gt;D52),"Error","OK")</f>
        <v>OK</v>
      </c>
      <c r="AY81" s="845" t="s">
        <v>1045</v>
      </c>
      <c r="AZ81" s="831">
        <f>-ABS((X_1-7.5/In)/TAN(RADIANS(ZBS))*2)</f>
        <v>-0.27712812921102065</v>
      </c>
      <c r="BA81" s="832">
        <f>X_1*2</f>
        <v>15.16</v>
      </c>
      <c r="BS81" s="32">
        <f t="shared" si="50"/>
        <v>0</v>
      </c>
      <c r="BT81" s="32">
        <f t="shared" si="51"/>
        <v>0</v>
      </c>
      <c r="BV81" s="233">
        <f t="shared" si="52"/>
        <v>0</v>
      </c>
      <c r="BW81" s="233">
        <f t="shared" si="53"/>
        <v>0</v>
      </c>
    </row>
    <row r="82" spans="1:75" ht="14.25" thickBot="1">
      <c r="A82" s="14"/>
      <c r="AE82" s="14"/>
      <c r="AF82" s="14"/>
      <c r="AG82" s="286">
        <f t="shared" si="59"/>
        <v>69.35210746815541</v>
      </c>
      <c r="AH82" s="807">
        <f t="shared" si="54"/>
        <v>0</v>
      </c>
      <c r="AI82" s="807">
        <f t="shared" si="55"/>
        <v>0</v>
      </c>
      <c r="AJ82" s="7"/>
      <c r="AK82" s="286">
        <f t="shared" si="56"/>
        <v>90</v>
      </c>
      <c r="AL82" s="807">
        <f t="shared" si="57"/>
        <v>0</v>
      </c>
      <c r="AM82" s="807">
        <f t="shared" si="58"/>
        <v>0</v>
      </c>
      <c r="AW82" s="818"/>
      <c r="AY82" s="847" t="s">
        <v>1030</v>
      </c>
      <c r="AZ82" s="848">
        <f>180+DEGREES(ATAN(BA81/AZ81))</f>
        <v>91.04726278897374</v>
      </c>
      <c r="BA82" s="850">
        <f>SQRT(AZ81^2+BA81^2)</f>
        <v>15.162532769956345</v>
      </c>
      <c r="BC82" s="1178" t="s">
        <v>991</v>
      </c>
      <c r="BD82" s="1179"/>
      <c r="BE82" s="1180"/>
      <c r="BS82" s="32">
        <f t="shared" ref="BS82:BT87" si="60">AH99*$BW$4</f>
        <v>0</v>
      </c>
      <c r="BT82" s="32">
        <f t="shared" si="60"/>
        <v>0</v>
      </c>
      <c r="BV82" s="233">
        <f t="shared" ref="BV82:BW86" si="61">AL99*$BW$4</f>
        <v>57.86940528215321</v>
      </c>
      <c r="BW82" s="233">
        <f t="shared" si="61"/>
        <v>-26.98494685594337</v>
      </c>
    </row>
    <row r="83" spans="1:75" ht="13.5">
      <c r="A83" s="14"/>
      <c r="AE83" s="14"/>
      <c r="AF83" s="14"/>
      <c r="AG83" s="286">
        <f t="shared" si="59"/>
        <v>90</v>
      </c>
      <c r="AH83" s="807">
        <f t="shared" si="54"/>
        <v>0</v>
      </c>
      <c r="AI83" s="807">
        <f t="shared" si="55"/>
        <v>0</v>
      </c>
      <c r="AJ83" s="7"/>
      <c r="AK83" s="286">
        <f t="shared" si="56"/>
        <v>102.5</v>
      </c>
      <c r="AL83" s="807">
        <f t="shared" si="57"/>
        <v>0</v>
      </c>
      <c r="AM83" s="807">
        <f t="shared" si="58"/>
        <v>0</v>
      </c>
      <c r="AO83" s="794" t="s">
        <v>987</v>
      </c>
      <c r="AP83" s="794"/>
      <c r="AQ83" s="566">
        <f>Un/1.732*UVCV*0.95</f>
        <v>28.52193995381062</v>
      </c>
      <c r="AY83" s="843" t="s">
        <v>1031</v>
      </c>
      <c r="AZ83" s="844"/>
      <c r="BA83" s="851">
        <f>(7.5/In)/TAN(RADIANS(ZBS))</f>
        <v>12.99038105676658</v>
      </c>
      <c r="BC83" s="728" t="s">
        <v>917</v>
      </c>
      <c r="BD83" s="690">
        <f>BRLG+EX_4/TAN(RADIANS(180-BRLG_Ang))</f>
        <v>30.152822174879152</v>
      </c>
      <c r="BE83" s="730">
        <f>BRLG*SIN(RADIANS(BRLG_Ang))/SIN(RADIANS(180-BRLG_Ang-(360-BE84)))</f>
        <v>26.284028486419356</v>
      </c>
      <c r="BS83" s="32">
        <f t="shared" si="60"/>
        <v>0</v>
      </c>
      <c r="BT83" s="32">
        <f t="shared" si="60"/>
        <v>0</v>
      </c>
      <c r="BV83" s="233">
        <f t="shared" si="61"/>
        <v>65.099999999999994</v>
      </c>
      <c r="BW83" s="233">
        <f t="shared" si="61"/>
        <v>0</v>
      </c>
    </row>
    <row r="84" spans="1:75" ht="13.5">
      <c r="A84" s="14"/>
      <c r="AE84" s="14"/>
      <c r="AF84" s="14"/>
      <c r="AG84" s="286">
        <f t="shared" si="59"/>
        <v>102.5</v>
      </c>
      <c r="AH84" s="807">
        <f t="shared" si="54"/>
        <v>0</v>
      </c>
      <c r="AI84" s="807">
        <f t="shared" si="55"/>
        <v>0</v>
      </c>
      <c r="AJ84" s="7"/>
      <c r="AK84" s="286">
        <f t="shared" si="56"/>
        <v>115</v>
      </c>
      <c r="AL84" s="807">
        <f t="shared" si="57"/>
        <v>0</v>
      </c>
      <c r="AM84" s="807">
        <f t="shared" si="58"/>
        <v>0</v>
      </c>
      <c r="AY84" s="827"/>
      <c r="AZ84" s="220"/>
      <c r="BA84" s="732">
        <f>BA83+BRRS</f>
        <v>20.99038105676658</v>
      </c>
      <c r="BC84" s="728" t="s">
        <v>56</v>
      </c>
      <c r="BD84" s="731">
        <f>360-DEGREES(ATAN(EX_4/BD83))</f>
        <v>336.82384188840507</v>
      </c>
      <c r="BE84" s="733">
        <f>360-(360-BD84)/2</f>
        <v>348.41192094420251</v>
      </c>
      <c r="BS84" s="32">
        <f t="shared" si="60"/>
        <v>0</v>
      </c>
      <c r="BT84" s="32">
        <f t="shared" si="60"/>
        <v>0</v>
      </c>
      <c r="BV84" s="233">
        <f t="shared" si="61"/>
        <v>68.328284029656061</v>
      </c>
      <c r="BW84" s="233">
        <f t="shared" si="61"/>
        <v>12.048120019939679</v>
      </c>
    </row>
    <row r="85" spans="1:75" ht="14.25" thickBot="1">
      <c r="A85" s="14"/>
      <c r="AE85" s="14"/>
      <c r="AF85" s="14"/>
      <c r="AG85" s="286">
        <f t="shared" si="59"/>
        <v>115</v>
      </c>
      <c r="AH85" s="807">
        <f t="shared" si="54"/>
        <v>0</v>
      </c>
      <c r="AI85" s="807">
        <f t="shared" si="55"/>
        <v>0</v>
      </c>
      <c r="AJ85" s="7"/>
      <c r="AK85" s="286">
        <f t="shared" si="56"/>
        <v>0</v>
      </c>
      <c r="AL85" s="807">
        <f t="shared" si="57"/>
        <v>0</v>
      </c>
      <c r="AM85" s="807">
        <f t="shared" si="58"/>
        <v>0</v>
      </c>
      <c r="AY85" s="837" t="s">
        <v>1033</v>
      </c>
      <c r="AZ85" s="838"/>
      <c r="BA85" s="852">
        <f>BA84*SIN(RADIANS(ZBS))/SIN(RADIANS(180-75-ZBS))</f>
        <v>10.865420762900731</v>
      </c>
      <c r="BC85" s="728" t="s">
        <v>935</v>
      </c>
      <c r="BD85" s="779">
        <f>360-ZBG-DirDelta</f>
        <v>325</v>
      </c>
      <c r="BE85" s="780">
        <f>SIN(RADIANS(BRLG_Ang))*BRLG/SIN(RADIANS((BD85-180-BRLG_Ang)))</f>
        <v>46.516628469709964</v>
      </c>
      <c r="BS85" s="32">
        <f t="shared" si="60"/>
        <v>0</v>
      </c>
      <c r="BT85" s="32">
        <f t="shared" si="60"/>
        <v>0</v>
      </c>
      <c r="BV85" s="233">
        <f t="shared" si="61"/>
        <v>69.004376090706245</v>
      </c>
      <c r="BW85" s="233">
        <f t="shared" si="61"/>
        <v>14.571329942372932</v>
      </c>
    </row>
    <row r="86" spans="1:75" ht="14.25" thickBot="1">
      <c r="A86" s="14"/>
      <c r="AE86" s="14"/>
      <c r="AF86" s="14"/>
      <c r="AG86" s="286">
        <f t="shared" si="59"/>
        <v>0</v>
      </c>
      <c r="AH86" s="807">
        <f t="shared" si="54"/>
        <v>0</v>
      </c>
      <c r="AI86" s="807">
        <f t="shared" si="55"/>
        <v>0</v>
      </c>
      <c r="AJ86" s="7"/>
      <c r="AO86" s="805" t="s">
        <v>1004</v>
      </c>
      <c r="AP86" s="805" t="str">
        <f>IF(J43&gt;=M43,"Warning","OK")</f>
        <v>OK</v>
      </c>
      <c r="AY86" s="845" t="s">
        <v>1035</v>
      </c>
      <c r="AZ86" s="831">
        <f>-2*(BRRS-BA85*COS(RADIANS(Slope)))</f>
        <v>-10.375644347017861</v>
      </c>
      <c r="BA86" s="832">
        <f>2*(BA85*SIN(RADIANS(Slope)))</f>
        <v>20.990381056766577</v>
      </c>
      <c r="BC86" s="781" t="s">
        <v>981</v>
      </c>
      <c r="BD86" s="783"/>
      <c r="BE86" s="784" t="b">
        <f>IF(BD84&gt;ZBG,TRUE,FALSE)</f>
        <v>1</v>
      </c>
      <c r="BS86" s="32">
        <f t="shared" si="60"/>
        <v>0</v>
      </c>
      <c r="BT86" s="32">
        <f t="shared" si="60"/>
        <v>0</v>
      </c>
      <c r="BV86" s="233">
        <f t="shared" si="61"/>
        <v>8.946115694306403E-16</v>
      </c>
      <c r="BW86" s="233">
        <f t="shared" si="61"/>
        <v>14.604133333333333</v>
      </c>
    </row>
    <row r="87" spans="1:75" ht="14.25" thickBot="1">
      <c r="A87" s="14"/>
      <c r="B87" s="14"/>
      <c r="C87" s="14"/>
      <c r="P87" s="14"/>
      <c r="Q87" s="14"/>
      <c r="R87" s="14"/>
      <c r="T87" s="14"/>
      <c r="U87" s="14"/>
      <c r="W87" s="14"/>
      <c r="X87" s="14"/>
      <c r="AB87" s="14"/>
      <c r="AC87" s="14"/>
      <c r="AD87" s="14"/>
      <c r="AE87" s="14"/>
      <c r="AF87" s="14"/>
      <c r="AG87" s="286" t="s">
        <v>358</v>
      </c>
      <c r="AH87" s="807">
        <f t="shared" si="54"/>
        <v>0</v>
      </c>
      <c r="AI87" s="807">
        <f t="shared" si="55"/>
        <v>0</v>
      </c>
      <c r="AJ87" s="7"/>
      <c r="AO87" s="805" t="s">
        <v>1005</v>
      </c>
      <c r="AP87" s="805" t="str">
        <f>IF(P43&gt;=S43,"Warning","OK")</f>
        <v>OK</v>
      </c>
      <c r="AY87" s="846"/>
      <c r="AZ87" s="839">
        <f>DEGREES(ATAN(BA86/AZ86))+180</f>
        <v>116.30340434149767</v>
      </c>
      <c r="BA87" s="834">
        <f>SQRT(AZ86^2+BA86^2)</f>
        <v>23.41474092370165</v>
      </c>
      <c r="BC87" s="1181" t="s">
        <v>992</v>
      </c>
      <c r="BD87" s="1182"/>
      <c r="BE87" s="1183"/>
      <c r="BS87" s="32">
        <f t="shared" si="60"/>
        <v>0</v>
      </c>
      <c r="BT87" s="32">
        <f t="shared" si="60"/>
        <v>0</v>
      </c>
      <c r="BV87" s="233">
        <f>AL105*$BW$4</f>
        <v>-9.9405791519695086</v>
      </c>
      <c r="BW87" s="233">
        <f>AM105*$BW$4</f>
        <v>4.6353681850593036</v>
      </c>
    </row>
    <row r="88" spans="1:75" ht="13.5">
      <c r="A88" s="14"/>
      <c r="B88" s="14"/>
      <c r="C88" s="14"/>
      <c r="P88" s="14"/>
      <c r="Q88" s="14"/>
      <c r="R88" s="14"/>
      <c r="T88" s="14"/>
      <c r="U88" s="14"/>
      <c r="W88" s="14"/>
      <c r="X88" s="14"/>
      <c r="AB88" s="14"/>
      <c r="AC88" s="14"/>
      <c r="AD88" s="14"/>
      <c r="AE88" s="14"/>
      <c r="AF88" s="14"/>
      <c r="AG88" s="858" t="s">
        <v>359</v>
      </c>
      <c r="AH88" s="859">
        <f>COS(RADIANS($X13))*$Y13*Settings!$AJ$25</f>
        <v>-14.22289530744165</v>
      </c>
      <c r="AI88" s="859">
        <f>SIN(RADIANS($X13))*$Y13*Settings!$AJ$25</f>
        <v>6.6322450029968358</v>
      </c>
      <c r="AJ88" s="7"/>
      <c r="AK88" s="858" t="s">
        <v>359</v>
      </c>
      <c r="AL88" s="859">
        <f>COS(RADIANS($X35))*$Y35*Settings!$AJ$26</f>
        <v>0</v>
      </c>
      <c r="AM88" s="859">
        <f>SIN(RADIANS($X35))*$Y35*Settings!$AJ$26</f>
        <v>0</v>
      </c>
      <c r="AO88" s="542" t="s">
        <v>1143</v>
      </c>
      <c r="AP88" s="542" t="str">
        <f>Settings!AO10</f>
        <v>OK</v>
      </c>
      <c r="AY88" s="828" t="s">
        <v>1043</v>
      </c>
      <c r="AZ88" s="831">
        <f>-(2*BRRS-BA88/TAN(RADIANS(Slope)))</f>
        <v>-13.18782217350893</v>
      </c>
      <c r="BA88" s="832">
        <f>BA86/2</f>
        <v>10.495190528383288</v>
      </c>
      <c r="BC88" s="736" t="s">
        <v>917</v>
      </c>
      <c r="BD88" s="691">
        <f>BRLG+EX_5/TAN(RADIANS(180-BRLG_Ang))</f>
        <v>50.539829980323759</v>
      </c>
      <c r="BE88" s="737">
        <f>BRLG*SIN(RADIANS(BRLG_Ang))/SIN(RADIANS(180-BRLG_Ang-(360-BE89)))</f>
        <v>31.808500724119195</v>
      </c>
    </row>
    <row r="89" spans="1:75" ht="14.25" thickBot="1">
      <c r="A89" s="14"/>
      <c r="B89" s="14"/>
      <c r="C89" s="14"/>
      <c r="D89" s="14"/>
      <c r="E89" s="14"/>
      <c r="F89" s="14"/>
      <c r="G89" s="14"/>
      <c r="H89" s="14"/>
      <c r="I89" s="14"/>
      <c r="J89" s="14"/>
      <c r="K89" s="14"/>
      <c r="L89" s="14"/>
      <c r="M89" s="14"/>
      <c r="N89" s="14"/>
      <c r="O89" s="14"/>
      <c r="P89" s="14"/>
      <c r="Q89" s="14"/>
      <c r="R89" s="14"/>
      <c r="T89" s="14"/>
      <c r="U89" s="14"/>
      <c r="W89" s="14"/>
      <c r="X89" s="14"/>
      <c r="AB89" s="14"/>
      <c r="AC89" s="14"/>
      <c r="AD89" s="14"/>
      <c r="AE89" s="14"/>
      <c r="AF89" s="14"/>
      <c r="AG89" s="858">
        <f>X14</f>
        <v>167.5</v>
      </c>
      <c r="AH89" s="859">
        <f>COS(RADIANS($X14))*$Y14*Settings!$AJ$25</f>
        <v>-15.102847001909556</v>
      </c>
      <c r="AI89" s="859">
        <f>SIN(RADIANS($X14))*$Y14*Settings!$AJ$25</f>
        <v>3.3482205710362734</v>
      </c>
      <c r="AJ89" s="7"/>
      <c r="AK89" s="858">
        <f>X36</f>
        <v>167.5</v>
      </c>
      <c r="AL89" s="859">
        <f>COS(RADIANS($X36))*$Y36*Settings!$AJ$26</f>
        <v>0</v>
      </c>
      <c r="AM89" s="859">
        <f>SIN(RADIANS($X36))*$Y36*Settings!$AJ$26</f>
        <v>0</v>
      </c>
      <c r="AO89" s="542" t="s">
        <v>1140</v>
      </c>
      <c r="AP89" s="542" t="str">
        <f>Settings!AO9</f>
        <v>OK</v>
      </c>
      <c r="AY89" s="829"/>
      <c r="AZ89" s="839">
        <f>DEGREES(ATAN(BA88/AZ88))+180</f>
        <v>141.48637019358688</v>
      </c>
      <c r="BA89" s="834">
        <f>SQRT(AZ88^2+BA88^2)</f>
        <v>16.854307399212825</v>
      </c>
      <c r="BC89" s="736" t="s">
        <v>56</v>
      </c>
      <c r="BD89" s="741">
        <f>360-DEGREES(ATAN(EX_5/BD88))</f>
        <v>316.34560811920699</v>
      </c>
      <c r="BE89" s="738">
        <f>360-(360-BD89)/2</f>
        <v>338.17280405960349</v>
      </c>
    </row>
    <row r="90" spans="1:75" ht="14.25" thickBot="1">
      <c r="A90" s="14"/>
      <c r="B90" s="14"/>
      <c r="C90" s="14"/>
      <c r="D90" s="14"/>
      <c r="E90" s="14"/>
      <c r="H90" s="14"/>
      <c r="I90" s="14"/>
      <c r="J90" s="14"/>
      <c r="K90" s="14"/>
      <c r="L90" s="14"/>
      <c r="M90" s="14"/>
      <c r="N90" s="14"/>
      <c r="O90" s="14"/>
      <c r="P90" s="14"/>
      <c r="Q90" s="14"/>
      <c r="R90" s="14"/>
      <c r="T90" s="14"/>
      <c r="U90" s="14"/>
      <c r="W90" s="14"/>
      <c r="X90" s="14"/>
      <c r="AB90" s="14"/>
      <c r="AC90" s="14"/>
      <c r="AD90" s="14"/>
      <c r="AE90" s="14"/>
      <c r="AF90" s="14"/>
      <c r="AG90" s="858">
        <f t="shared" ref="AG90:AG98" si="62">X15</f>
        <v>180</v>
      </c>
      <c r="AH90" s="859">
        <f>COS(RADIANS($X15))*$Y15*Settings!$AJ$25</f>
        <v>-16</v>
      </c>
      <c r="AI90" s="859">
        <f>SIN(RADIANS($X15))*$Y15*Settings!$AJ$25</f>
        <v>1.960237527853792E-15</v>
      </c>
      <c r="AJ90" s="7"/>
      <c r="AK90" s="858">
        <f t="shared" ref="AK90:AK98" si="63">X37</f>
        <v>180</v>
      </c>
      <c r="AL90" s="859">
        <f>COS(RADIANS($X37))*$Y37*Settings!$AJ$26</f>
        <v>0</v>
      </c>
      <c r="AM90" s="859">
        <f>SIN(RADIANS($X37))*$Y37*Settings!$AJ$26</f>
        <v>0</v>
      </c>
      <c r="AO90" s="542" t="s">
        <v>1128</v>
      </c>
      <c r="AP90" s="542" t="str">
        <f>Settings!AN7</f>
        <v>TPAR(3)</v>
      </c>
      <c r="AW90" s="818"/>
      <c r="AY90" s="849" t="s">
        <v>1044</v>
      </c>
      <c r="AZ90" s="855">
        <f>MAX(BFLS+DirDelta,(MIN(AZ87,AZ82)))</f>
        <v>125</v>
      </c>
      <c r="BA90" s="854">
        <f>IF(AZ90=AZ80,BA80,IF(AZ90=AZ87,MIN(BA87,X_1/COS(RADIANS(AZ90-90))*2),IF(AZ82&lt;=AZ80,BA80,BA82)))</f>
        <v>18.506942765623673</v>
      </c>
      <c r="BC90" s="736" t="s">
        <v>935</v>
      </c>
      <c r="BD90" s="741">
        <f>360-ZBG-DirDelta</f>
        <v>325</v>
      </c>
      <c r="BE90" s="782">
        <f>SIN(RADIANS(BRLG_Ang))*BRLG/SIN(RADIANS((BD90-180-BRLG_Ang)))</f>
        <v>46.516628469709964</v>
      </c>
    </row>
    <row r="91" spans="1:75" ht="14.25" thickBot="1">
      <c r="A91" s="14"/>
      <c r="B91" s="14"/>
      <c r="C91" s="14"/>
      <c r="D91" s="14"/>
      <c r="E91" s="14"/>
      <c r="H91" s="14"/>
      <c r="I91" s="14"/>
      <c r="J91" s="14"/>
      <c r="K91" s="14"/>
      <c r="L91" s="14"/>
      <c r="M91" s="14"/>
      <c r="N91" s="14"/>
      <c r="O91" s="14"/>
      <c r="P91" s="14"/>
      <c r="Q91" s="14"/>
      <c r="R91" s="14"/>
      <c r="T91" s="14"/>
      <c r="U91" s="14"/>
      <c r="W91" s="14"/>
      <c r="X91" s="14"/>
      <c r="AB91" s="14"/>
      <c r="AC91" s="14"/>
      <c r="AD91" s="14"/>
      <c r="AE91" s="14"/>
      <c r="AF91" s="14"/>
      <c r="AG91" s="858">
        <f t="shared" si="62"/>
        <v>199.54130924768995</v>
      </c>
      <c r="AH91" s="859">
        <f>COS(RADIANS($X16))*$Y16*Settings!$AJ$25</f>
        <v>-17.681575338917117</v>
      </c>
      <c r="AI91" s="859">
        <f>SIN(RADIANS($X16))*$Y16*Settings!$AJ$25</f>
        <v>-6.2757246015935459</v>
      </c>
      <c r="AJ91" s="7"/>
      <c r="AK91" s="858">
        <f t="shared" si="63"/>
        <v>204.5</v>
      </c>
      <c r="AL91" s="859">
        <f>COS(RADIANS($X38))*$Y38*Settings!$AJ$26</f>
        <v>0</v>
      </c>
      <c r="AM91" s="859">
        <f>SIN(RADIANS($X38))*$Y38*Settings!$AJ$26</f>
        <v>0</v>
      </c>
      <c r="AO91" s="90" t="s">
        <v>1141</v>
      </c>
      <c r="AP91" s="1011" t="str">
        <f>Settings!AI19</f>
        <v>OK</v>
      </c>
      <c r="AY91" s="856" t="s">
        <v>1042</v>
      </c>
      <c r="AZ91" s="232">
        <f>IF(AZ90&gt;AZ74,AZ89,AZ74)</f>
        <v>128.21900962126432</v>
      </c>
      <c r="BA91" s="857">
        <f>IF(AZ91=AZ89,BA89,BA74)</f>
        <v>19.296083111549006</v>
      </c>
      <c r="BC91" s="739" t="s">
        <v>982</v>
      </c>
      <c r="BD91" s="785"/>
      <c r="BE91" s="786" t="b">
        <f>IF(BD89&gt;ZBG,TRUE,FALSE)</f>
        <v>1</v>
      </c>
    </row>
    <row r="92" spans="1:75" ht="13.5">
      <c r="A92" s="14"/>
      <c r="B92" s="14"/>
      <c r="C92" s="14"/>
      <c r="D92" s="14"/>
      <c r="E92" s="14"/>
      <c r="H92" s="14"/>
      <c r="I92" s="14"/>
      <c r="J92" s="14"/>
      <c r="K92" s="14"/>
      <c r="L92" s="14"/>
      <c r="M92" s="14"/>
      <c r="N92" s="14"/>
      <c r="O92" s="14"/>
      <c r="P92" s="14"/>
      <c r="Q92" s="14"/>
      <c r="R92" s="14"/>
      <c r="T92" s="14"/>
      <c r="U92" s="14"/>
      <c r="W92" s="14"/>
      <c r="X92" s="14"/>
      <c r="AB92" s="14"/>
      <c r="AC92" s="14"/>
      <c r="AD92" s="14"/>
      <c r="AE92" s="14"/>
      <c r="AF92" s="14"/>
      <c r="AG92" s="858">
        <f t="shared" si="62"/>
        <v>219.0826184953799</v>
      </c>
      <c r="AH92" s="859">
        <f>COS(RADIANS($X17))*$Y17*Settings!$AJ$25</f>
        <v>-20.45045877156539</v>
      </c>
      <c r="AI92" s="859">
        <f>SIN(RADIANS($X17))*$Y17*Settings!$AJ$25</f>
        <v>-16.609338252472586</v>
      </c>
      <c r="AJ92" s="7"/>
      <c r="AK92" s="858">
        <f t="shared" si="63"/>
        <v>229</v>
      </c>
      <c r="AL92" s="859">
        <f>COS(RADIANS($X39))*$Y39*Settings!$AJ$26</f>
        <v>0</v>
      </c>
      <c r="AM92" s="859">
        <f>SIN(RADIANS($X39))*$Y39*Settings!$AJ$26</f>
        <v>0</v>
      </c>
      <c r="AO92" s="90" t="s">
        <v>1142</v>
      </c>
      <c r="AP92" s="989">
        <f>Settings!K18</f>
        <v>0</v>
      </c>
      <c r="AY92" s="3" t="str">
        <f>"Z1="&amp;X_1&amp;",  BRRS="&amp;BRRS</f>
        <v>Z1=7.58,  BRRS=8</v>
      </c>
      <c r="AZ92" s="3"/>
      <c r="BA92" s="3"/>
    </row>
    <row r="93" spans="1:75" ht="13.5">
      <c r="A93" s="14"/>
      <c r="B93" s="14"/>
      <c r="C93" s="14"/>
      <c r="D93" s="14"/>
      <c r="E93" s="14"/>
      <c r="H93" s="14"/>
      <c r="I93" s="14"/>
      <c r="J93" s="14"/>
      <c r="K93" s="14"/>
      <c r="L93" s="14"/>
      <c r="M93" s="14"/>
      <c r="N93" s="14"/>
      <c r="O93" s="14"/>
      <c r="P93" s="14"/>
      <c r="Q93" s="14"/>
      <c r="R93" s="14"/>
      <c r="T93" s="14"/>
      <c r="U93" s="14"/>
      <c r="W93" s="14"/>
      <c r="X93" s="14"/>
      <c r="AB93" s="14"/>
      <c r="AC93" s="14"/>
      <c r="AD93" s="14"/>
      <c r="AE93" s="14"/>
      <c r="AF93" s="14"/>
      <c r="AG93" s="858">
        <f t="shared" si="62"/>
        <v>238.62392774306983</v>
      </c>
      <c r="AH93" s="859">
        <f>COS(RADIANS($X18))*$Y18*Settings!$AJ$25</f>
        <v>-28.540022205776552</v>
      </c>
      <c r="AI93" s="859">
        <f>SIN(RADIANS($X18))*$Y18*Settings!$AJ$25</f>
        <v>-46.79999999999999</v>
      </c>
      <c r="AJ93" s="7"/>
      <c r="AK93" s="858">
        <f t="shared" si="63"/>
        <v>230.77666952019203</v>
      </c>
      <c r="AL93" s="859">
        <f>COS(RADIANS($X40))*$Y40*Settings!$AJ$26</f>
        <v>0</v>
      </c>
      <c r="AM93" s="859">
        <f>SIN(RADIANS($X40))*$Y40*Settings!$AJ$26</f>
        <v>0</v>
      </c>
      <c r="AO93" s="794" t="s">
        <v>1171</v>
      </c>
      <c r="AP93" s="516">
        <f>DCEF_V</f>
        <v>1.7</v>
      </c>
      <c r="AY93" s="3"/>
      <c r="AZ93" s="3"/>
      <c r="BA93" s="853"/>
      <c r="BC93" s="417" t="s">
        <v>1006</v>
      </c>
      <c r="BD93" s="417"/>
      <c r="BE93" s="417"/>
    </row>
    <row r="94" spans="1:75" ht="13.5">
      <c r="A94" s="14"/>
      <c r="B94" s="14"/>
      <c r="C94" s="70"/>
      <c r="D94" s="14"/>
      <c r="E94" s="14"/>
      <c r="H94" s="14"/>
      <c r="I94" s="14"/>
      <c r="J94" s="14"/>
      <c r="K94" s="14"/>
      <c r="L94" s="14"/>
      <c r="M94" s="14"/>
      <c r="N94" s="14"/>
      <c r="O94" s="14"/>
      <c r="P94" s="14"/>
      <c r="Q94" s="14"/>
      <c r="R94" s="14"/>
      <c r="T94" s="14"/>
      <c r="U94" s="14"/>
      <c r="W94" s="14"/>
      <c r="X94" s="14"/>
      <c r="AB94" s="14"/>
      <c r="AC94" s="14"/>
      <c r="AD94" s="14"/>
      <c r="AE94" s="14"/>
      <c r="AF94" s="14"/>
      <c r="AG94" s="858">
        <f t="shared" si="62"/>
        <v>249.08261849537988</v>
      </c>
      <c r="AH94" s="859">
        <f>COS(RADIANS($X19))*$Y19*Settings!$AJ$25</f>
        <v>-17.887451800956072</v>
      </c>
      <c r="AI94" s="859">
        <f>SIN(RADIANS($X19))*$Y19*Settings!$AJ$25</f>
        <v>-46.8</v>
      </c>
      <c r="AJ94" s="7"/>
      <c r="AK94" s="858">
        <f t="shared" si="63"/>
        <v>233</v>
      </c>
      <c r="AL94" s="859">
        <f>COS(RADIANS($X41))*$Y41*Settings!$AJ$26</f>
        <v>0</v>
      </c>
      <c r="AM94" s="859">
        <f>SIN(RADIANS($X41))*$Y41*Settings!$AJ$26</f>
        <v>0</v>
      </c>
      <c r="BC94" s="417" t="s">
        <v>732</v>
      </c>
      <c r="BD94" s="417">
        <f>X_4*2/COS(RADIANS(90+Z1_Blinder1))</f>
        <v>25.554977098046987</v>
      </c>
      <c r="BE94" s="417">
        <f>IF(BD94&lt;=$M$13,99999,T_4*1000+OpTime)</f>
        <v>99999</v>
      </c>
    </row>
    <row r="95" spans="1:75" ht="13.5">
      <c r="A95" s="14"/>
      <c r="B95" s="14"/>
      <c r="C95" s="14"/>
      <c r="D95" s="14"/>
      <c r="E95" s="14"/>
      <c r="H95" s="14"/>
      <c r="I95" s="14"/>
      <c r="J95" s="14"/>
      <c r="K95" s="14"/>
      <c r="L95" s="14"/>
      <c r="M95" s="14"/>
      <c r="N95" s="14"/>
      <c r="O95" s="14"/>
      <c r="P95" s="14"/>
      <c r="Q95" s="14"/>
      <c r="R95" s="14"/>
      <c r="T95" s="14"/>
      <c r="U95" s="14"/>
      <c r="W95" s="14"/>
      <c r="X95" s="14"/>
      <c r="AB95" s="14"/>
      <c r="AC95" s="14"/>
      <c r="AD95" s="14"/>
      <c r="AE95" s="14"/>
      <c r="AF95" s="14"/>
      <c r="AG95" s="858">
        <f t="shared" si="62"/>
        <v>259.54130924768992</v>
      </c>
      <c r="AH95" s="859">
        <f>COS(RADIANS($X20))*$Y20*Settings!$AJ$25</f>
        <v>-8.6389709284518919</v>
      </c>
      <c r="AI95" s="859">
        <f>SIN(RADIANS($X20))*$Y20*Settings!$AJ$25</f>
        <v>-46.8</v>
      </c>
      <c r="AJ95" s="7"/>
      <c r="AK95" s="858">
        <f t="shared" si="63"/>
        <v>251.5</v>
      </c>
      <c r="AL95" s="859">
        <f>COS(RADIANS($X42))*$Y42*Settings!$AJ$26</f>
        <v>0</v>
      </c>
      <c r="AM95" s="859">
        <f>SIN(RADIANS($X42))*$Y42*Settings!$AJ$26</f>
        <v>0</v>
      </c>
      <c r="AX95" s="412" t="s">
        <v>750</v>
      </c>
      <c r="AY95" s="516">
        <f>TimesTestV_E</f>
        <v>13.535999999999998</v>
      </c>
      <c r="AZ95" s="517">
        <f>TimesTest_R_V_E</f>
        <v>17.359199999999998</v>
      </c>
      <c r="BA95" s="311" t="s">
        <v>765</v>
      </c>
      <c r="BC95" s="417" t="s">
        <v>735</v>
      </c>
      <c r="BD95" s="417">
        <f>X_5*2/COS(RADIANS(90+Z1_Blinder1))</f>
        <v>126.78108082531087</v>
      </c>
      <c r="BE95" s="417">
        <f>IF(BD95&lt;=$M$13,99999,T_5*1000+OpTime)</f>
        <v>1128</v>
      </c>
    </row>
    <row r="96" spans="1:75" ht="13.5">
      <c r="A96" s="14"/>
      <c r="B96" s="14"/>
      <c r="C96" s="14"/>
      <c r="D96" s="14"/>
      <c r="E96" s="14"/>
      <c r="H96" s="14"/>
      <c r="I96" s="14"/>
      <c r="J96" s="14"/>
      <c r="K96" s="14"/>
      <c r="L96" s="14"/>
      <c r="M96" s="14"/>
      <c r="N96" s="14"/>
      <c r="O96" s="14"/>
      <c r="P96" s="14"/>
      <c r="Q96" s="14"/>
      <c r="R96" s="14"/>
      <c r="T96" s="14"/>
      <c r="U96" s="14"/>
      <c r="W96" s="14"/>
      <c r="X96" s="14"/>
      <c r="AB96" s="14"/>
      <c r="AC96" s="14"/>
      <c r="AD96" s="14"/>
      <c r="AE96" s="14"/>
      <c r="AF96" s="14"/>
      <c r="AG96" s="858">
        <f t="shared" si="62"/>
        <v>270</v>
      </c>
      <c r="AH96" s="859">
        <f>COS(RADIANS($X21))*$Y21*Settings!$AJ$25</f>
        <v>-8.6005421534585125E-15</v>
      </c>
      <c r="AI96" s="859">
        <f>SIN(RADIANS($X21))*$Y21*Settings!$AJ$25</f>
        <v>-46.8</v>
      </c>
      <c r="AJ96" s="7"/>
      <c r="AK96" s="858">
        <f t="shared" si="63"/>
        <v>270</v>
      </c>
      <c r="AL96" s="859">
        <f>COS(RADIANS($X43))*$Y43*Settings!$AJ$26</f>
        <v>0</v>
      </c>
      <c r="AM96" s="859">
        <f>SIN(RADIANS($X43))*$Y43*Settings!$AJ$26</f>
        <v>0</v>
      </c>
      <c r="AX96" s="46" t="s">
        <v>751</v>
      </c>
      <c r="AY96" s="516">
        <f>IF(AY95&gt;54,63,57.7)</f>
        <v>57.7</v>
      </c>
      <c r="AZ96" s="517">
        <f>IF(AZ95&gt;54,63,57.7)</f>
        <v>57.7</v>
      </c>
      <c r="BA96" s="311">
        <f>IF(Starpoint=1,180,0)</f>
        <v>0</v>
      </c>
      <c r="BD96" s="417" t="s">
        <v>1007</v>
      </c>
      <c r="BE96" s="417">
        <f>IF(AND(BE94=99999,BE95=99999),"NoOp",MIN(BE94:BE95))</f>
        <v>1128</v>
      </c>
    </row>
    <row r="97" spans="1:53" ht="13.5">
      <c r="A97" s="14"/>
      <c r="B97" s="14"/>
      <c r="C97" s="14"/>
      <c r="D97" s="14"/>
      <c r="E97" s="14"/>
      <c r="H97" s="14"/>
      <c r="I97" s="14"/>
      <c r="J97" s="14"/>
      <c r="K97" s="14"/>
      <c r="L97" s="14"/>
      <c r="M97" s="14"/>
      <c r="N97" s="14"/>
      <c r="O97" s="14"/>
      <c r="P97" s="14"/>
      <c r="Q97" s="14"/>
      <c r="R97" s="14"/>
      <c r="T97" s="14"/>
      <c r="U97" s="14"/>
      <c r="W97" s="14"/>
      <c r="X97" s="14"/>
      <c r="AB97" s="14"/>
      <c r="AC97" s="14"/>
      <c r="AD97" s="14"/>
      <c r="AE97" s="14"/>
      <c r="AF97" s="14"/>
      <c r="AG97" s="858">
        <f t="shared" si="62"/>
        <v>282.5</v>
      </c>
      <c r="AH97" s="859">
        <f>COS(RADIANS($X22))*$Y22*Settings!$AJ$25</f>
        <v>10.375310211689564</v>
      </c>
      <c r="AI97" s="859">
        <f>SIN(RADIANS($X22))*$Y22*Settings!$AJ$25</f>
        <v>-46.8</v>
      </c>
      <c r="AJ97" s="7"/>
      <c r="AK97" s="858">
        <f t="shared" si="63"/>
        <v>297.5</v>
      </c>
      <c r="AL97" s="859">
        <f>COS(RADIANS($X44))*$Y44*Settings!$AJ$26</f>
        <v>0</v>
      </c>
      <c r="AM97" s="859">
        <f>SIN(RADIANS($X44))*$Y44*Settings!$AJ$26</f>
        <v>0</v>
      </c>
      <c r="AO97" s="1200" t="s">
        <v>103</v>
      </c>
      <c r="AP97" s="1201"/>
      <c r="AW97" s="46" t="s">
        <v>752</v>
      </c>
      <c r="AX97" s="83" t="b">
        <v>0</v>
      </c>
      <c r="AY97" s="516">
        <f t="shared" ref="AY97:AZ99" si="64">IF($AX97=TRUE,AY$95,AY$96)</f>
        <v>57.7</v>
      </c>
      <c r="AZ97" s="517">
        <f t="shared" si="64"/>
        <v>57.7</v>
      </c>
      <c r="BA97" s="46">
        <f>IF(AX97=TRUE,0,IF(AX98=TRUE,120,-120))+$BA$96</f>
        <v>-120</v>
      </c>
    </row>
    <row r="98" spans="1:53" ht="13.5">
      <c r="A98" s="14"/>
      <c r="B98" s="14"/>
      <c r="C98" s="14"/>
      <c r="D98" s="14"/>
      <c r="E98" s="14"/>
      <c r="H98" s="14"/>
      <c r="I98" s="14"/>
      <c r="J98" s="14"/>
      <c r="K98" s="14"/>
      <c r="L98" s="14"/>
      <c r="M98" s="14"/>
      <c r="N98" s="14"/>
      <c r="O98" s="14"/>
      <c r="P98" s="14"/>
      <c r="Q98" s="14"/>
      <c r="R98" s="14"/>
      <c r="T98" s="14"/>
      <c r="U98" s="14"/>
      <c r="W98" s="14"/>
      <c r="X98" s="14"/>
      <c r="AB98" s="14"/>
      <c r="AC98" s="14"/>
      <c r="AD98" s="14"/>
      <c r="AE98" s="14"/>
      <c r="AF98" s="14"/>
      <c r="AG98" s="858">
        <f t="shared" si="62"/>
        <v>295</v>
      </c>
      <c r="AH98" s="859">
        <f>COS(RADIANS($X23))*$Y23*Settings!$AJ$25</f>
        <v>21.823198401653944</v>
      </c>
      <c r="AI98" s="859">
        <f>SIN(RADIANS($X23))*$Y23*Settings!$AJ$25</f>
        <v>-46.8</v>
      </c>
      <c r="AJ98" s="7"/>
      <c r="AK98" s="858">
        <f t="shared" si="63"/>
        <v>325</v>
      </c>
      <c r="AL98" s="859">
        <f>COS(RADIANS($X45))*$Y45*Settings!$AJ$26</f>
        <v>0</v>
      </c>
      <c r="AM98" s="859">
        <f>SIN(RADIANS($X45))*$Y45*Settings!$AJ$26</f>
        <v>0</v>
      </c>
      <c r="AO98" s="135">
        <v>0</v>
      </c>
      <c r="AP98" s="46">
        <v>0</v>
      </c>
      <c r="AW98" s="46" t="s">
        <v>753</v>
      </c>
      <c r="AX98" s="83" t="b">
        <v>0</v>
      </c>
      <c r="AY98" s="516">
        <f t="shared" si="64"/>
        <v>57.7</v>
      </c>
      <c r="AZ98" s="517">
        <f t="shared" si="64"/>
        <v>57.7</v>
      </c>
      <c r="BA98" s="46">
        <f>IF(AX98=TRUE,0,IF(AX99=TRUE,120,-120))+$BA$96</f>
        <v>120</v>
      </c>
    </row>
    <row r="99" spans="1:53" ht="13.5">
      <c r="A99" s="14"/>
      <c r="B99" s="14"/>
      <c r="C99" s="14"/>
      <c r="D99" s="14"/>
      <c r="E99" s="14"/>
      <c r="H99" s="14"/>
      <c r="I99" s="14"/>
      <c r="J99" s="14"/>
      <c r="K99" s="14"/>
      <c r="L99" s="14"/>
      <c r="M99" s="14"/>
      <c r="N99" s="14"/>
      <c r="O99" s="14"/>
      <c r="P99" s="14"/>
      <c r="Q99" s="14"/>
      <c r="R99" s="14"/>
      <c r="T99" s="14"/>
      <c r="U99" s="14"/>
      <c r="W99" s="14"/>
      <c r="X99" s="14"/>
      <c r="AB99" s="14"/>
      <c r="AC99" s="14"/>
      <c r="AF99" s="14"/>
      <c r="AG99" s="290" t="s">
        <v>84</v>
      </c>
      <c r="AH99" s="810">
        <f>$AE13*COS(RADIANS($AD13))*Settings!$AL$25</f>
        <v>0</v>
      </c>
      <c r="AI99" s="810">
        <f>$AE13*SIN(RADIANS($AD13))*Settings!$AL$25</f>
        <v>0</v>
      </c>
      <c r="AJ99" s="7"/>
      <c r="AK99" s="290" t="s">
        <v>84</v>
      </c>
      <c r="AL99" s="810">
        <f>$AE35*COS(RADIANS($AD35))*Settings!$AL$26</f>
        <v>57.86940528215321</v>
      </c>
      <c r="AM99" s="810">
        <f>$AE35*SIN(RADIANS($AD35))*Settings!$AL$26</f>
        <v>-26.98494685594337</v>
      </c>
      <c r="AO99" s="135">
        <f>COS(RADIANS(LoadAng))</f>
        <v>0.70710678118654757</v>
      </c>
      <c r="AP99" s="135">
        <f>SIN(RADIANS(LoadAng))</f>
        <v>0.70710678118654746</v>
      </c>
      <c r="AW99" s="46" t="s">
        <v>754</v>
      </c>
      <c r="AX99" s="83" t="b">
        <v>1</v>
      </c>
      <c r="AY99" s="516">
        <f t="shared" si="64"/>
        <v>13.535999999999998</v>
      </c>
      <c r="AZ99" s="517">
        <f t="shared" si="64"/>
        <v>17.359199999999998</v>
      </c>
      <c r="BA99" s="46">
        <f>IF(AX99=TRUE,0,IF(AX97=TRUE,120,-120))+$BA$96</f>
        <v>0</v>
      </c>
    </row>
    <row r="100" spans="1:53" ht="13.5">
      <c r="A100" s="14"/>
      <c r="B100" s="14"/>
      <c r="C100" s="14"/>
      <c r="D100" s="14"/>
      <c r="E100" s="14"/>
      <c r="F100" s="14"/>
      <c r="G100" s="14"/>
      <c r="H100" s="14"/>
      <c r="I100" s="14"/>
      <c r="J100" s="14"/>
      <c r="K100" s="14"/>
      <c r="L100" s="14"/>
      <c r="M100" s="14"/>
      <c r="N100" s="14"/>
      <c r="O100" s="14"/>
      <c r="P100" s="14"/>
      <c r="Q100" s="14"/>
      <c r="R100" s="14"/>
      <c r="T100" s="14"/>
      <c r="U100" s="14"/>
      <c r="W100" s="14"/>
      <c r="X100" s="14"/>
      <c r="AB100" s="14"/>
      <c r="AC100" s="14"/>
      <c r="AF100" s="14"/>
      <c r="AG100" s="290">
        <f t="shared" ref="AG100:AG110" si="65">AD14</f>
        <v>0</v>
      </c>
      <c r="AH100" s="810">
        <f>$AE14*COS(RADIANS($AD14))*Settings!$AL$25</f>
        <v>0</v>
      </c>
      <c r="AI100" s="810">
        <f>$AE14*SIN(RADIANS($AD14))*Settings!$AL$25</f>
        <v>0</v>
      </c>
      <c r="AJ100" s="7"/>
      <c r="AK100" s="290">
        <f t="shared" ref="AK100:AK110" si="66">AD36</f>
        <v>0</v>
      </c>
      <c r="AL100" s="810">
        <f>$AE36*COS(RADIANS($AD36))*Settings!$AL$26</f>
        <v>65.099999999999994</v>
      </c>
      <c r="AM100" s="810">
        <f>$AE36*SIN(RADIANS($AD36))*Settings!$AL$26</f>
        <v>0</v>
      </c>
      <c r="AO100" s="1204" t="s">
        <v>104</v>
      </c>
      <c r="AP100" s="1204"/>
    </row>
    <row r="101" spans="1:53" ht="13.5">
      <c r="A101" s="14"/>
      <c r="B101" s="14"/>
      <c r="C101" s="14"/>
      <c r="D101" s="14"/>
      <c r="E101" s="14"/>
      <c r="F101" s="14"/>
      <c r="G101" s="14"/>
      <c r="H101" s="14"/>
      <c r="I101" s="14"/>
      <c r="J101" s="14"/>
      <c r="K101" s="14"/>
      <c r="L101" s="14"/>
      <c r="M101" s="14"/>
      <c r="N101" s="14"/>
      <c r="O101" s="14"/>
      <c r="P101" s="14"/>
      <c r="Q101" s="14"/>
      <c r="R101" s="14"/>
      <c r="T101" s="14"/>
      <c r="U101" s="14"/>
      <c r="W101" s="14"/>
      <c r="X101" s="14"/>
      <c r="AB101" s="14"/>
      <c r="AC101" s="14"/>
      <c r="AF101" s="14"/>
      <c r="AG101" s="290">
        <f t="shared" si="65"/>
        <v>18.67136398158295</v>
      </c>
      <c r="AH101" s="810">
        <f>$AE15*COS(RADIANS($AD15))*Settings!$AL$25</f>
        <v>0</v>
      </c>
      <c r="AI101" s="810">
        <f>$AE15*SIN(RADIANS($AD15))*Settings!$AL$25</f>
        <v>0</v>
      </c>
      <c r="AJ101" s="7"/>
      <c r="AK101" s="290">
        <f t="shared" si="66"/>
        <v>10</v>
      </c>
      <c r="AL101" s="810">
        <f>$AE37*COS(RADIANS($AD37))*Settings!$AL$26</f>
        <v>68.328284029656061</v>
      </c>
      <c r="AM101" s="810">
        <f>$AE37*SIN(RADIANS($AD37))*Settings!$AL$26</f>
        <v>12.048120019939679</v>
      </c>
      <c r="AO101" s="137" t="e">
        <f>COS(RADIANS(RefAng))*100</f>
        <v>#REF!</v>
      </c>
      <c r="AP101" s="137" t="e">
        <f>SIN(RADIANS(RefAng))*100</f>
        <v>#REF!</v>
      </c>
    </row>
    <row r="102" spans="1:53" ht="13.5">
      <c r="A102" s="14"/>
      <c r="B102" s="14"/>
      <c r="C102" s="14"/>
      <c r="D102" s="14"/>
      <c r="E102" s="14"/>
      <c r="F102" s="14"/>
      <c r="G102" s="14"/>
      <c r="H102" s="14"/>
      <c r="I102" s="14"/>
      <c r="J102" s="14"/>
      <c r="K102" s="14"/>
      <c r="L102" s="14"/>
      <c r="M102" s="14"/>
      <c r="N102" s="14"/>
      <c r="O102" s="14"/>
      <c r="P102" s="14"/>
      <c r="Q102" s="14"/>
      <c r="R102" s="14"/>
      <c r="T102" s="14"/>
      <c r="U102" s="14"/>
      <c r="W102" s="14"/>
      <c r="X102" s="14"/>
      <c r="AB102" s="14"/>
      <c r="AC102" s="14"/>
      <c r="AF102" s="14"/>
      <c r="AG102" s="290">
        <f t="shared" si="65"/>
        <v>25.870234814212917</v>
      </c>
      <c r="AH102" s="810">
        <f>$AE16*COS(RADIANS($AD16))*Settings!$AL$25</f>
        <v>0</v>
      </c>
      <c r="AI102" s="810">
        <f>$AE16*SIN(RADIANS($AD16))*Settings!$AL$25</f>
        <v>0</v>
      </c>
      <c r="AJ102" s="7"/>
      <c r="AK102" s="290">
        <f t="shared" si="66"/>
        <v>11.923710961991974</v>
      </c>
      <c r="AL102" s="810">
        <f>$AE38*COS(RADIANS($AD38))*Settings!$AL$26</f>
        <v>69.004376090706245</v>
      </c>
      <c r="AM102" s="810">
        <f>$AE38*SIN(RADIANS($AD38))*Settings!$AL$26</f>
        <v>14.571329942372932</v>
      </c>
      <c r="AO102" s="137">
        <v>0</v>
      </c>
      <c r="AP102" s="137">
        <v>0</v>
      </c>
      <c r="AZ102" s="798"/>
    </row>
    <row r="103" spans="1:53" ht="13.5">
      <c r="A103" s="14"/>
      <c r="B103" s="14"/>
      <c r="C103" s="14"/>
      <c r="D103" s="14"/>
      <c r="E103" s="14"/>
      <c r="F103" s="14"/>
      <c r="G103" s="14"/>
      <c r="H103" s="14"/>
      <c r="I103" s="14"/>
      <c r="J103" s="14"/>
      <c r="K103" s="14"/>
      <c r="L103" s="14"/>
      <c r="M103" s="14"/>
      <c r="N103" s="14"/>
      <c r="O103" s="14"/>
      <c r="P103" s="14"/>
      <c r="Q103" s="14"/>
      <c r="R103" s="14"/>
      <c r="T103" s="14"/>
      <c r="U103" s="14"/>
      <c r="W103" s="14"/>
      <c r="X103" s="14"/>
      <c r="AB103" s="14"/>
      <c r="AC103" s="14"/>
      <c r="AF103" s="14"/>
      <c r="AG103" s="290">
        <f t="shared" si="65"/>
        <v>90</v>
      </c>
      <c r="AH103" s="810">
        <f>$AE17*COS(RADIANS($AD17))*Settings!$AL$25</f>
        <v>0</v>
      </c>
      <c r="AI103" s="810">
        <f>$AE17*SIN(RADIANS($AD17))*Settings!$AL$25</f>
        <v>0</v>
      </c>
      <c r="AJ103" s="7"/>
      <c r="AK103" s="290">
        <f t="shared" si="66"/>
        <v>90</v>
      </c>
      <c r="AL103" s="810">
        <f>$AE39*COS(RADIANS($AD39))*Settings!$AL$26</f>
        <v>8.946115694306403E-16</v>
      </c>
      <c r="AM103" s="810">
        <f>$AE39*SIN(RADIANS($AD39))*Settings!$AL$26</f>
        <v>14.604133333333333</v>
      </c>
      <c r="AO103" s="137" t="e">
        <f>COS(RADIANS(120+RefAng))*100</f>
        <v>#REF!</v>
      </c>
      <c r="AP103" s="137" t="e">
        <f>SIN(RADIANS(120+RefAng))*100</f>
        <v>#REF!</v>
      </c>
    </row>
    <row r="104" spans="1:53" ht="13.5">
      <c r="A104" s="14"/>
      <c r="B104" s="14"/>
      <c r="C104" s="14"/>
      <c r="D104" s="14"/>
      <c r="E104" s="14"/>
      <c r="F104" s="14"/>
      <c r="G104" s="14"/>
      <c r="H104" s="14"/>
      <c r="I104" s="14"/>
      <c r="J104" s="14"/>
      <c r="K104" s="14"/>
      <c r="L104" s="14"/>
      <c r="M104" s="14"/>
      <c r="N104" s="14"/>
      <c r="O104" s="14"/>
      <c r="P104" s="14"/>
      <c r="Q104" s="14"/>
      <c r="R104" s="14"/>
      <c r="T104" s="14"/>
      <c r="U104" s="14"/>
      <c r="W104" s="14"/>
      <c r="X104" s="14"/>
      <c r="AB104" s="14"/>
      <c r="AC104" s="14"/>
      <c r="AF104" s="14"/>
      <c r="AG104" s="290">
        <f t="shared" si="65"/>
        <v>115</v>
      </c>
      <c r="AH104" s="810">
        <f>$AE18*COS(RADIANS($AD18))*Settings!$AL$25</f>
        <v>0</v>
      </c>
      <c r="AI104" s="810">
        <f>$AE18*SIN(RADIANS($AD18))*Settings!$AL$25</f>
        <v>0</v>
      </c>
      <c r="AJ104" s="7"/>
      <c r="AK104" s="290">
        <f t="shared" si="66"/>
        <v>115</v>
      </c>
      <c r="AL104" s="810">
        <f>$AE40*COS(RADIANS($AD40))*Settings!$AL$26</f>
        <v>-6.8100192140500173</v>
      </c>
      <c r="AM104" s="810">
        <f>$AE40*SIN(RADIANS($AD40))*Settings!$AL$26</f>
        <v>14.604133333333333</v>
      </c>
      <c r="AO104" s="137" t="e">
        <f>COS(RADIANS(240+RefAng))*100</f>
        <v>#REF!</v>
      </c>
      <c r="AP104" s="137" t="e">
        <f>SIN(RADIANS(240+RefAng))*100</f>
        <v>#REF!</v>
      </c>
    </row>
    <row r="105" spans="1:53" ht="13.5">
      <c r="A105" s="14"/>
      <c r="B105" s="14"/>
      <c r="C105" s="14"/>
      <c r="D105" s="14"/>
      <c r="E105" s="14"/>
      <c r="F105" s="14"/>
      <c r="G105" s="14"/>
      <c r="H105" s="14"/>
      <c r="I105" s="14"/>
      <c r="J105" s="14"/>
      <c r="K105" s="14"/>
      <c r="L105" s="14"/>
      <c r="M105" s="14"/>
      <c r="N105" s="14"/>
      <c r="O105" s="14"/>
      <c r="P105" s="14"/>
      <c r="Q105" s="14"/>
      <c r="R105" s="14"/>
      <c r="T105" s="14"/>
      <c r="U105" s="14"/>
      <c r="W105" s="14"/>
      <c r="X105" s="14"/>
      <c r="AB105" s="14"/>
      <c r="AC105" s="14"/>
      <c r="AF105" s="14"/>
      <c r="AG105" s="290">
        <f t="shared" si="65"/>
        <v>125</v>
      </c>
      <c r="AH105" s="810">
        <f>$AE19*COS(RADIANS($AD19))*Settings!$AL$25</f>
        <v>0</v>
      </c>
      <c r="AI105" s="810">
        <f>$AE19*SIN(RADIANS($AD19))*Settings!$AL$25</f>
        <v>0</v>
      </c>
      <c r="AJ105" s="7"/>
      <c r="AK105" s="290">
        <f t="shared" si="66"/>
        <v>155</v>
      </c>
      <c r="AL105" s="810">
        <f>$AE41*COS(RADIANS($AD41))*Settings!$AL$26</f>
        <v>-9.9405791519695086</v>
      </c>
      <c r="AM105" s="810">
        <f>$AE41*SIN(RADIANS($AD41))*Settings!$AL$26</f>
        <v>4.6353681850593036</v>
      </c>
      <c r="AO105" s="137">
        <v>0</v>
      </c>
      <c r="AP105" s="137">
        <v>0</v>
      </c>
    </row>
    <row r="106" spans="1:53" ht="13.5">
      <c r="A106" s="14"/>
      <c r="B106" s="14"/>
      <c r="C106" s="14"/>
      <c r="D106" s="14"/>
      <c r="E106" s="14"/>
      <c r="F106" s="14"/>
      <c r="G106" s="14"/>
      <c r="H106" s="14"/>
      <c r="I106" s="14"/>
      <c r="J106" s="14"/>
      <c r="K106" s="14"/>
      <c r="L106" s="14"/>
      <c r="M106" s="14"/>
      <c r="N106" s="14"/>
      <c r="O106" s="14"/>
      <c r="P106" s="14"/>
      <c r="Q106" s="14"/>
      <c r="R106" s="14"/>
      <c r="T106" s="14"/>
      <c r="U106" s="14"/>
      <c r="W106" s="14"/>
      <c r="X106" s="14"/>
      <c r="AB106" s="14"/>
      <c r="AC106" s="14"/>
      <c r="AF106" s="14"/>
      <c r="AG106" s="290">
        <f t="shared" si="65"/>
        <v>128.21900962126432</v>
      </c>
      <c r="AH106" s="810">
        <f>$AE20*COS(RADIANS($AD20))*Settings!$AL$25</f>
        <v>0</v>
      </c>
      <c r="AI106" s="810">
        <f>$AE20*SIN(RADIANS($AD20))*Settings!$AL$25</f>
        <v>0</v>
      </c>
      <c r="AJ106" s="7"/>
      <c r="AK106" s="290">
        <f t="shared" si="66"/>
        <v>180</v>
      </c>
      <c r="AL106" s="810">
        <f>$AE42*COS(RADIANS($AD42))*Settings!$AL$26</f>
        <v>-10.968215537982047</v>
      </c>
      <c r="AM106" s="810">
        <f>$AE42*SIN(RADIANS($AD42))*Settings!$AL$26</f>
        <v>1.3437692319463424E-15</v>
      </c>
      <c r="AO106" s="1198" t="s">
        <v>105</v>
      </c>
      <c r="AP106" s="1199"/>
    </row>
    <row r="107" spans="1:53" ht="13.5">
      <c r="A107" s="14"/>
      <c r="B107" s="14"/>
      <c r="C107" s="14"/>
      <c r="D107" s="14"/>
      <c r="E107" s="14"/>
      <c r="F107" s="14"/>
      <c r="G107" s="14"/>
      <c r="H107" s="14"/>
      <c r="I107" s="14"/>
      <c r="J107" s="14"/>
      <c r="K107" s="14"/>
      <c r="L107" s="14"/>
      <c r="M107" s="14"/>
      <c r="N107" s="14"/>
      <c r="O107" s="14"/>
      <c r="P107" s="14"/>
      <c r="Q107" s="14"/>
      <c r="R107" s="14"/>
      <c r="T107" s="14"/>
      <c r="U107" s="14"/>
      <c r="W107" s="14"/>
      <c r="X107" s="14"/>
      <c r="AB107" s="14"/>
      <c r="AC107" s="14"/>
      <c r="AF107" s="14"/>
      <c r="AG107" s="290">
        <f t="shared" si="65"/>
        <v>180</v>
      </c>
      <c r="AH107" s="810">
        <f>$AE21*COS(RADIANS($AD21))*Settings!$AL$25</f>
        <v>0</v>
      </c>
      <c r="AI107" s="810">
        <f>$AE21*SIN(RADIANS($AD21))*Settings!$AL$25</f>
        <v>0</v>
      </c>
      <c r="AJ107" s="7"/>
      <c r="AK107" s="290">
        <f t="shared" si="66"/>
        <v>232</v>
      </c>
      <c r="AL107" s="810">
        <f>$AE43*COS(RADIANS($AD43))*Settings!$AL$26</f>
        <v>-6.7527077598038332</v>
      </c>
      <c r="AM107" s="810">
        <f>$AE43*SIN(RADIANS($AD43))*Settings!$AL$26</f>
        <v>-8.643071791806193</v>
      </c>
      <c r="AO107" s="137" t="e">
        <f>COS(RADIANS(RefAng-LoadAng))*35</f>
        <v>#REF!</v>
      </c>
      <c r="AP107" s="137" t="e">
        <f>SIN(RADIANS(RefAng-LoadAng))*35</f>
        <v>#REF!</v>
      </c>
    </row>
    <row r="108" spans="1:53" ht="13.5">
      <c r="A108" s="14"/>
      <c r="B108" s="14"/>
      <c r="C108" s="14"/>
      <c r="D108" s="14"/>
      <c r="E108" s="14"/>
      <c r="F108" s="14"/>
      <c r="G108" s="14"/>
      <c r="H108" s="14"/>
      <c r="I108" s="14"/>
      <c r="J108" s="14"/>
      <c r="K108" s="14"/>
      <c r="L108" s="14"/>
      <c r="M108" s="14"/>
      <c r="N108" s="14"/>
      <c r="O108" s="14"/>
      <c r="P108" s="14"/>
      <c r="Q108" s="14"/>
      <c r="R108" s="14"/>
      <c r="T108" s="14"/>
      <c r="U108" s="14"/>
      <c r="W108" s="14"/>
      <c r="X108" s="14"/>
      <c r="AB108" s="14"/>
      <c r="AC108" s="14"/>
      <c r="AF108" s="14"/>
      <c r="AG108" s="290">
        <f t="shared" si="65"/>
        <v>240.46549356129381</v>
      </c>
      <c r="AH108" s="810">
        <f>$AE22*COS(RADIANS($AD22))*Settings!$AL$25</f>
        <v>0</v>
      </c>
      <c r="AI108" s="810">
        <f>$AE22*SIN(RADIANS($AD22))*Settings!$AL$25</f>
        <v>0</v>
      </c>
      <c r="AK108" s="290">
        <f t="shared" si="66"/>
        <v>233.54641338816776</v>
      </c>
      <c r="AL108" s="810">
        <f>$AE44*COS(RADIANS($AD44))*Settings!$AL$26</f>
        <v>-6.5170001373782167</v>
      </c>
      <c r="AM108" s="810">
        <f>$AE44*SIN(RADIANS($AD44))*Settings!$AL$26</f>
        <v>-8.8221574060454806</v>
      </c>
      <c r="AO108" s="137">
        <v>0</v>
      </c>
      <c r="AP108" s="137">
        <v>0</v>
      </c>
    </row>
    <row r="109" spans="1:53" ht="13.5">
      <c r="A109" s="14"/>
      <c r="B109" s="14"/>
      <c r="C109" s="14"/>
      <c r="D109" s="14"/>
      <c r="E109" s="14"/>
      <c r="F109" s="14"/>
      <c r="G109" s="14"/>
      <c r="H109" s="14"/>
      <c r="I109" s="14"/>
      <c r="J109" s="14"/>
      <c r="K109" s="14"/>
      <c r="L109" s="14"/>
      <c r="M109" s="14"/>
      <c r="N109" s="14"/>
      <c r="O109" s="14"/>
      <c r="P109" s="14"/>
      <c r="Q109" s="14"/>
      <c r="R109" s="14"/>
      <c r="T109" s="14"/>
      <c r="U109" s="14"/>
      <c r="W109" s="14"/>
      <c r="X109" s="14"/>
      <c r="AB109" s="14"/>
      <c r="AC109" s="14"/>
      <c r="AF109" s="14"/>
      <c r="AG109" s="290">
        <f t="shared" si="65"/>
        <v>270</v>
      </c>
      <c r="AH109" s="810">
        <f>$AE23*COS(RADIANS($AD23))*Settings!$AL$25</f>
        <v>0</v>
      </c>
      <c r="AI109" s="810">
        <f>$AE23*SIN(RADIANS($AD23))*Settings!$AL$25</f>
        <v>0</v>
      </c>
      <c r="AJ109" s="7"/>
      <c r="AK109" s="290">
        <f t="shared" si="66"/>
        <v>270</v>
      </c>
      <c r="AL109" s="810">
        <f>$AE45*COS(RADIANS($AD45))*Settings!$AL$26</f>
        <v>-2.0156538479195135E-15</v>
      </c>
      <c r="AM109" s="810">
        <f>$AE45*SIN(RADIANS($AD45))*Settings!$AL$26</f>
        <v>-10.968215537982047</v>
      </c>
      <c r="AO109" s="137" t="e">
        <f>COS(RADIANS(120+RefAng-LoadAng))*35</f>
        <v>#REF!</v>
      </c>
      <c r="AP109" s="137" t="e">
        <f>SIN(RADIANS(120+RefAng-LoadAng))*35</f>
        <v>#REF!</v>
      </c>
    </row>
    <row r="110" spans="1:53" ht="13.5">
      <c r="A110" s="14"/>
      <c r="B110" s="14"/>
      <c r="C110" s="14"/>
      <c r="D110" s="14"/>
      <c r="E110" s="14"/>
      <c r="F110" s="14"/>
      <c r="G110" s="14"/>
      <c r="H110" s="14"/>
      <c r="I110" s="14"/>
      <c r="J110" s="14"/>
      <c r="K110" s="14"/>
      <c r="L110" s="14"/>
      <c r="M110" s="14"/>
      <c r="N110" s="14"/>
      <c r="O110" s="14"/>
      <c r="P110" s="14"/>
      <c r="Q110" s="14"/>
      <c r="R110" s="14"/>
      <c r="T110" s="14"/>
      <c r="U110" s="14"/>
      <c r="W110" s="14"/>
      <c r="X110" s="14"/>
      <c r="AB110" s="14"/>
      <c r="AC110" s="14"/>
      <c r="AF110" s="14"/>
      <c r="AG110" s="290">
        <f t="shared" si="65"/>
        <v>290.60867994460727</v>
      </c>
      <c r="AH110" s="810">
        <f>$AE24*COS(RADIANS($AD24))*Settings!$AL$25</f>
        <v>0</v>
      </c>
      <c r="AI110" s="810">
        <f>$AE24*SIN(RADIANS($AD24))*Settings!$AL$25</f>
        <v>0</v>
      </c>
      <c r="AJ110" s="7"/>
      <c r="AK110" s="290">
        <f t="shared" si="66"/>
        <v>316.34560811920699</v>
      </c>
      <c r="AL110" s="810">
        <f>$AE46*COS(RADIANS($AD46))*Settings!$AL$26</f>
        <v>7.935688946857244</v>
      </c>
      <c r="AM110" s="810">
        <f>$AE46*SIN(RADIANS($AD46))*Settings!$AL$26</f>
        <v>-7.5714326931142013</v>
      </c>
      <c r="AO110" s="137" t="e">
        <f>COS(RADIANS(240+RefAng-LoadAng))*35</f>
        <v>#REF!</v>
      </c>
      <c r="AP110" s="137" t="e">
        <f>SIN(RADIANS(240+RefAng-LoadAng))*35</f>
        <v>#REF!</v>
      </c>
    </row>
    <row r="111" spans="1:53" ht="13.5">
      <c r="A111" s="14"/>
      <c r="B111" s="14"/>
      <c r="C111" s="14"/>
      <c r="D111" s="14"/>
      <c r="E111" s="14"/>
      <c r="F111" s="14"/>
      <c r="G111" s="14"/>
      <c r="H111" s="14"/>
      <c r="I111" s="14"/>
      <c r="J111" s="14"/>
      <c r="K111" s="14"/>
      <c r="L111" s="14"/>
      <c r="M111" s="14"/>
      <c r="N111" s="14"/>
      <c r="O111" s="14"/>
      <c r="P111" s="14"/>
      <c r="Q111" s="14"/>
      <c r="R111" s="14"/>
      <c r="T111" s="14"/>
      <c r="U111" s="14"/>
      <c r="W111" s="14"/>
      <c r="X111" s="14"/>
      <c r="AB111" s="14"/>
      <c r="AC111" s="14"/>
      <c r="AD111" s="14"/>
      <c r="AE111" s="14"/>
      <c r="AF111" s="14"/>
      <c r="AG111" s="302">
        <v>0</v>
      </c>
      <c r="AH111" s="810">
        <f>(TestVSOTF/SOTF_Isc)*COS(RADIANS(AG111))*Settings!$AL$25</f>
        <v>0</v>
      </c>
      <c r="AI111" s="810">
        <f>(TestVSOTF/SOTF_Isc)*SIN(RADIANS(AG111))*Settings!$AL$25</f>
        <v>0</v>
      </c>
      <c r="AJ111" s="7"/>
      <c r="AK111" s="290"/>
      <c r="AL111" s="810">
        <f>(TestV_SOTF_E/SOTF_Isc)*COS(RADIANS(AG111))*Settings!$AL$26</f>
        <v>10.968215537982047</v>
      </c>
      <c r="AM111" s="810">
        <f>(TestV_SOTF_E/SOTF_Isc)*SIN(RADIANS(AG111))*Settings!$AL$26</f>
        <v>0</v>
      </c>
      <c r="AO111" s="137">
        <v>0</v>
      </c>
      <c r="AP111" s="137">
        <v>0</v>
      </c>
    </row>
    <row r="112" spans="1:53" ht="13.5">
      <c r="A112" s="14"/>
      <c r="B112" s="14"/>
      <c r="C112" s="14"/>
      <c r="D112" s="14"/>
      <c r="E112" s="14"/>
      <c r="F112" s="14"/>
      <c r="G112" s="14"/>
      <c r="H112" s="14"/>
      <c r="I112" s="14"/>
      <c r="J112" s="14"/>
      <c r="K112" s="14"/>
      <c r="L112" s="14"/>
      <c r="M112" s="14"/>
      <c r="N112" s="14"/>
      <c r="O112" s="14"/>
      <c r="P112" s="14"/>
      <c r="Q112" s="14"/>
      <c r="R112" s="14"/>
      <c r="T112" s="14"/>
      <c r="U112" s="14"/>
      <c r="W112" s="14"/>
      <c r="X112" s="14"/>
      <c r="AB112" s="14"/>
      <c r="AC112" s="14"/>
      <c r="AD112" s="14"/>
      <c r="AE112" s="14"/>
      <c r="AF112" s="14"/>
      <c r="AG112" s="302">
        <v>15</v>
      </c>
      <c r="AH112" s="810">
        <f>(TestVSOTF/SOTF_Isc)*COS(RADIANS(AG112))*Settings!$AL$25</f>
        <v>0</v>
      </c>
      <c r="AI112" s="810">
        <f>(TestVSOTF/SOTF_Isc)*SIN(RADIANS(AG112))*Settings!$AL$25</f>
        <v>0</v>
      </c>
      <c r="AJ112" s="7"/>
      <c r="AK112" s="290"/>
      <c r="AL112" s="810">
        <f>(TestV_SOTF_E/SOTF_Isc)*COS(RADIANS(AG112))*Settings!$AL$26</f>
        <v>10.594482656441906</v>
      </c>
      <c r="AM112" s="810">
        <f>(TestV_SOTF_E/SOTF_Isc)*SIN(RADIANS(AG112))*Settings!$AL$26</f>
        <v>2.8387830720191443</v>
      </c>
      <c r="AO112" s="136" t="str">
        <f>"Current "&amp; IF(LoadAng&lt;0,"Leading by ","Lagging by ")&amp;ROUND(ABS(LoadAng),1)&amp; " Deg."</f>
        <v>Current Lagging by 45 Deg.</v>
      </c>
      <c r="AP112" s="7"/>
    </row>
    <row r="113" spans="1:44" ht="13.5">
      <c r="A113" s="14"/>
      <c r="B113" s="14"/>
      <c r="C113" s="14"/>
      <c r="D113" s="14"/>
      <c r="E113" s="14"/>
      <c r="F113" s="14"/>
      <c r="G113" s="14"/>
      <c r="H113" s="14"/>
      <c r="I113" s="14"/>
      <c r="J113" s="14"/>
      <c r="K113" s="14"/>
      <c r="L113" s="14"/>
      <c r="M113" s="14"/>
      <c r="N113" s="14"/>
      <c r="O113" s="14"/>
      <c r="P113" s="14"/>
      <c r="Q113" s="14"/>
      <c r="R113" s="14"/>
      <c r="T113" s="14"/>
      <c r="U113" s="14"/>
      <c r="W113" s="14"/>
      <c r="X113" s="14"/>
      <c r="AB113" s="14"/>
      <c r="AC113" s="14"/>
      <c r="AD113" s="14"/>
      <c r="AE113" s="14"/>
      <c r="AF113" s="14"/>
      <c r="AG113" s="302">
        <v>30</v>
      </c>
      <c r="AH113" s="810">
        <f>(TestVSOTF/SOTF_Isc)*COS(RADIANS(AG113))*Settings!$AL$25</f>
        <v>0</v>
      </c>
      <c r="AI113" s="810">
        <f>(TestVSOTF/SOTF_Isc)*SIN(RADIANS(AG113))*Settings!$AL$25</f>
        <v>0</v>
      </c>
      <c r="AJ113" s="7"/>
      <c r="AK113" s="290"/>
      <c r="AL113" s="810">
        <f>(TestV_SOTF_E/SOTF_Isc)*COS(RADIANS(AG113))*Settings!$AL$26</f>
        <v>9.4987532900756566</v>
      </c>
      <c r="AM113" s="810">
        <f>(TestV_SOTF_E/SOTF_Isc)*SIN(RADIANS(AG113))*Settings!$AL$26</f>
        <v>5.4841077689910227</v>
      </c>
      <c r="AN113" s="47"/>
    </row>
    <row r="114" spans="1:44" ht="13.5">
      <c r="A114" s="14"/>
      <c r="B114" s="14"/>
      <c r="C114" s="14"/>
      <c r="D114" s="14"/>
      <c r="E114" s="14"/>
      <c r="F114" s="14"/>
      <c r="G114" s="14"/>
      <c r="H114" s="14"/>
      <c r="I114" s="14"/>
      <c r="J114" s="14"/>
      <c r="K114" s="14"/>
      <c r="L114" s="14"/>
      <c r="M114" s="14"/>
      <c r="N114" s="14"/>
      <c r="O114" s="14"/>
      <c r="P114" s="14"/>
      <c r="Q114" s="14"/>
      <c r="R114" s="14"/>
      <c r="T114" s="14"/>
      <c r="U114" s="14"/>
      <c r="W114" s="14"/>
      <c r="X114" s="14"/>
      <c r="AB114" s="14"/>
      <c r="AC114" s="14"/>
      <c r="AD114" s="14"/>
      <c r="AE114" s="14"/>
      <c r="AF114" s="14"/>
      <c r="AG114" s="302">
        <v>45</v>
      </c>
      <c r="AH114" s="810">
        <f>(TestVSOTF/SOTF_Isc)*COS(RADIANS(AG114))*Settings!$AL$25</f>
        <v>0</v>
      </c>
      <c r="AI114" s="810">
        <f>(TestVSOTF/SOTF_Isc)*SIN(RADIANS(AG114))*Settings!$AL$25</f>
        <v>0</v>
      </c>
      <c r="AJ114" s="7"/>
      <c r="AK114" s="290"/>
      <c r="AL114" s="810">
        <f>(TestV_SOTF_E/SOTF_Isc)*COS(RADIANS(AG114))*Settings!$AL$26</f>
        <v>7.7556995844227625</v>
      </c>
      <c r="AM114" s="810">
        <f>(TestV_SOTF_E/SOTF_Isc)*SIN(RADIANS(AG114))*Settings!$AL$26</f>
        <v>7.7556995844227616</v>
      </c>
      <c r="AO114" s="1118" t="s">
        <v>536</v>
      </c>
      <c r="AP114" s="1120"/>
    </row>
    <row r="115" spans="1:44" ht="13.5">
      <c r="A115" s="14"/>
      <c r="B115" s="14"/>
      <c r="C115" s="14"/>
      <c r="D115" s="14"/>
      <c r="E115" s="14"/>
      <c r="F115" s="14"/>
      <c r="G115" s="14"/>
      <c r="H115" s="14"/>
      <c r="I115" s="14"/>
      <c r="J115" s="14"/>
      <c r="K115" s="14"/>
      <c r="L115" s="14"/>
      <c r="M115" s="14"/>
      <c r="N115" s="14"/>
      <c r="O115" s="14"/>
      <c r="P115" s="14"/>
      <c r="Q115" s="14"/>
      <c r="R115" s="14"/>
      <c r="T115" s="14"/>
      <c r="U115" s="14"/>
      <c r="W115" s="14"/>
      <c r="X115" s="14"/>
      <c r="AB115" s="14"/>
      <c r="AC115" s="14"/>
      <c r="AD115" s="14"/>
      <c r="AE115" s="14"/>
      <c r="AF115" s="14"/>
      <c r="AG115" s="302">
        <v>60</v>
      </c>
      <c r="AH115" s="810">
        <f>(TestVSOTF/SOTF_Isc)*COS(RADIANS(AG115))*Settings!$AL$25</f>
        <v>0</v>
      </c>
      <c r="AI115" s="810">
        <f>(TestVSOTF/SOTF_Isc)*SIN(RADIANS(AG115))*Settings!$AL$25</f>
        <v>0</v>
      </c>
      <c r="AJ115" s="7"/>
      <c r="AK115" s="290"/>
      <c r="AL115" s="810">
        <f>(TestV_SOTF_E/SOTF_Isc)*COS(RADIANS(AG115))*Settings!$AL$26</f>
        <v>5.4841077689910245</v>
      </c>
      <c r="AM115" s="810">
        <f>(TestV_SOTF_E/SOTF_Isc)*SIN(RADIANS(AG115))*Settings!$AL$26</f>
        <v>9.4987532900756566</v>
      </c>
      <c r="AO115" s="252" t="s">
        <v>1186</v>
      </c>
      <c r="AP115" s="146">
        <f>ROUND(Settings!C3/1.732,1)</f>
        <v>63.5</v>
      </c>
    </row>
    <row r="116" spans="1:44" ht="13.5">
      <c r="A116" s="14"/>
      <c r="B116" s="14"/>
      <c r="C116" s="14"/>
      <c r="D116" s="14"/>
      <c r="E116" s="14"/>
      <c r="F116" s="14"/>
      <c r="G116" s="14"/>
      <c r="H116" s="14"/>
      <c r="I116" s="14"/>
      <c r="J116" s="14"/>
      <c r="K116" s="14"/>
      <c r="L116" s="14"/>
      <c r="M116" s="14"/>
      <c r="N116" s="14"/>
      <c r="O116" s="14"/>
      <c r="P116" s="14"/>
      <c r="Q116" s="14"/>
      <c r="R116" s="14"/>
      <c r="T116" s="14"/>
      <c r="U116" s="14"/>
      <c r="W116" s="14"/>
      <c r="X116" s="14"/>
      <c r="AB116" s="14"/>
      <c r="AC116" s="14"/>
      <c r="AD116" s="14"/>
      <c r="AE116" s="14"/>
      <c r="AF116" s="14"/>
      <c r="AG116" s="302">
        <v>75</v>
      </c>
      <c r="AH116" s="810">
        <f>(TestVSOTF/SOTF_Isc)*COS(RADIANS(AG116))*Settings!$AL$25</f>
        <v>0</v>
      </c>
      <c r="AI116" s="810">
        <f>(TestVSOTF/SOTF_Isc)*SIN(RADIANS(AG116))*Settings!$AL$25</f>
        <v>0</v>
      </c>
      <c r="AJ116" s="7"/>
      <c r="AK116" s="290"/>
      <c r="AL116" s="810">
        <f>(TestV_SOTF_E/SOTF_Isc)*COS(RADIANS(AG116))*Settings!$AL$26</f>
        <v>2.8387830720191443</v>
      </c>
      <c r="AM116" s="810">
        <f>(TestV_SOTF_E/SOTF_Isc)*SIN(RADIANS(AG116))*Settings!$AL$26</f>
        <v>10.594482656441906</v>
      </c>
      <c r="AO116" s="252" t="s">
        <v>1187</v>
      </c>
      <c r="AP116" s="146">
        <f>ROUND(Settings!C5*0.5/1000,2)</f>
        <v>0.63</v>
      </c>
    </row>
    <row r="117" spans="1:44" ht="13.5">
      <c r="A117" s="14"/>
      <c r="B117" s="14"/>
      <c r="C117" s="14"/>
      <c r="D117" s="14"/>
      <c r="E117" s="14"/>
      <c r="F117" s="14"/>
      <c r="G117" s="14"/>
      <c r="H117" s="14"/>
      <c r="I117" s="14"/>
      <c r="J117" s="14"/>
      <c r="K117" s="14"/>
      <c r="L117" s="14"/>
      <c r="M117" s="14"/>
      <c r="N117" s="14"/>
      <c r="O117" s="14"/>
      <c r="P117" s="14"/>
      <c r="Q117" s="14"/>
      <c r="R117" s="14"/>
      <c r="T117" s="14"/>
      <c r="U117" s="14"/>
      <c r="W117" s="14"/>
      <c r="X117" s="14"/>
      <c r="AB117" s="14"/>
      <c r="AC117" s="14"/>
      <c r="AD117" s="14"/>
      <c r="AE117" s="14"/>
      <c r="AF117" s="14"/>
      <c r="AG117" s="302">
        <v>90</v>
      </c>
      <c r="AH117" s="810">
        <f>(TestVSOTF/SOTF_Isc)*COS(RADIANS(AG117))*Settings!$AL$25</f>
        <v>0</v>
      </c>
      <c r="AI117" s="810">
        <f>(TestVSOTF/SOTF_Isc)*SIN(RADIANS(AG117))*Settings!$AL$25</f>
        <v>0</v>
      </c>
      <c r="AJ117" s="7"/>
      <c r="AK117" s="290"/>
      <c r="AL117" s="810">
        <f>(TestV_SOTF_E/SOTF_Isc)*COS(RADIANS(AG117))*Settings!$AL$26</f>
        <v>6.718846159731712E-16</v>
      </c>
      <c r="AM117" s="810">
        <f>(TestV_SOTF_E/SOTF_Isc)*SIN(RADIANS(AG117))*Settings!$AL$26</f>
        <v>10.968215537982047</v>
      </c>
      <c r="AO117" s="252" t="s">
        <v>1148</v>
      </c>
      <c r="AP117" s="146">
        <f>ROUND(0.5*Settings!C5*Settings!C3*COS(RADIANS(20))*SQRT(3)/1000,1)</f>
        <v>111.9</v>
      </c>
    </row>
    <row r="118" spans="1:44" ht="13.5">
      <c r="A118" s="14"/>
      <c r="B118" s="14"/>
      <c r="C118" s="14"/>
      <c r="D118" s="14"/>
      <c r="E118" s="14"/>
      <c r="F118" s="14"/>
      <c r="G118" s="14"/>
      <c r="H118" s="14"/>
      <c r="I118" s="14"/>
      <c r="J118" s="14"/>
      <c r="K118" s="14"/>
      <c r="L118" s="14"/>
      <c r="M118" s="14"/>
      <c r="N118" s="14"/>
      <c r="O118" s="14"/>
      <c r="P118" s="14"/>
      <c r="Q118" s="14"/>
      <c r="R118" s="14"/>
      <c r="T118" s="14"/>
      <c r="U118" s="14"/>
      <c r="W118" s="14"/>
      <c r="X118" s="14"/>
      <c r="AB118" s="14"/>
      <c r="AC118" s="14"/>
      <c r="AD118" s="14"/>
      <c r="AE118" s="14"/>
      <c r="AF118" s="14"/>
      <c r="AG118" s="302">
        <v>105</v>
      </c>
      <c r="AH118" s="810">
        <f>(TestVSOTF/SOTF_Isc)*COS(RADIANS(AG118))*Settings!$AL$25</f>
        <v>0</v>
      </c>
      <c r="AI118" s="810">
        <f>(TestVSOTF/SOTF_Isc)*SIN(RADIANS(AG118))*Settings!$AL$25</f>
        <v>0</v>
      </c>
      <c r="AJ118" s="7"/>
      <c r="AK118" s="290"/>
      <c r="AL118" s="810">
        <f>(TestV_SOTF_E/SOTF_Isc)*COS(RADIANS(AG118))*Settings!$AL$26</f>
        <v>-2.8387830720191456</v>
      </c>
      <c r="AM118" s="810">
        <f>(TestV_SOTF_E/SOTF_Isc)*SIN(RADIANS(AG118))*Settings!$AL$26</f>
        <v>10.594482656441906</v>
      </c>
      <c r="AO118" s="252" t="s">
        <v>1185</v>
      </c>
      <c r="AP118" s="146">
        <f>ROUND(0.5*Settings!C5*Settings!C3*SIN(RADIANS(20))*SQRT(3)/1000,1)</f>
        <v>40.700000000000003</v>
      </c>
    </row>
    <row r="119" spans="1:44" ht="13.5">
      <c r="A119" s="14"/>
      <c r="B119" s="14"/>
      <c r="C119" s="14"/>
      <c r="D119" s="14"/>
      <c r="E119" s="14"/>
      <c r="F119" s="14"/>
      <c r="G119" s="14"/>
      <c r="H119" s="14"/>
      <c r="I119" s="14"/>
      <c r="J119" s="14"/>
      <c r="K119" s="14"/>
      <c r="L119" s="14"/>
      <c r="M119" s="14"/>
      <c r="N119" s="14"/>
      <c r="O119" s="14"/>
      <c r="P119" s="14"/>
      <c r="Q119" s="14"/>
      <c r="R119" s="14"/>
      <c r="T119" s="14"/>
      <c r="U119" s="14"/>
      <c r="W119" s="14"/>
      <c r="X119" s="14"/>
      <c r="AB119" s="14"/>
      <c r="AC119" s="14"/>
      <c r="AD119" s="14"/>
      <c r="AE119" s="14"/>
      <c r="AF119" s="14"/>
      <c r="AG119" s="302">
        <v>120</v>
      </c>
      <c r="AH119" s="810">
        <f>(TestVSOTF/SOTF_Isc)*COS(RADIANS(AG119))*Settings!$AL$25</f>
        <v>0</v>
      </c>
      <c r="AI119" s="810">
        <f>(TestVSOTF/SOTF_Isc)*SIN(RADIANS(AG119))*Settings!$AL$25</f>
        <v>0</v>
      </c>
      <c r="AJ119" s="7"/>
      <c r="AK119" s="290"/>
      <c r="AL119" s="810">
        <f>(TestV_SOTF_E/SOTF_Isc)*COS(RADIANS(AG119))*Settings!$AL$26</f>
        <v>-5.4841077689910209</v>
      </c>
      <c r="AM119" s="810">
        <f>(TestV_SOTF_E/SOTF_Isc)*SIN(RADIANS(AG119))*Settings!$AL$26</f>
        <v>9.4987532900756566</v>
      </c>
    </row>
    <row r="120" spans="1:44" ht="13.5">
      <c r="A120" s="14"/>
      <c r="B120" s="14"/>
      <c r="C120" s="92" t="s">
        <v>90</v>
      </c>
      <c r="I120" s="92" t="s">
        <v>91</v>
      </c>
      <c r="M120" s="14"/>
      <c r="N120" s="14"/>
      <c r="O120" s="14"/>
      <c r="P120" s="14"/>
      <c r="Q120" s="14"/>
      <c r="R120" s="14"/>
      <c r="T120" s="14"/>
      <c r="U120" s="14"/>
      <c r="W120" s="14"/>
      <c r="X120" s="14"/>
      <c r="AB120" s="14"/>
      <c r="AC120" s="14"/>
      <c r="AD120" s="14"/>
      <c r="AE120" s="14"/>
      <c r="AF120" s="14"/>
      <c r="AG120" s="302">
        <v>135</v>
      </c>
      <c r="AH120" s="810">
        <f>(TestVSOTF/SOTF_Isc)*COS(RADIANS(AG120))*Settings!$AL$25</f>
        <v>0</v>
      </c>
      <c r="AI120" s="810">
        <f>(TestVSOTF/SOTF_Isc)*SIN(RADIANS(AG120))*Settings!$AL$25</f>
        <v>0</v>
      </c>
      <c r="AJ120" s="7"/>
      <c r="AK120" s="290"/>
      <c r="AL120" s="810">
        <f>(TestV_SOTF_E/SOTF_Isc)*COS(RADIANS(AG120))*Settings!$AL$26</f>
        <v>-7.7556995844227616</v>
      </c>
      <c r="AM120" s="810">
        <f>(TestV_SOTF_E/SOTF_Isc)*SIN(RADIANS(AG120))*Settings!$AL$26</f>
        <v>7.7556995844227625</v>
      </c>
    </row>
    <row r="121" spans="1:44" ht="13.5">
      <c r="A121" s="14"/>
      <c r="B121" s="14"/>
      <c r="C121" s="129">
        <f>C52</f>
        <v>1.1576517150395778</v>
      </c>
      <c r="D121" s="125">
        <f t="shared" ref="D121:D130" si="67">IF(C121&gt;$D$132,E52,"")</f>
        <v>28</v>
      </c>
      <c r="E121" s="130">
        <f>IF(D121="","",MAX(1,20/E52*100))</f>
        <v>71.428571428571431</v>
      </c>
      <c r="F121" s="130">
        <f>E121</f>
        <v>71.428571428571431</v>
      </c>
      <c r="G121" s="16"/>
      <c r="H121" s="16"/>
      <c r="I121" s="129">
        <f>D52</f>
        <v>2.3171522217454417</v>
      </c>
      <c r="J121" s="125">
        <f t="shared" ref="J121:J130" si="68">IF(AND(I121&gt;$J$132,E52&lt;&gt;""),E52,"")</f>
        <v>28</v>
      </c>
      <c r="K121" s="130">
        <f>IF(J121="","",MAX(1,20/E52*100))</f>
        <v>71.428571428571431</v>
      </c>
      <c r="L121" s="130">
        <f>K121</f>
        <v>71.428571428571431</v>
      </c>
      <c r="M121" s="14"/>
      <c r="N121" s="14"/>
      <c r="O121" s="14"/>
      <c r="P121" s="14"/>
      <c r="Q121" s="14"/>
      <c r="R121" s="14"/>
      <c r="T121" s="14"/>
      <c r="U121" s="14"/>
      <c r="W121" s="14"/>
      <c r="X121" s="14"/>
      <c r="AB121" s="14"/>
      <c r="AC121" s="14"/>
      <c r="AD121" s="14"/>
      <c r="AE121" s="14"/>
      <c r="AF121" s="14"/>
      <c r="AG121" s="302">
        <v>150</v>
      </c>
      <c r="AH121" s="810">
        <f>(TestVSOTF/SOTF_Isc)*COS(RADIANS(AG121))*Settings!$AL$25</f>
        <v>0</v>
      </c>
      <c r="AI121" s="810">
        <f>(TestVSOTF/SOTF_Isc)*SIN(RADIANS(AG121))*Settings!$AL$25</f>
        <v>0</v>
      </c>
      <c r="AJ121" s="7"/>
      <c r="AK121" s="290"/>
      <c r="AL121" s="810">
        <f>(TestV_SOTF_E/SOTF_Isc)*COS(RADIANS(AG121))*Settings!$AL$26</f>
        <v>-9.4987532900756566</v>
      </c>
      <c r="AM121" s="810">
        <f>(TestV_SOTF_E/SOTF_Isc)*SIN(RADIANS(AG121))*Settings!$AL$26</f>
        <v>5.4841077689910227</v>
      </c>
    </row>
    <row r="122" spans="1:44" ht="13.5">
      <c r="A122" s="14"/>
      <c r="B122" s="14"/>
      <c r="C122" s="129">
        <f>C53</f>
        <v>0.48</v>
      </c>
      <c r="D122" s="125">
        <f t="shared" si="67"/>
        <v>28</v>
      </c>
      <c r="E122" s="130">
        <f>IF(D122="","",MAX(1,20/E53*100))</f>
        <v>71.428571428571431</v>
      </c>
      <c r="F122" s="130">
        <f t="shared" ref="F122:F130" si="69">E122</f>
        <v>71.428571428571431</v>
      </c>
      <c r="G122" s="16"/>
      <c r="H122" s="16"/>
      <c r="I122" s="129">
        <f>D53</f>
        <v>0.95</v>
      </c>
      <c r="J122" s="125">
        <f t="shared" si="68"/>
        <v>28</v>
      </c>
      <c r="K122" s="130">
        <f>IF(J122="","",MAX(1,20/E53*100))</f>
        <v>71.428571428571431</v>
      </c>
      <c r="L122" s="130">
        <f t="shared" ref="L122:L130" si="70">K122</f>
        <v>71.428571428571431</v>
      </c>
      <c r="M122" s="14"/>
      <c r="N122" s="14"/>
      <c r="O122" s="14"/>
      <c r="P122" s="14"/>
      <c r="Q122" s="14"/>
      <c r="R122" s="14"/>
      <c r="T122" s="14"/>
      <c r="U122" s="14"/>
      <c r="W122" s="14"/>
      <c r="X122" s="14"/>
      <c r="AB122" s="14"/>
      <c r="AC122" s="14"/>
      <c r="AD122" s="14"/>
      <c r="AE122" s="14"/>
      <c r="AF122" s="14"/>
      <c r="AG122" s="302">
        <v>165</v>
      </c>
      <c r="AH122" s="810">
        <f>(TestVSOTF/SOTF_Isc)*COS(RADIANS(AG122))*Settings!$AL$25</f>
        <v>0</v>
      </c>
      <c r="AI122" s="810">
        <f>(TestVSOTF/SOTF_Isc)*SIN(RADIANS(AG122))*Settings!$AL$25</f>
        <v>0</v>
      </c>
      <c r="AJ122" s="7"/>
      <c r="AK122" s="290"/>
      <c r="AL122" s="810">
        <f>(TestV_SOTF_E/SOTF_Isc)*COS(RADIANS(AG122))*Settings!$AL$26</f>
        <v>-10.594482656441906</v>
      </c>
      <c r="AM122" s="810">
        <f>(TestV_SOTF_E/SOTF_Isc)*SIN(RADIANS(AG122))*Settings!$AL$26</f>
        <v>2.8387830720191474</v>
      </c>
    </row>
    <row r="123" spans="1:44" ht="13.5">
      <c r="A123" s="14"/>
      <c r="B123" s="14"/>
      <c r="C123" s="129" t="str">
        <f>IF(B$55="Not Testable","",C54)</f>
        <v/>
      </c>
      <c r="D123" s="125" t="str">
        <f t="shared" si="67"/>
        <v/>
      </c>
      <c r="E123" s="130" t="str">
        <f>IF(D123="","",IF(AR26="No Overreach","",MAX(1,20/E54*100)))</f>
        <v/>
      </c>
      <c r="F123" s="130" t="str">
        <f t="shared" si="69"/>
        <v/>
      </c>
      <c r="G123" s="16"/>
      <c r="H123" s="16"/>
      <c r="I123" s="129" t="str">
        <f>IF(B$55="Not Testable","",D54)</f>
        <v/>
      </c>
      <c r="J123" s="125" t="str">
        <f t="shared" si="68"/>
        <v/>
      </c>
      <c r="K123" s="130" t="str">
        <f>IF(J123="","",IF(AR26="No Overreach","",MAX(1,20/E54*100)))</f>
        <v/>
      </c>
      <c r="L123" s="130" t="str">
        <f t="shared" si="70"/>
        <v/>
      </c>
      <c r="M123" s="14"/>
      <c r="N123" s="14"/>
      <c r="O123" s="14"/>
      <c r="P123" s="14"/>
      <c r="Q123" s="14"/>
      <c r="R123" s="14"/>
      <c r="T123" s="14"/>
      <c r="U123" s="14"/>
      <c r="W123" s="14"/>
      <c r="X123" s="14"/>
      <c r="AB123" s="14"/>
      <c r="AC123" s="14"/>
      <c r="AD123" s="14"/>
      <c r="AE123" s="14"/>
      <c r="AF123" s="14"/>
      <c r="AG123" s="302">
        <v>180</v>
      </c>
      <c r="AH123" s="810">
        <f>(TestVSOTF/SOTF_Isc)*COS(RADIANS(AG123))*Settings!$AL$25</f>
        <v>0</v>
      </c>
      <c r="AI123" s="810">
        <f>(TestVSOTF/SOTF_Isc)*SIN(RADIANS(AG123))*Settings!$AL$25</f>
        <v>0</v>
      </c>
      <c r="AJ123" s="7"/>
      <c r="AK123" s="290"/>
      <c r="AL123" s="810">
        <f>(TestV_SOTF_E/SOTF_Isc)*COS(RADIANS(AG123))*Settings!$AL$26</f>
        <v>-10.968215537982047</v>
      </c>
      <c r="AM123" s="810">
        <f>(TestV_SOTF_E/SOTF_Isc)*SIN(RADIANS(AG123))*Settings!$AL$26</f>
        <v>1.3437692319463424E-15</v>
      </c>
    </row>
    <row r="124" spans="1:44" ht="13.5">
      <c r="A124" s="14"/>
      <c r="B124" s="14"/>
      <c r="C124" s="129" t="str">
        <f>IF(B$55="Not Testable","",C55)</f>
        <v/>
      </c>
      <c r="D124" s="125" t="str">
        <f t="shared" si="67"/>
        <v/>
      </c>
      <c r="E124" s="130" t="str">
        <f>IF(D124="","",IF(AP42="No Overreach","",MAX(1,20/E55*100)))</f>
        <v/>
      </c>
      <c r="F124" s="130" t="str">
        <f t="shared" si="69"/>
        <v/>
      </c>
      <c r="G124" s="16"/>
      <c r="H124" s="16"/>
      <c r="I124" s="129" t="str">
        <f>IF(B$55="Not Testable","",D55)</f>
        <v/>
      </c>
      <c r="J124" s="125" t="str">
        <f t="shared" si="68"/>
        <v/>
      </c>
      <c r="K124" s="130" t="str">
        <f>IF(J124="","",IF(AR26="No Overreach","",MAX(1,20/E55*100)))</f>
        <v/>
      </c>
      <c r="L124" s="130" t="str">
        <f t="shared" si="70"/>
        <v/>
      </c>
      <c r="M124" s="14"/>
      <c r="N124" s="14"/>
      <c r="O124" s="14"/>
      <c r="P124" s="14"/>
      <c r="Q124" s="14"/>
      <c r="R124" s="14"/>
      <c r="T124" s="14"/>
      <c r="U124" s="14"/>
      <c r="W124" s="14"/>
      <c r="X124" s="14"/>
      <c r="AB124" s="14"/>
      <c r="AC124" s="14"/>
      <c r="AD124" s="14"/>
      <c r="AE124" s="14"/>
      <c r="AF124" s="14"/>
      <c r="AG124" s="302">
        <v>195</v>
      </c>
      <c r="AH124" s="810">
        <f>(TestVSOTF/SOTF_Isc)*COS(RADIANS(AG124))*Settings!$AL$25</f>
        <v>0</v>
      </c>
      <c r="AI124" s="810">
        <f>(TestVSOTF/SOTF_Isc)*SIN(RADIANS(AG124))*Settings!$AL$25</f>
        <v>0</v>
      </c>
      <c r="AJ124" s="7"/>
      <c r="AK124" s="290"/>
      <c r="AL124" s="810">
        <f>(TestV_SOTF_E/SOTF_Isc)*COS(RADIANS(AG124))*Settings!$AL$26</f>
        <v>-10.594482656441906</v>
      </c>
      <c r="AM124" s="810">
        <f>(TestV_SOTF_E/SOTF_Isc)*SIN(RADIANS(AG124))*Settings!$AL$26</f>
        <v>-2.8387830720191447</v>
      </c>
    </row>
    <row r="125" spans="1:44" ht="13.5">
      <c r="A125" s="14"/>
      <c r="B125" s="14"/>
      <c r="C125" s="129">
        <f>IF(B$57="Not Testable","",C56)</f>
        <v>0.44916886543535617</v>
      </c>
      <c r="D125" s="125">
        <f t="shared" si="67"/>
        <v>428</v>
      </c>
      <c r="E125" s="130">
        <f>IF(D125="","",IF(AP60="No","",MAX(1,20/E56*100)))</f>
        <v>4.6728971962616823</v>
      </c>
      <c r="F125" s="130">
        <f t="shared" si="69"/>
        <v>4.6728971962616823</v>
      </c>
      <c r="G125" s="16"/>
      <c r="H125" s="16"/>
      <c r="I125" s="129">
        <f>IF(B$57="Not Testable","",D56)</f>
        <v>0.89905506203723118</v>
      </c>
      <c r="J125" s="125">
        <f t="shared" si="68"/>
        <v>428</v>
      </c>
      <c r="K125" s="130">
        <f>IF(J125="","",IF(AP60="No","",MAX(1,20/E56*100)))</f>
        <v>4.6728971962616823</v>
      </c>
      <c r="L125" s="130">
        <f t="shared" si="70"/>
        <v>4.6728971962616823</v>
      </c>
      <c r="M125" s="14"/>
      <c r="N125" s="14"/>
      <c r="O125" s="14"/>
      <c r="P125" s="14"/>
      <c r="Q125" s="14"/>
      <c r="R125" s="14"/>
      <c r="T125" s="14"/>
      <c r="U125" s="14"/>
      <c r="W125" s="14"/>
      <c r="X125" s="14"/>
      <c r="AB125" s="14"/>
      <c r="AC125" s="14"/>
      <c r="AD125" s="14"/>
      <c r="AE125" s="14"/>
      <c r="AF125" s="14"/>
      <c r="AG125" s="302">
        <v>210</v>
      </c>
      <c r="AH125" s="810">
        <f>(TestVSOTF/SOTF_Isc)*COS(RADIANS(AG125))*Settings!$AL$25</f>
        <v>0</v>
      </c>
      <c r="AI125" s="810">
        <f>(TestVSOTF/SOTF_Isc)*SIN(RADIANS(AG125))*Settings!$AL$25</f>
        <v>0</v>
      </c>
      <c r="AJ125" s="7"/>
      <c r="AK125" s="290"/>
      <c r="AL125" s="810">
        <f>(TestV_SOTF_E/SOTF_Isc)*COS(RADIANS(AG125))*Settings!$AL$26</f>
        <v>-9.4987532900756566</v>
      </c>
      <c r="AM125" s="810">
        <f>(TestV_SOTF_E/SOTF_Isc)*SIN(RADIANS(AG125))*Settings!$AL$26</f>
        <v>-5.4841077689910245</v>
      </c>
    </row>
    <row r="126" spans="1:44" ht="13.5">
      <c r="A126" s="14"/>
      <c r="B126" s="14"/>
      <c r="C126" s="129">
        <f>IF(B$57="Not Testable","",C57)</f>
        <v>0.34203405865657516</v>
      </c>
      <c r="D126" s="125">
        <f t="shared" si="67"/>
        <v>428</v>
      </c>
      <c r="E126" s="130">
        <f>IF(D126="","",IF(AP61="No","",MAX(1,20/E57*100)))</f>
        <v>4.6728971962616823</v>
      </c>
      <c r="F126" s="130">
        <f t="shared" si="69"/>
        <v>4.6728971962616823</v>
      </c>
      <c r="G126" s="16"/>
      <c r="H126" s="16"/>
      <c r="I126" s="129">
        <f>IF(B$57="Not Testable","",D57)</f>
        <v>0.684614352168604</v>
      </c>
      <c r="J126" s="125">
        <f t="shared" si="68"/>
        <v>428</v>
      </c>
      <c r="K126" s="130">
        <f>IF(J126="","",IF(AP61="No","",MAX(1,20/E57*100)))</f>
        <v>4.6728971962616823</v>
      </c>
      <c r="L126" s="130">
        <f t="shared" si="70"/>
        <v>4.6728971962616823</v>
      </c>
      <c r="M126" s="14"/>
      <c r="N126" s="14"/>
      <c r="O126" s="14"/>
      <c r="P126" s="14"/>
      <c r="Q126" s="14"/>
      <c r="R126" s="14"/>
      <c r="T126" s="14"/>
      <c r="U126" s="14"/>
      <c r="W126" s="14"/>
      <c r="X126" s="14"/>
      <c r="AB126" s="14"/>
      <c r="AC126" s="14"/>
      <c r="AD126" s="14"/>
      <c r="AE126" s="14"/>
      <c r="AF126" s="14"/>
      <c r="AG126" s="302">
        <v>225</v>
      </c>
      <c r="AH126" s="810">
        <f>(TestVSOTF/SOTF_Isc)*COS(RADIANS(AG126))*Settings!$AL$25</f>
        <v>0</v>
      </c>
      <c r="AI126" s="810">
        <f>(TestVSOTF/SOTF_Isc)*SIN(RADIANS(AG126))*Settings!$AL$25</f>
        <v>0</v>
      </c>
      <c r="AJ126" s="7"/>
      <c r="AK126" s="290"/>
      <c r="AL126" s="810">
        <f>(TestV_SOTF_E/SOTF_Isc)*COS(RADIANS(AG126))*Settings!$AL$26</f>
        <v>-7.7556995844227634</v>
      </c>
      <c r="AM126" s="810">
        <f>(TestV_SOTF_E/SOTF_Isc)*SIN(RADIANS(AG126))*Settings!$AL$26</f>
        <v>-7.7556995844227616</v>
      </c>
      <c r="AR126" s="403"/>
    </row>
    <row r="127" spans="1:44" ht="13.5">
      <c r="A127" s="14"/>
      <c r="C127" s="129">
        <f>IF(B$59="Not Testable","",C58)</f>
        <v>0.32181984578997153</v>
      </c>
      <c r="D127" s="125">
        <f t="shared" si="67"/>
        <v>4528</v>
      </c>
      <c r="E127" s="130">
        <f>IF(D127="","",IF(B58="","",MAX(1,20/E58*100)))</f>
        <v>1</v>
      </c>
      <c r="F127" s="130">
        <f t="shared" si="69"/>
        <v>1</v>
      </c>
      <c r="G127" s="16"/>
      <c r="H127" s="16"/>
      <c r="I127" s="129">
        <f>IF(B$59="Not Testable","",D58)</f>
        <v>0.6441536439554395</v>
      </c>
      <c r="J127" s="125">
        <f t="shared" si="68"/>
        <v>4528</v>
      </c>
      <c r="K127" s="130">
        <f>IF(J127="","",IF(B58="","",MAX(1,20/E58*100)))</f>
        <v>1</v>
      </c>
      <c r="L127" s="130">
        <f t="shared" si="70"/>
        <v>1</v>
      </c>
      <c r="M127" s="14"/>
      <c r="N127" s="14"/>
      <c r="O127" s="14"/>
      <c r="P127" s="14"/>
      <c r="Q127" s="14"/>
      <c r="R127" s="14"/>
      <c r="T127" s="14"/>
      <c r="U127" s="14"/>
      <c r="W127" s="14"/>
      <c r="X127" s="14"/>
      <c r="AB127" s="14"/>
      <c r="AC127" s="14"/>
      <c r="AD127" s="14"/>
      <c r="AE127" s="14"/>
      <c r="AF127" s="14"/>
      <c r="AG127" s="302">
        <v>240</v>
      </c>
      <c r="AH127" s="810">
        <f>(TestVSOTF/SOTF_Isc)*COS(RADIANS(AG127))*Settings!$AL$25</f>
        <v>0</v>
      </c>
      <c r="AI127" s="810">
        <f>(TestVSOTF/SOTF_Isc)*SIN(RADIANS(AG127))*Settings!$AL$25</f>
        <v>0</v>
      </c>
      <c r="AJ127" s="7"/>
      <c r="AK127" s="290"/>
      <c r="AL127" s="810">
        <f>(TestV_SOTF_E/SOTF_Isc)*COS(RADIANS(AG127))*Settings!$AL$26</f>
        <v>-5.484107768991028</v>
      </c>
      <c r="AM127" s="810">
        <f>(TestV_SOTF_E/SOTF_Isc)*SIN(RADIANS(AG127))*Settings!$AL$26</f>
        <v>-9.4987532900756531</v>
      </c>
      <c r="AR127" s="403"/>
    </row>
    <row r="128" spans="1:44" ht="13.5">
      <c r="A128" s="14"/>
      <c r="B128" s="14"/>
      <c r="C128" s="129">
        <f>IF(B$59="Not Testable","",C59)</f>
        <v>0.18540000000000001</v>
      </c>
      <c r="D128" s="125">
        <f t="shared" si="67"/>
        <v>4528</v>
      </c>
      <c r="E128" s="130">
        <f>IF(D128="","",IF(B59="","",MAX(1,20/E59*100)))</f>
        <v>1</v>
      </c>
      <c r="F128" s="130">
        <f t="shared" si="69"/>
        <v>1</v>
      </c>
      <c r="G128" s="16"/>
      <c r="H128" s="16"/>
      <c r="I128" s="129">
        <f>IF(B$59="Not Testable","",D59)</f>
        <v>0.37079999999999996</v>
      </c>
      <c r="J128" s="125">
        <f t="shared" si="68"/>
        <v>4528</v>
      </c>
      <c r="K128" s="130">
        <f>IF(J128="","",IF(B59="","",MAX(1,20/E59*100)))</f>
        <v>1</v>
      </c>
      <c r="L128" s="130">
        <f t="shared" si="70"/>
        <v>1</v>
      </c>
      <c r="M128" s="14"/>
      <c r="N128" s="14"/>
      <c r="O128" s="14"/>
      <c r="P128" s="14"/>
      <c r="Q128" s="14"/>
      <c r="R128" s="14"/>
      <c r="T128" s="14"/>
      <c r="U128" s="14"/>
      <c r="W128" s="14"/>
      <c r="X128" s="14"/>
      <c r="AB128" s="14"/>
      <c r="AC128" s="14"/>
      <c r="AD128" s="14"/>
      <c r="AE128" s="14"/>
      <c r="AF128" s="14"/>
      <c r="AG128" s="302">
        <v>255</v>
      </c>
      <c r="AH128" s="810">
        <f>(TestVSOTF/SOTF_Isc)*COS(RADIANS(AG128))*Settings!$AL$25</f>
        <v>0</v>
      </c>
      <c r="AI128" s="810">
        <f>(TestVSOTF/SOTF_Isc)*SIN(RADIANS(AG128))*Settings!$AL$25</f>
        <v>0</v>
      </c>
      <c r="AK128" s="290"/>
      <c r="AL128" s="810">
        <f>(TestV_SOTF_E/SOTF_Isc)*COS(RADIANS(AG128))*Settings!$AL$26</f>
        <v>-2.8387830720191429</v>
      </c>
      <c r="AM128" s="810">
        <f>(TestV_SOTF_E/SOTF_Isc)*SIN(RADIANS(AG128))*Settings!$AL$26</f>
        <v>-10.594482656441906</v>
      </c>
    </row>
    <row r="129" spans="1:39" ht="13.5">
      <c r="A129" s="14"/>
      <c r="B129" s="14"/>
      <c r="C129" s="129" t="str">
        <f>IF(B$61="Not Testable","",C60)</f>
        <v/>
      </c>
      <c r="D129" s="125" t="str">
        <f t="shared" si="67"/>
        <v/>
      </c>
      <c r="E129" s="131" t="str">
        <f>IF(D129="","",IF(B60="No Op","",MAX(1,20/E60*100)))</f>
        <v/>
      </c>
      <c r="F129" s="131" t="str">
        <f t="shared" si="69"/>
        <v/>
      </c>
      <c r="G129" s="16"/>
      <c r="H129" s="16"/>
      <c r="I129" s="129" t="str">
        <f>IF(B$61="Not Testable","",D60)</f>
        <v/>
      </c>
      <c r="J129" s="125" t="str">
        <f t="shared" si="68"/>
        <v/>
      </c>
      <c r="K129" s="130" t="str">
        <f>IF(J129="","",IF(B60="No Op","",MAX(1,20/E60*100)))</f>
        <v/>
      </c>
      <c r="L129" s="130" t="str">
        <f t="shared" si="70"/>
        <v/>
      </c>
      <c r="M129" s="14"/>
      <c r="N129" s="14"/>
      <c r="O129" s="14"/>
      <c r="P129" s="14"/>
      <c r="Q129" s="14"/>
      <c r="R129" s="14"/>
      <c r="T129" s="14"/>
      <c r="U129" s="14"/>
      <c r="W129" s="14"/>
      <c r="X129" s="14"/>
      <c r="AA129" s="14"/>
      <c r="AC129" s="14"/>
      <c r="AD129" s="14"/>
      <c r="AE129" s="14"/>
      <c r="AF129" s="14"/>
      <c r="AG129" s="302">
        <v>270</v>
      </c>
      <c r="AH129" s="810">
        <f>(TestVSOTF/SOTF_Isc)*COS(RADIANS(AG129))*Settings!$AL$25</f>
        <v>0</v>
      </c>
      <c r="AI129" s="810">
        <f>(TestVSOTF/SOTF_Isc)*SIN(RADIANS(AG129))*Settings!$AL$25</f>
        <v>0</v>
      </c>
      <c r="AK129" s="290"/>
      <c r="AL129" s="810">
        <f>(TestV_SOTF_E/SOTF_Isc)*COS(RADIANS(AG129))*Settings!$AL$26</f>
        <v>-2.0156538479195135E-15</v>
      </c>
      <c r="AM129" s="810">
        <f>(TestV_SOTF_E/SOTF_Isc)*SIN(RADIANS(AG129))*Settings!$AL$26</f>
        <v>-10.968215537982047</v>
      </c>
    </row>
    <row r="130" spans="1:39" ht="13.5">
      <c r="A130" s="14"/>
      <c r="B130" s="14"/>
      <c r="C130" s="129" t="str">
        <f>IF(B$61="Not Testable","",C61)</f>
        <v/>
      </c>
      <c r="D130" s="125" t="str">
        <f t="shared" si="67"/>
        <v/>
      </c>
      <c r="E130" s="132" t="str">
        <f>IF(D130="","",IF(B61="","",MAX(1,ROUND((E61+15)/E61*100-100,0))))</f>
        <v/>
      </c>
      <c r="F130" s="132" t="str">
        <f t="shared" si="69"/>
        <v/>
      </c>
      <c r="G130" s="16"/>
      <c r="H130" s="16"/>
      <c r="I130" s="129" t="str">
        <f>IF(B$61="Not Testable","",D61)</f>
        <v/>
      </c>
      <c r="J130" s="125" t="str">
        <f t="shared" si="68"/>
        <v/>
      </c>
      <c r="K130" s="130" t="str">
        <f>IF(J130="","",IF(B61="","",MAX(1,20/E61*100)))</f>
        <v/>
      </c>
      <c r="L130" s="130" t="str">
        <f t="shared" si="70"/>
        <v/>
      </c>
      <c r="M130" s="14"/>
      <c r="N130" s="14"/>
      <c r="O130" s="14"/>
      <c r="P130" s="14"/>
      <c r="Q130" s="14"/>
      <c r="R130" s="14"/>
      <c r="T130" s="14"/>
      <c r="U130" s="14"/>
      <c r="W130" s="14"/>
      <c r="X130" s="14"/>
      <c r="AA130" s="14"/>
      <c r="AC130" s="14"/>
      <c r="AF130" s="14"/>
      <c r="AG130" s="302">
        <v>285</v>
      </c>
      <c r="AH130" s="810">
        <f>(TestVSOTF/SOTF_Isc)*COS(RADIANS(AG130))*Settings!$AL$25</f>
        <v>0</v>
      </c>
      <c r="AI130" s="810">
        <f>(TestVSOTF/SOTF_Isc)*SIN(RADIANS(AG130))*Settings!$AL$25</f>
        <v>0</v>
      </c>
      <c r="AK130" s="290"/>
      <c r="AL130" s="810">
        <f>(TestV_SOTF_E/SOTF_Isc)*COS(RADIANS(AG130))*Settings!$AL$26</f>
        <v>2.8387830720191394</v>
      </c>
      <c r="AM130" s="810">
        <f>(TestV_SOTF_E/SOTF_Isc)*SIN(RADIANS(AG130))*Settings!$AL$26</f>
        <v>-10.594482656441908</v>
      </c>
    </row>
    <row r="131" spans="1:39" ht="13.5">
      <c r="A131" s="14"/>
      <c r="B131" s="14"/>
      <c r="C131" s="129">
        <f>C62</f>
        <v>0.17444286000000001</v>
      </c>
      <c r="D131" s="125"/>
      <c r="E131" s="132"/>
      <c r="F131" s="132"/>
      <c r="G131" s="16"/>
      <c r="H131" s="16"/>
      <c r="I131" s="129">
        <f>D62</f>
        <v>0.34888571999999995</v>
      </c>
      <c r="J131" s="125"/>
      <c r="K131" s="130"/>
      <c r="L131" s="130"/>
      <c r="M131" s="14"/>
      <c r="N131" s="14"/>
      <c r="O131" s="14"/>
      <c r="P131" s="14"/>
      <c r="Q131" s="14"/>
      <c r="R131" s="14"/>
      <c r="T131" s="14"/>
      <c r="U131" s="14"/>
      <c r="W131" s="14"/>
      <c r="X131" s="14"/>
      <c r="AC131" s="14"/>
      <c r="AD131" s="14"/>
      <c r="AE131" s="14"/>
      <c r="AF131" s="14"/>
      <c r="AG131" s="302">
        <v>300</v>
      </c>
      <c r="AH131" s="810">
        <f>(TestVSOTF/SOTF_Isc)*COS(RADIANS(AG131))*Settings!$AL$25</f>
        <v>0</v>
      </c>
      <c r="AI131" s="810">
        <f>(TestVSOTF/SOTF_Isc)*SIN(RADIANS(AG131))*Settings!$AL$25</f>
        <v>0</v>
      </c>
      <c r="AK131" s="290"/>
      <c r="AL131" s="810">
        <f>(TestV_SOTF_E/SOTF_Isc)*COS(RADIANS(AG131))*Settings!$AL$26</f>
        <v>5.4841077689910245</v>
      </c>
      <c r="AM131" s="810">
        <f>(TestV_SOTF_E/SOTF_Isc)*SIN(RADIANS(AG131))*Settings!$AL$26</f>
        <v>-9.4987532900756566</v>
      </c>
    </row>
    <row r="132" spans="1:39" ht="13.5">
      <c r="A132" s="14"/>
      <c r="B132" s="14"/>
      <c r="C132" s="3" t="s">
        <v>89</v>
      </c>
      <c r="D132" s="16">
        <f>J_</f>
        <v>0.12</v>
      </c>
      <c r="E132" s="16"/>
      <c r="F132" s="16"/>
      <c r="G132" s="16"/>
      <c r="H132" s="16"/>
      <c r="I132" s="3" t="s">
        <v>89</v>
      </c>
      <c r="J132" s="570">
        <f>MAX(Je_,J_)</f>
        <v>0.24</v>
      </c>
      <c r="K132" s="16"/>
      <c r="L132" s="16"/>
      <c r="M132" s="14"/>
      <c r="N132" s="14"/>
      <c r="O132" s="14"/>
      <c r="P132" s="14"/>
      <c r="Q132" s="14"/>
      <c r="R132" s="14"/>
      <c r="T132" s="14"/>
      <c r="U132" s="14"/>
      <c r="W132" s="14"/>
      <c r="X132" s="14"/>
      <c r="AC132" s="14"/>
      <c r="AD132" s="14"/>
      <c r="AE132" s="14"/>
      <c r="AF132" s="14"/>
      <c r="AG132" s="302">
        <v>315</v>
      </c>
      <c r="AH132" s="810">
        <f>(TestVSOTF/SOTF_Isc)*COS(RADIANS(AG132))*Settings!$AL$25</f>
        <v>0</v>
      </c>
      <c r="AI132" s="810">
        <f>(TestVSOTF/SOTF_Isc)*SIN(RADIANS(AG132))*Settings!$AL$25</f>
        <v>0</v>
      </c>
      <c r="AK132" s="290"/>
      <c r="AL132" s="810">
        <f>(TestV_SOTF_E/SOTF_Isc)*COS(RADIANS(AG132))*Settings!$AL$26</f>
        <v>7.7556995844227599</v>
      </c>
      <c r="AM132" s="810">
        <f>(TestV_SOTF_E/SOTF_Isc)*SIN(RADIANS(AG132))*Settings!$AL$26</f>
        <v>-7.7556995844227634</v>
      </c>
    </row>
    <row r="133" spans="1:39" ht="13.5">
      <c r="A133" s="14"/>
      <c r="B133" s="14"/>
      <c r="C133" s="559" t="s">
        <v>859</v>
      </c>
      <c r="D133" s="108">
        <f>MAX(C121:C131)</f>
        <v>1.1576517150395778</v>
      </c>
      <c r="E133" s="109" t="s">
        <v>858</v>
      </c>
      <c r="F133" s="109">
        <f>IF(ROUND(D133,3)&gt;15,2,3)</f>
        <v>3</v>
      </c>
      <c r="G133" s="560"/>
      <c r="H133" s="560"/>
      <c r="I133" s="565"/>
      <c r="J133" s="566">
        <f>MAX(I121:I131)</f>
        <v>2.3171522217454417</v>
      </c>
      <c r="K133" s="565"/>
      <c r="L133" s="565">
        <f>IF(ROUND(J133,3)&gt;15,2,3)</f>
        <v>3</v>
      </c>
      <c r="M133" s="14"/>
      <c r="N133" s="14"/>
      <c r="O133" s="14"/>
      <c r="P133" s="14"/>
      <c r="Q133" s="14"/>
      <c r="R133" s="14"/>
      <c r="T133" s="14"/>
      <c r="U133" s="14"/>
      <c r="W133" s="14"/>
      <c r="X133" s="14"/>
      <c r="AE133" s="14"/>
      <c r="AF133" s="14"/>
      <c r="AG133" s="302">
        <v>330</v>
      </c>
      <c r="AH133" s="810">
        <f>(TestVSOTF/SOTF_Isc)*COS(RADIANS(AG133))*Settings!$AL$25</f>
        <v>0</v>
      </c>
      <c r="AI133" s="810">
        <f>(TestVSOTF/SOTF_Isc)*SIN(RADIANS(AG133))*Settings!$AL$25</f>
        <v>0</v>
      </c>
      <c r="AK133" s="290"/>
      <c r="AL133" s="810">
        <f>(TestV_SOTF_E/SOTF_Isc)*COS(RADIANS(AG133))*Settings!$AL$26</f>
        <v>9.4987532900756531</v>
      </c>
      <c r="AM133" s="810">
        <f>(TestV_SOTF_E/SOTF_Isc)*SIN(RADIANS(AG133))*Settings!$AL$26</f>
        <v>-5.484107768991028</v>
      </c>
    </row>
    <row r="134" spans="1:39" ht="13.5">
      <c r="A134" s="14"/>
      <c r="B134" s="14"/>
      <c r="M134" s="14"/>
      <c r="N134" s="14"/>
      <c r="O134" s="14"/>
      <c r="P134" s="14"/>
      <c r="Q134" s="14"/>
      <c r="R134" s="14"/>
      <c r="T134" s="14"/>
      <c r="U134" s="14"/>
      <c r="W134" s="14"/>
      <c r="X134" s="14"/>
      <c r="AC134" s="14"/>
      <c r="AD134" s="14"/>
      <c r="AE134" s="14"/>
      <c r="AF134" s="14"/>
      <c r="AG134" s="302">
        <v>345</v>
      </c>
      <c r="AH134" s="810">
        <f>(TestVSOTF/SOTF_Isc)*COS(RADIANS(AG134))*Settings!$AL$25</f>
        <v>0</v>
      </c>
      <c r="AI134" s="810">
        <f>(TestVSOTF/SOTF_Isc)*SIN(RADIANS(AG134))*Settings!$AL$25</f>
        <v>0</v>
      </c>
      <c r="AK134" s="290"/>
      <c r="AL134" s="810">
        <f>(TestV_SOTF_E/SOTF_Isc)*COS(RADIANS(AG134))*Settings!$AL$26</f>
        <v>10.594482656441906</v>
      </c>
      <c r="AM134" s="810">
        <f>(TestV_SOTF_E/SOTF_Isc)*SIN(RADIANS(AG134))*Settings!$AL$26</f>
        <v>-2.8387830720191438</v>
      </c>
    </row>
    <row r="135" spans="1:39" ht="13.5">
      <c r="A135" s="14"/>
      <c r="B135" s="14"/>
      <c r="C135" s="129">
        <f>IF(B$68="Not Testable","",C67)</f>
        <v>4.4649999999999999</v>
      </c>
      <c r="D135" s="125">
        <f>IF(C135&gt;$D$132,E67,"")</f>
        <v>528</v>
      </c>
      <c r="E135" s="130">
        <f>IF(D135="","",IF(B67="","",MAX(1,20/E67*100)))</f>
        <v>3.7878787878787881</v>
      </c>
      <c r="F135" s="130">
        <f>E135</f>
        <v>3.7878787878787881</v>
      </c>
      <c r="G135" s="16"/>
      <c r="H135" s="16"/>
      <c r="I135" s="129">
        <f>IF(B$68="Not Testable","",D67)</f>
        <v>6</v>
      </c>
      <c r="J135" s="125">
        <f>IF(AND(I135&gt;$J$132,E67&lt;&gt;""),E67,"")</f>
        <v>528</v>
      </c>
      <c r="K135" s="130">
        <f>IF(J135="","",IF(B67="","",MAX(1,20/E67*100)))</f>
        <v>3.7878787878787881</v>
      </c>
      <c r="L135" s="130">
        <f>K135</f>
        <v>3.7878787878787881</v>
      </c>
      <c r="M135" s="14"/>
      <c r="N135" s="14"/>
      <c r="O135" s="14"/>
      <c r="P135" s="14"/>
      <c r="Q135" s="14"/>
      <c r="R135" s="14"/>
      <c r="T135" s="14"/>
      <c r="U135" s="14"/>
      <c r="W135" s="14"/>
      <c r="X135" s="14"/>
      <c r="AC135" s="14"/>
      <c r="AD135" s="14"/>
      <c r="AE135" s="14"/>
      <c r="AF135" s="14"/>
      <c r="AG135" s="302">
        <v>360</v>
      </c>
      <c r="AH135" s="810">
        <f>(TestVSOTF/SOTF_Isc)*COS(RADIANS(AG135))*Settings!$AL$25</f>
        <v>0</v>
      </c>
      <c r="AI135" s="810">
        <f>(TestVSOTF/SOTF_Isc)*SIN(RADIANS(AG135))*Settings!$AL$25</f>
        <v>0</v>
      </c>
      <c r="AK135" s="290"/>
      <c r="AL135" s="810">
        <f>(TestV_SOTF_E/SOTF_Isc)*COS(RADIANS(AG135))*Settings!$AL$26</f>
        <v>10.968215537982047</v>
      </c>
      <c r="AM135" s="810">
        <f>(TestV_SOTF_E/SOTF_Isc)*SIN(RADIANS(AG135))*Settings!$AL$26</f>
        <v>-2.6875384638926848E-15</v>
      </c>
    </row>
    <row r="136" spans="1:39">
      <c r="A136" s="14"/>
      <c r="B136" s="14"/>
      <c r="C136" s="129">
        <f>IF(B$68="Not Testable","",C68)</f>
        <v>0.91978999999999989</v>
      </c>
      <c r="D136" s="125">
        <f>IF(C136&gt;$D$132,E68,"")</f>
        <v>528</v>
      </c>
      <c r="E136" s="130">
        <f>IF(D136="","",IF(B68="","",MAX(1,20/E68*100)))</f>
        <v>3.7878787878787881</v>
      </c>
      <c r="F136" s="130">
        <f>E136</f>
        <v>3.7878787878787881</v>
      </c>
      <c r="G136" s="16"/>
      <c r="H136" s="16"/>
      <c r="I136" s="129">
        <f>IF(B$68="Not Testable","",D68)</f>
        <v>1.3851140835614313</v>
      </c>
      <c r="J136" s="125">
        <f>IF(AND(I136&gt;$J$132,E68&lt;&gt;""),E68,"")</f>
        <v>528</v>
      </c>
      <c r="K136" s="130">
        <f>IF(J136="","",IF(B68="","",MAX(1,20/E68*100)))</f>
        <v>3.7878787878787881</v>
      </c>
      <c r="L136" s="130">
        <f>K136</f>
        <v>3.7878787878787881</v>
      </c>
      <c r="M136" s="14"/>
      <c r="N136" s="14"/>
      <c r="P136" s="14"/>
      <c r="Q136" s="14"/>
      <c r="R136" s="14"/>
      <c r="T136" s="14"/>
      <c r="U136" s="14"/>
      <c r="W136" s="14"/>
      <c r="X136" s="14"/>
      <c r="AC136" s="14"/>
      <c r="AD136" s="14"/>
      <c r="AE136" s="14"/>
      <c r="AF136" s="14"/>
      <c r="AG136" s="1014" t="s">
        <v>1117</v>
      </c>
      <c r="AH136" s="1015">
        <f>AQ40*COS(RADIANS(AP40))*Settings!$AN$23</f>
        <v>62.225166970057209</v>
      </c>
      <c r="AI136" s="1015">
        <f>AQ40*SIN(RADIANS(AP40))*Settings!$AN$23</f>
        <v>-29.016071888111146</v>
      </c>
      <c r="AK136" s="1014" t="s">
        <v>1117</v>
      </c>
      <c r="AL136" s="1015">
        <f>AS40*COS(RADIANS(AR40))*Settings!$AN$24</f>
        <v>0</v>
      </c>
      <c r="AM136" s="1015">
        <f>AS40*SIN(RADIANS(AR40))*Settings!$AN$24</f>
        <v>0</v>
      </c>
    </row>
    <row r="137" spans="1:39">
      <c r="A137" s="14"/>
      <c r="B137" s="14"/>
      <c r="C137" s="129">
        <f>IF(B$70="Not Testable","",C69)</f>
        <v>0.86543041099999984</v>
      </c>
      <c r="D137" s="125">
        <f>IF(C137&gt;$D$132,E69,"")</f>
        <v>1128</v>
      </c>
      <c r="E137" s="130">
        <f>IF(D137="","",IF(B69="No Op","",MAX(1,20/E69*100)))</f>
        <v>1.773049645390071</v>
      </c>
      <c r="F137" s="130">
        <f>E137</f>
        <v>1.773049645390071</v>
      </c>
      <c r="G137" s="16"/>
      <c r="H137" s="16"/>
      <c r="I137" s="129">
        <f>IF(B$70="Not Testable","",D69)</f>
        <v>1.3032538412229506</v>
      </c>
      <c r="J137" s="125">
        <f>IF(AND(I137&gt;$J$132,E69&lt;&gt;""),E69,"")</f>
        <v>1128</v>
      </c>
      <c r="K137" s="130">
        <f>IF(J137="","",IF(B69="No Op","",MAX(1,20/E69*100)))</f>
        <v>1.773049645390071</v>
      </c>
      <c r="L137" s="130">
        <f>K137</f>
        <v>1.773049645390071</v>
      </c>
      <c r="M137" s="14"/>
      <c r="N137" s="14"/>
      <c r="O137" s="14"/>
      <c r="P137" s="14"/>
      <c r="Q137" s="14"/>
      <c r="R137" s="14"/>
      <c r="T137" s="14"/>
      <c r="U137" s="14"/>
      <c r="W137" s="14"/>
      <c r="X137" s="14"/>
      <c r="AC137" s="14"/>
      <c r="AD137" s="14"/>
      <c r="AE137" s="14"/>
      <c r="AF137" s="14"/>
      <c r="AG137" s="1014"/>
      <c r="AH137" s="1015">
        <f>AQ41*COS(RADIANS(AP41))*Settings!$AN$23</f>
        <v>70</v>
      </c>
      <c r="AI137" s="1015">
        <f>AQ41*SIN(RADIANS(AP41))*Settings!$AN$23</f>
        <v>0</v>
      </c>
      <c r="AK137" s="1014"/>
      <c r="AL137" s="1015">
        <f>AS41*COS(RADIANS(AR41))*Settings!$AN$24</f>
        <v>0</v>
      </c>
      <c r="AM137" s="1015">
        <f>AS41*SIN(RADIANS(AR41))*Settings!$AN$24</f>
        <v>0</v>
      </c>
    </row>
    <row r="138" spans="1:39">
      <c r="A138" s="14"/>
      <c r="B138" s="14"/>
      <c r="C138" s="129">
        <f>IF(B$70="Not Testable","",C70)</f>
        <v>0.18540000000000001</v>
      </c>
      <c r="D138" s="125">
        <f>IF(C138&gt;$D$132,E70,"")</f>
        <v>1128</v>
      </c>
      <c r="E138" s="130">
        <f>IF(D138="","",IF(B70="","",MAX(1,20/E70*100)))</f>
        <v>1.773049645390071</v>
      </c>
      <c r="F138" s="130">
        <f>E138</f>
        <v>1.773049645390071</v>
      </c>
      <c r="G138" s="16"/>
      <c r="H138" s="16"/>
      <c r="I138" s="129">
        <f>IF(B$70="Not Testable","",D70)</f>
        <v>0.37080000000000002</v>
      </c>
      <c r="J138" s="125">
        <f>IF(AND(I138&gt;$J$132,E70&lt;&gt;""),E70,"")</f>
        <v>1128</v>
      </c>
      <c r="K138" s="130">
        <f>IF(J138="","",IF(B70="","",MAX(1,20/E70*100)))</f>
        <v>1.773049645390071</v>
      </c>
      <c r="L138" s="130">
        <f>K138</f>
        <v>1.773049645390071</v>
      </c>
      <c r="M138" s="14"/>
      <c r="N138" s="14"/>
      <c r="O138" s="14"/>
      <c r="P138" s="14"/>
      <c r="Q138" s="14"/>
      <c r="R138" s="14"/>
      <c r="T138" s="14"/>
      <c r="U138" s="14"/>
      <c r="W138" s="14"/>
      <c r="X138" s="14"/>
      <c r="AC138" s="14"/>
      <c r="AD138" s="14"/>
      <c r="AE138" s="14"/>
      <c r="AF138" s="14"/>
      <c r="AG138" s="1014"/>
      <c r="AH138" s="1015">
        <f>AQ42*COS(RADIANS(AP42))*Settings!$AN$23</f>
        <v>85.809002353436242</v>
      </c>
      <c r="AI138" s="1015">
        <f>AQ42*SIN(RADIANS(AP42))*Settings!$AN$23</f>
        <v>59.000000000000007</v>
      </c>
      <c r="AK138" s="1014"/>
      <c r="AL138" s="1015">
        <f>AS42*COS(RADIANS(AR42))*Settings!$AN$24</f>
        <v>0</v>
      </c>
      <c r="AM138" s="1015">
        <f>AS42*SIN(RADIANS(AR42))*Settings!$AN$24</f>
        <v>0</v>
      </c>
    </row>
    <row r="139" spans="1:39">
      <c r="A139" s="14"/>
      <c r="B139" s="14"/>
      <c r="C139" s="129">
        <f>C71</f>
        <v>0.17444286000000001</v>
      </c>
      <c r="D139" s="125"/>
      <c r="E139" s="130"/>
      <c r="F139" s="130"/>
      <c r="G139" s="16"/>
      <c r="H139" s="16"/>
      <c r="I139" s="129">
        <f>D71</f>
        <v>0.34888572000000001</v>
      </c>
      <c r="J139" s="125"/>
      <c r="K139" s="130"/>
      <c r="L139" s="130"/>
      <c r="M139" s="14"/>
      <c r="N139" s="14"/>
      <c r="O139" s="14"/>
      <c r="P139" s="14"/>
      <c r="Q139" s="14"/>
      <c r="R139" s="14"/>
      <c r="T139" s="14"/>
      <c r="U139" s="14"/>
      <c r="W139" s="14"/>
      <c r="X139" s="14"/>
      <c r="Y139" s="258"/>
      <c r="AA139" s="1"/>
      <c r="AB139" s="14"/>
      <c r="AC139" s="14"/>
      <c r="AD139" s="14"/>
      <c r="AG139" s="1014"/>
      <c r="AH139" s="1015">
        <f>AQ43*COS(RADIANS(AP43))*Settings!$AN$23</f>
        <v>3.614187941980429E-15</v>
      </c>
      <c r="AI139" s="1015">
        <f>AQ43*SIN(RADIANS(AP43))*Settings!$AN$23</f>
        <v>59</v>
      </c>
      <c r="AK139" s="1014"/>
      <c r="AL139" s="1015">
        <f>AS43*COS(RADIANS(AR43))*Settings!$AN$24</f>
        <v>0</v>
      </c>
      <c r="AM139" s="1015">
        <f>AS43*SIN(RADIANS(AR43))*Settings!$AN$24</f>
        <v>0</v>
      </c>
    </row>
    <row r="140" spans="1:39">
      <c r="A140" s="14"/>
      <c r="B140" s="14"/>
      <c r="C140" s="561" t="s">
        <v>860</v>
      </c>
      <c r="D140" s="562">
        <f>MAX(C135:C139)</f>
        <v>4.4649999999999999</v>
      </c>
      <c r="E140" s="155" t="s">
        <v>858</v>
      </c>
      <c r="F140" s="155">
        <f>IF(ROUND(D140,3)&gt;15,2,3)</f>
        <v>3</v>
      </c>
      <c r="G140" s="16"/>
      <c r="H140" s="16"/>
      <c r="I140" s="563"/>
      <c r="J140" s="564">
        <f>MAX(I135:I139)</f>
        <v>6</v>
      </c>
      <c r="K140" s="563"/>
      <c r="L140" s="563">
        <f>IF(ROUND(J140,3)&gt;15,2,3)</f>
        <v>3</v>
      </c>
      <c r="M140" s="14"/>
      <c r="N140" s="14"/>
      <c r="O140" s="14"/>
      <c r="P140" s="14"/>
      <c r="Q140" s="14"/>
      <c r="R140" s="14"/>
      <c r="T140" s="14"/>
      <c r="U140" s="14"/>
      <c r="W140" s="14"/>
      <c r="X140" s="14"/>
      <c r="AB140" s="14"/>
      <c r="AC140" s="14"/>
      <c r="AD140" s="14"/>
      <c r="AG140" s="1014"/>
      <c r="AH140" s="1015">
        <f>AQ44*COS(RADIANS(AP44))*Settings!$AN$23</f>
        <v>-27.512151831144905</v>
      </c>
      <c r="AI140" s="1015">
        <f>AQ44*SIN(RADIANS(AP44))*Settings!$AN$23</f>
        <v>58.999999999999993</v>
      </c>
      <c r="AK140" s="1014"/>
      <c r="AL140" s="1015">
        <f>AS44*COS(RADIANS(AR44))*Settings!$AN$24</f>
        <v>0</v>
      </c>
      <c r="AM140" s="1015">
        <f>AS44*SIN(RADIANS(AR44))*Settings!$AN$24</f>
        <v>0</v>
      </c>
    </row>
    <row r="141" spans="1:39">
      <c r="A141" s="14"/>
      <c r="B141" s="14"/>
      <c r="C141" s="14"/>
      <c r="D141" s="14"/>
      <c r="E141" s="14"/>
      <c r="F141" s="14"/>
      <c r="G141" s="14"/>
      <c r="H141" s="14"/>
      <c r="I141" s="14"/>
      <c r="J141" s="14"/>
      <c r="K141" s="14"/>
      <c r="L141" s="14"/>
      <c r="M141" s="14"/>
      <c r="N141" s="14"/>
      <c r="O141" s="14"/>
      <c r="P141" s="14"/>
      <c r="Q141" s="14"/>
      <c r="R141" s="14"/>
      <c r="T141" s="14"/>
      <c r="U141" s="14"/>
      <c r="W141" s="14"/>
      <c r="X141" s="14"/>
      <c r="AA141" s="697"/>
      <c r="AB141" s="14"/>
      <c r="AC141" s="14"/>
      <c r="AD141" s="14"/>
      <c r="AE141" s="14"/>
      <c r="AF141" s="14"/>
      <c r="AG141" s="1014"/>
      <c r="AH141" s="1015">
        <f>AQ45*COS(RADIANS(AP45))*Settings!$AN$23</f>
        <v>-26.036560587524381</v>
      </c>
      <c r="AI141" s="1015">
        <f>AQ45*SIN(RADIANS(AP45))*Settings!$AN$23</f>
        <v>37.184062105493233</v>
      </c>
      <c r="AK141" s="1014"/>
      <c r="AL141" s="1015">
        <f>AS45*COS(RADIANS(AR45))*Settings!$AN$24</f>
        <v>0</v>
      </c>
      <c r="AM141" s="1015">
        <f>AS45*SIN(RADIANS(AR45))*Settings!$AN$24</f>
        <v>0</v>
      </c>
    </row>
    <row r="142" spans="1:39">
      <c r="A142" s="14"/>
      <c r="B142" s="14"/>
      <c r="C142" s="14"/>
      <c r="D142" s="14"/>
      <c r="E142" s="14"/>
      <c r="F142" s="14"/>
      <c r="G142" s="14"/>
      <c r="H142" s="14"/>
      <c r="I142" s="14"/>
      <c r="J142" s="14"/>
      <c r="K142" s="14"/>
      <c r="L142" s="14"/>
      <c r="M142" s="14"/>
      <c r="N142" s="14"/>
      <c r="O142" s="14"/>
      <c r="P142" s="14"/>
      <c r="Q142" s="14"/>
      <c r="R142" s="14"/>
      <c r="T142" s="14"/>
      <c r="U142" s="14"/>
      <c r="W142" s="14"/>
      <c r="X142" s="14"/>
      <c r="AC142" s="14"/>
      <c r="AD142" s="14"/>
      <c r="AE142" s="14"/>
      <c r="AF142" s="14"/>
      <c r="AG142" s="1014"/>
      <c r="AH142" s="1015">
        <f>AQ46*COS(RADIANS(AP46))*Settings!$AN$23</f>
        <v>-36</v>
      </c>
      <c r="AI142" s="1015">
        <f>AQ46*SIN(RADIANS(AP46))*Settings!$AN$23</f>
        <v>4.410534437671032E-15</v>
      </c>
      <c r="AK142" s="1014"/>
      <c r="AL142" s="1015">
        <f>AS46*COS(RADIANS(AR46))*Settings!$AN$24</f>
        <v>0</v>
      </c>
      <c r="AM142" s="1015">
        <f>AS46*SIN(RADIANS(AR46))*Settings!$AN$24</f>
        <v>0</v>
      </c>
    </row>
    <row r="143" spans="1:39">
      <c r="A143" s="14"/>
      <c r="B143" s="14"/>
      <c r="C143" s="119">
        <v>-14</v>
      </c>
      <c r="D143" s="120">
        <v>4.9551903299143101</v>
      </c>
      <c r="E143" s="125">
        <f>IF(D143="","",5)</f>
        <v>5</v>
      </c>
      <c r="F143" s="125">
        <f>IF(D143="","",5)</f>
        <v>5</v>
      </c>
      <c r="G143" s="14"/>
      <c r="H143" s="14"/>
      <c r="I143" s="14"/>
      <c r="J143" s="14"/>
      <c r="K143" s="14"/>
      <c r="L143" s="14"/>
      <c r="M143" s="14"/>
      <c r="N143" s="14"/>
      <c r="O143" s="14"/>
      <c r="P143" s="14"/>
      <c r="Q143" s="14"/>
      <c r="R143" s="14"/>
      <c r="T143" s="14"/>
      <c r="U143" s="14"/>
      <c r="W143" s="14"/>
      <c r="X143" s="14"/>
      <c r="AA143" s="14"/>
      <c r="AB143" s="14"/>
      <c r="AC143" s="14"/>
      <c r="AD143" s="14"/>
      <c r="AE143" s="14"/>
      <c r="AF143" s="14"/>
      <c r="AG143" s="1014"/>
      <c r="AH143" s="1015">
        <f>AQ47*COS(RADIANS(AP47))*Settings!$AN$23</f>
        <v>-55.715701579082008</v>
      </c>
      <c r="AI143" s="1015">
        <f>AQ47*SIN(RADIANS(AP47))*Settings!$AN$23</f>
        <v>-73.58</v>
      </c>
      <c r="AK143" s="1014"/>
      <c r="AL143" s="1015">
        <f>AS47*COS(RADIANS(AR47))*Settings!$AN$24</f>
        <v>0</v>
      </c>
      <c r="AM143" s="1015">
        <f>AS47*SIN(RADIANS(AR47))*Settings!$AN$24</f>
        <v>0</v>
      </c>
    </row>
    <row r="144" spans="1:39">
      <c r="A144" s="14"/>
      <c r="B144" s="14"/>
      <c r="C144" s="119">
        <v>-38.569592503528717</v>
      </c>
      <c r="D144" s="120" t="s">
        <v>51</v>
      </c>
      <c r="E144" s="125" t="str">
        <f t="shared" ref="E144:E154" si="71">IF(D144="","",5)</f>
        <v/>
      </c>
      <c r="F144" s="125" t="str">
        <f t="shared" ref="F144:F154" si="72">IF(D144="","",5)</f>
        <v/>
      </c>
      <c r="G144" s="14"/>
      <c r="H144" s="14"/>
      <c r="I144" s="14"/>
      <c r="J144" s="14"/>
      <c r="K144" s="14"/>
      <c r="L144" s="14"/>
      <c r="M144" s="14"/>
      <c r="N144" s="14"/>
      <c r="O144" s="14"/>
      <c r="P144" s="14"/>
      <c r="Q144" s="14"/>
      <c r="R144" s="14"/>
      <c r="T144" s="14"/>
      <c r="U144" s="14"/>
      <c r="W144" s="14"/>
      <c r="X144" s="14"/>
      <c r="AB144" s="14"/>
      <c r="AC144" s="14"/>
      <c r="AD144" s="14"/>
      <c r="AE144" s="14"/>
      <c r="AF144" s="14"/>
      <c r="AG144" s="1014"/>
      <c r="AH144" s="1015">
        <f>AQ48*COS(RADIANS(AP48))*Settings!$AN$23</f>
        <v>-1.3521963496826438E-14</v>
      </c>
      <c r="AI144" s="1015">
        <f>AQ48*SIN(RADIANS(AP48))*Settings!$AN$23</f>
        <v>-73.58</v>
      </c>
      <c r="AK144" s="1014"/>
      <c r="AL144" s="1015">
        <f>AS48*COS(RADIANS(AR48))*Settings!$AN$24</f>
        <v>0</v>
      </c>
      <c r="AM144" s="1015">
        <f>AS48*SIN(RADIANS(AR48))*Settings!$AN$24</f>
        <v>0</v>
      </c>
    </row>
    <row r="145" spans="1:39">
      <c r="A145" s="14"/>
      <c r="B145" s="14"/>
      <c r="C145" s="119">
        <v>0</v>
      </c>
      <c r="D145" s="120">
        <v>4.8079999999999998</v>
      </c>
      <c r="E145" s="125">
        <f t="shared" si="71"/>
        <v>5</v>
      </c>
      <c r="F145" s="125">
        <f t="shared" si="72"/>
        <v>5</v>
      </c>
      <c r="G145" s="14"/>
      <c r="H145" s="14"/>
      <c r="I145" s="14"/>
      <c r="J145" s="14"/>
      <c r="K145" s="14"/>
      <c r="L145" s="14"/>
      <c r="M145" s="14"/>
      <c r="N145" s="14"/>
      <c r="O145" s="14"/>
      <c r="P145" s="14"/>
      <c r="Q145" s="14"/>
      <c r="R145" s="14"/>
      <c r="T145" s="14"/>
      <c r="U145" s="14"/>
      <c r="W145" s="14"/>
      <c r="X145" s="14"/>
      <c r="AB145" s="14"/>
      <c r="AC145" s="14"/>
      <c r="AD145" s="14"/>
      <c r="AE145" s="14"/>
      <c r="AF145" s="14"/>
      <c r="AG145" s="1014"/>
      <c r="AH145" s="1015">
        <f>AQ49*COS(RADIANS(AP49))*Settings!$AN$23</f>
        <v>64.45381055986546</v>
      </c>
      <c r="AI145" s="1015">
        <f>AQ49*SIN(RADIANS(AP49))*Settings!$AN$23</f>
        <v>-73.58</v>
      </c>
      <c r="AK145" s="1014"/>
      <c r="AL145" s="1015">
        <f>AS49*COS(RADIANS(AR49))*Settings!$AN$24</f>
        <v>0</v>
      </c>
      <c r="AM145" s="1015">
        <f>AS49*SIN(RADIANS(AR49))*Settings!$AN$24</f>
        <v>0</v>
      </c>
    </row>
    <row r="146" spans="1:39" ht="13.5">
      <c r="A146" s="14"/>
      <c r="B146" s="14"/>
      <c r="C146" s="119">
        <v>14.5</v>
      </c>
      <c r="D146" s="120">
        <v>4.9661847010464717</v>
      </c>
      <c r="E146" s="125">
        <f t="shared" si="71"/>
        <v>5</v>
      </c>
      <c r="F146" s="125">
        <f t="shared" si="72"/>
        <v>5</v>
      </c>
      <c r="G146" s="14"/>
      <c r="H146" s="14"/>
      <c r="I146" s="14"/>
      <c r="J146" s="14"/>
      <c r="K146" s="14"/>
      <c r="L146" s="14"/>
      <c r="M146" s="14"/>
      <c r="N146" s="14"/>
      <c r="O146" s="14"/>
      <c r="P146" s="14"/>
      <c r="Q146" s="14"/>
      <c r="R146" s="14"/>
      <c r="T146" s="14"/>
      <c r="U146" s="14"/>
      <c r="W146" s="14"/>
      <c r="X146" s="14"/>
      <c r="AB146" s="14"/>
      <c r="AC146" s="14"/>
      <c r="AD146" s="14"/>
      <c r="AE146" s="14"/>
      <c r="AF146" s="14"/>
      <c r="AJ146" s="7"/>
    </row>
    <row r="147" spans="1:39" ht="13.5">
      <c r="A147" s="14"/>
      <c r="B147" s="14"/>
      <c r="C147" s="119">
        <v>29</v>
      </c>
      <c r="D147" s="120">
        <v>5.4972463583349223</v>
      </c>
      <c r="E147" s="125">
        <f t="shared" si="71"/>
        <v>5</v>
      </c>
      <c r="F147" s="125">
        <f t="shared" si="72"/>
        <v>5</v>
      </c>
      <c r="G147" s="14"/>
      <c r="H147" s="14"/>
      <c r="I147" s="14"/>
      <c r="J147" s="14"/>
      <c r="K147" s="14"/>
      <c r="L147" s="14"/>
      <c r="M147" s="14"/>
      <c r="N147" s="14"/>
      <c r="O147" s="14"/>
      <c r="P147" s="14"/>
      <c r="Q147" s="14"/>
      <c r="R147" s="14"/>
      <c r="T147" s="14"/>
      <c r="U147" s="14"/>
      <c r="W147" s="14"/>
      <c r="X147" s="14"/>
      <c r="AB147" s="14"/>
      <c r="AC147" s="14"/>
      <c r="AD147" s="14"/>
      <c r="AE147" s="14"/>
      <c r="AF147" s="14"/>
      <c r="AG147" s="291" t="s">
        <v>431</v>
      </c>
      <c r="AH147" s="292">
        <f>COS(RADIANS(AngQ4))*$AH$151</f>
        <v>52.351251684408147</v>
      </c>
      <c r="AI147" s="292">
        <f>SIN(RADIANS(AngQ4))*$AH$151</f>
        <v>-30.225009252406888</v>
      </c>
      <c r="AJ147" s="7"/>
      <c r="AK147" s="291" t="s">
        <v>443</v>
      </c>
      <c r="AL147" s="292">
        <f>COS(RADIANS(AngQ4E))*$AL$151</f>
        <v>85.794885668730288</v>
      </c>
      <c r="AM147" s="292">
        <f>SIN(RADIANS(AngQ4E))*$AL$151</f>
        <v>-49.53370033593459</v>
      </c>
    </row>
    <row r="148" spans="1:39" ht="13.5">
      <c r="A148" s="14"/>
      <c r="B148" s="14"/>
      <c r="C148" s="119">
        <v>38.569592503528717</v>
      </c>
      <c r="D148" s="120">
        <v>6.1495056711901652</v>
      </c>
      <c r="E148" s="125">
        <f t="shared" si="71"/>
        <v>5</v>
      </c>
      <c r="F148" s="125">
        <f t="shared" si="72"/>
        <v>5</v>
      </c>
      <c r="G148" s="14"/>
      <c r="H148" s="14"/>
      <c r="I148" s="14"/>
      <c r="J148" s="14"/>
      <c r="K148" s="14"/>
      <c r="L148" s="14"/>
      <c r="M148" s="14"/>
      <c r="N148" s="14"/>
      <c r="O148" s="14"/>
      <c r="P148" s="14"/>
      <c r="Q148" s="14"/>
      <c r="R148" s="14"/>
      <c r="T148" s="14"/>
      <c r="U148" s="14"/>
      <c r="W148" s="14"/>
      <c r="X148" s="14"/>
      <c r="AB148" s="14"/>
      <c r="AC148" s="14"/>
      <c r="AD148" s="14"/>
      <c r="AE148" s="14"/>
      <c r="AF148" s="14"/>
      <c r="AG148" s="90"/>
      <c r="AH148" s="292">
        <v>0</v>
      </c>
      <c r="AI148" s="292">
        <v>0</v>
      </c>
      <c r="AJ148" s="7"/>
      <c r="AK148" s="90"/>
      <c r="AL148" s="292">
        <f>COS(RADIANS(AngQ4E+180))*$AL$151</f>
        <v>-85.794885668730288</v>
      </c>
      <c r="AM148" s="292">
        <f>SIN(RADIANS(AngQ4E+180))*$AL$151</f>
        <v>49.53370033593459</v>
      </c>
    </row>
    <row r="149" spans="1:39" ht="13.5">
      <c r="A149" s="14"/>
      <c r="B149" s="14"/>
      <c r="C149" s="119">
        <v>49</v>
      </c>
      <c r="D149" s="120">
        <v>5.0800998164993425</v>
      </c>
      <c r="E149" s="125">
        <f t="shared" si="71"/>
        <v>5</v>
      </c>
      <c r="F149" s="125">
        <f t="shared" si="72"/>
        <v>5</v>
      </c>
      <c r="G149" s="14"/>
      <c r="H149" s="14"/>
      <c r="I149" s="14"/>
      <c r="J149" s="14"/>
      <c r="K149" s="14"/>
      <c r="L149" s="14"/>
      <c r="M149" s="14"/>
      <c r="N149" s="14"/>
      <c r="O149" s="14"/>
      <c r="P149" s="14"/>
      <c r="Q149" s="14"/>
      <c r="R149" s="14"/>
      <c r="T149" s="14"/>
      <c r="U149" s="14"/>
      <c r="W149" s="14"/>
      <c r="X149" s="14"/>
      <c r="AB149" s="14"/>
      <c r="AC149" s="14"/>
      <c r="AD149" s="14"/>
      <c r="AE149" s="14"/>
      <c r="AF149" s="14"/>
      <c r="AG149" s="293" t="s">
        <v>432</v>
      </c>
      <c r="AH149" s="294">
        <f>COS(RADIANS(AngQ2))*$AH$151</f>
        <v>-30.225009252406878</v>
      </c>
      <c r="AI149" s="294">
        <f>SIN(RADIANS(AngQ2))*$AH$151</f>
        <v>52.351251684408147</v>
      </c>
      <c r="AJ149" s="7"/>
      <c r="AK149" s="293" t="s">
        <v>444</v>
      </c>
      <c r="AL149" s="294">
        <v>0</v>
      </c>
      <c r="AM149" s="294">
        <v>0</v>
      </c>
    </row>
    <row r="150" spans="1:39" ht="13.5">
      <c r="A150" s="14"/>
      <c r="B150" s="14"/>
      <c r="C150" s="119">
        <v>69.5</v>
      </c>
      <c r="D150" s="120">
        <v>4.093214300593754</v>
      </c>
      <c r="E150" s="125">
        <f t="shared" si="71"/>
        <v>5</v>
      </c>
      <c r="F150" s="125">
        <f t="shared" si="72"/>
        <v>5</v>
      </c>
      <c r="G150" s="14"/>
      <c r="H150" s="14"/>
      <c r="I150" s="14"/>
      <c r="J150" s="14"/>
      <c r="K150" s="14"/>
      <c r="L150" s="14"/>
      <c r="M150" s="14"/>
      <c r="N150" s="14"/>
      <c r="O150" s="14"/>
      <c r="P150" s="14"/>
      <c r="Q150" s="14"/>
      <c r="R150" s="14"/>
      <c r="T150" s="14"/>
      <c r="U150" s="14"/>
      <c r="W150" s="14"/>
      <c r="X150" s="14"/>
      <c r="AB150" s="14"/>
      <c r="AC150" s="14"/>
      <c r="AD150" s="14"/>
      <c r="AE150" s="14"/>
      <c r="AF150" s="14"/>
      <c r="AG150" s="293" t="s">
        <v>433</v>
      </c>
      <c r="AH150" s="294">
        <v>0</v>
      </c>
      <c r="AI150" s="294">
        <v>0</v>
      </c>
      <c r="AJ150" s="7"/>
      <c r="AK150" s="293"/>
      <c r="AL150" s="294">
        <f>COS(RADIANS(AngQ2E))*$AL$151</f>
        <v>-49.533700335934576</v>
      </c>
      <c r="AM150" s="294">
        <f>SIN(RADIANS(AngQ2E))*$AL$151</f>
        <v>85.794885668730288</v>
      </c>
    </row>
    <row r="151" spans="1:39" ht="13.5">
      <c r="A151" s="14"/>
      <c r="B151" s="14"/>
      <c r="C151" s="119">
        <v>90</v>
      </c>
      <c r="D151" s="120">
        <v>3.8340000000000001</v>
      </c>
      <c r="E151" s="125">
        <f t="shared" si="71"/>
        <v>5</v>
      </c>
      <c r="F151" s="125">
        <f t="shared" si="72"/>
        <v>5</v>
      </c>
      <c r="G151" s="14"/>
      <c r="H151" s="14"/>
      <c r="I151" s="14"/>
      <c r="J151" s="14"/>
      <c r="K151" s="14"/>
      <c r="L151" s="14"/>
      <c r="M151" s="14"/>
      <c r="N151" s="14"/>
      <c r="O151" s="14"/>
      <c r="P151" s="14"/>
      <c r="Q151" s="14"/>
      <c r="R151" s="14"/>
      <c r="T151" s="14"/>
      <c r="U151" s="14"/>
      <c r="W151" s="14"/>
      <c r="X151" s="14"/>
      <c r="AB151" s="14"/>
      <c r="AC151" s="14"/>
      <c r="AD151" s="14"/>
      <c r="AE151" s="14"/>
      <c r="AF151" s="14"/>
      <c r="AG151" s="302" t="s">
        <v>434</v>
      </c>
      <c r="AH151" s="303">
        <f>MAX(MAX(AH5:AH73),ABS(MIN(AH5:AH73)),MAX(AI5:AI73),ABS(MIN(AI5:AI73)))</f>
        <v>60.450018504813784</v>
      </c>
      <c r="AI151" s="304">
        <v>0</v>
      </c>
      <c r="AJ151" s="7"/>
      <c r="AK151" s="302" t="s">
        <v>434</v>
      </c>
      <c r="AL151" s="303">
        <f>MAX(MAX(AL5:AL72),ABS(MIN(AL5:AL72)),MAX(AM5:AM72),ABS(MIN(AM5:AM72)))*0.9</f>
        <v>99.067400671869194</v>
      </c>
      <c r="AM151" s="303"/>
    </row>
    <row r="152" spans="1:39" ht="13.5">
      <c r="A152" s="14"/>
      <c r="B152" s="14"/>
      <c r="C152" s="119">
        <v>141.43040749647128</v>
      </c>
      <c r="D152" s="120" t="s">
        <v>51</v>
      </c>
      <c r="E152" s="125" t="str">
        <f t="shared" si="71"/>
        <v/>
      </c>
      <c r="F152" s="125" t="str">
        <f t="shared" si="72"/>
        <v/>
      </c>
      <c r="G152" s="14"/>
      <c r="H152" s="14"/>
      <c r="I152" s="14"/>
      <c r="J152" s="14"/>
      <c r="K152" s="14"/>
      <c r="L152" s="14"/>
      <c r="M152" s="14"/>
      <c r="N152" s="14"/>
      <c r="O152" s="14"/>
      <c r="P152" s="14"/>
      <c r="Q152" s="14"/>
      <c r="R152" s="14"/>
      <c r="T152" s="14"/>
      <c r="U152" s="14"/>
      <c r="W152" s="14"/>
      <c r="X152" s="14"/>
      <c r="AB152" s="14"/>
      <c r="AC152" s="14"/>
      <c r="AD152" s="14"/>
      <c r="AE152" s="14"/>
      <c r="AF152" s="14"/>
      <c r="AG152" s="541" t="s">
        <v>762</v>
      </c>
      <c r="AH152" s="543">
        <f>COS(RADIANS($U13))*$V13*Settings!$AK$25</f>
        <v>0</v>
      </c>
      <c r="AI152" s="543">
        <f>SIN(RADIANS($U13))*$V13*Settings!$AK$25</f>
        <v>0</v>
      </c>
      <c r="AJ152" s="7"/>
      <c r="AK152" s="541" t="s">
        <v>762</v>
      </c>
      <c r="AL152" s="543"/>
      <c r="AM152" s="543"/>
    </row>
    <row r="153" spans="1:39" ht="13.5">
      <c r="A153" s="14"/>
      <c r="B153" s="14"/>
      <c r="C153" s="119">
        <v>112</v>
      </c>
      <c r="D153" s="120">
        <v>4.1351022034258547</v>
      </c>
      <c r="E153" s="125">
        <f t="shared" si="71"/>
        <v>5</v>
      </c>
      <c r="F153" s="125">
        <f t="shared" si="72"/>
        <v>5</v>
      </c>
      <c r="G153" s="14"/>
      <c r="H153" s="14"/>
      <c r="I153" s="14"/>
      <c r="J153" s="14"/>
      <c r="K153" s="14"/>
      <c r="L153" s="14"/>
      <c r="M153" s="14"/>
      <c r="N153" s="14"/>
      <c r="O153" s="14"/>
      <c r="P153" s="14"/>
      <c r="Q153" s="14"/>
      <c r="R153" s="14"/>
      <c r="T153" s="14"/>
      <c r="U153" s="14"/>
      <c r="W153" s="14"/>
      <c r="X153" s="14"/>
      <c r="AB153" s="14"/>
      <c r="AC153" s="14"/>
      <c r="AD153" s="14"/>
      <c r="AE153" s="14"/>
      <c r="AF153" s="14"/>
      <c r="AG153" s="541">
        <f>U14</f>
        <v>0</v>
      </c>
      <c r="AH153" s="543">
        <f>COS(RADIANS($U14))*$V14*Settings!$AK$25</f>
        <v>0</v>
      </c>
      <c r="AI153" s="543">
        <f>SIN(RADIANS($U14))*$V14*Settings!$AK$25</f>
        <v>0</v>
      </c>
      <c r="AJ153" s="7"/>
      <c r="AK153" s="541"/>
      <c r="AL153" s="543"/>
      <c r="AM153" s="543"/>
    </row>
    <row r="154" spans="1:39" ht="13.5">
      <c r="A154" s="14"/>
      <c r="B154" s="14"/>
      <c r="C154" s="119"/>
      <c r="D154" s="120"/>
      <c r="E154" s="125" t="str">
        <f t="shared" si="71"/>
        <v/>
      </c>
      <c r="F154" s="125" t="str">
        <f t="shared" si="72"/>
        <v/>
      </c>
      <c r="G154" s="14"/>
      <c r="H154" s="14"/>
      <c r="I154" s="14"/>
      <c r="J154" s="14"/>
      <c r="K154" s="14"/>
      <c r="L154" s="14"/>
      <c r="M154" s="14"/>
      <c r="N154" s="14"/>
      <c r="O154" s="14"/>
      <c r="P154" s="14"/>
      <c r="Q154" s="14"/>
      <c r="R154" s="14"/>
      <c r="T154" s="14"/>
      <c r="U154" s="14"/>
      <c r="W154" s="14"/>
      <c r="X154" s="14"/>
      <c r="AB154" s="14"/>
      <c r="AC154" s="14"/>
      <c r="AD154" s="14"/>
      <c r="AE154" s="14"/>
      <c r="AF154" s="14"/>
      <c r="AG154" s="541">
        <f>U16</f>
        <v>55.97321086315776</v>
      </c>
      <c r="AH154" s="543">
        <f>COS(RADIANS($U16))*$V16*Settings!$AK$25</f>
        <v>0</v>
      </c>
      <c r="AI154" s="543">
        <f>SIN(RADIANS($U16))*$V16*Settings!$AK$25</f>
        <v>0</v>
      </c>
      <c r="AJ154" s="7"/>
      <c r="AK154" s="542"/>
      <c r="AL154" s="543"/>
      <c r="AM154" s="543"/>
    </row>
    <row r="155" spans="1:39" ht="13.5">
      <c r="A155" s="14"/>
      <c r="B155" s="14"/>
      <c r="C155" s="14"/>
      <c r="D155" s="14"/>
      <c r="E155" s="14"/>
      <c r="F155" s="14"/>
      <c r="G155" s="14"/>
      <c r="H155" s="14"/>
      <c r="I155" s="14"/>
      <c r="J155" s="14"/>
      <c r="K155" s="14"/>
      <c r="L155" s="14"/>
      <c r="M155" s="14"/>
      <c r="N155" s="14"/>
      <c r="O155" s="14"/>
      <c r="P155" s="14"/>
      <c r="Q155" s="14"/>
      <c r="R155" s="14"/>
      <c r="T155" s="14"/>
      <c r="U155" s="14"/>
      <c r="W155" s="14"/>
      <c r="X155" s="14"/>
      <c r="AB155" s="14"/>
      <c r="AC155" s="14"/>
      <c r="AD155" s="14"/>
      <c r="AE155" s="14"/>
      <c r="AF155" s="14"/>
      <c r="AG155" s="541">
        <f>U18</f>
        <v>90</v>
      </c>
      <c r="AH155" s="543">
        <f>COS(RADIANS($U18))*$V18*Settings!$AK$25</f>
        <v>0</v>
      </c>
      <c r="AI155" s="543">
        <f>SIN(RADIANS($U18))*$V18*Settings!$AK$25</f>
        <v>0</v>
      </c>
      <c r="AJ155" s="7"/>
      <c r="AK155" s="541"/>
      <c r="AL155" s="543"/>
      <c r="AM155" s="543"/>
    </row>
    <row r="156" spans="1:39" ht="13.5">
      <c r="A156" s="14"/>
      <c r="B156" s="14"/>
      <c r="C156" s="14"/>
      <c r="D156" s="14"/>
      <c r="E156" s="14"/>
      <c r="F156" s="14"/>
      <c r="G156" s="14"/>
      <c r="H156" s="14"/>
      <c r="I156" s="14"/>
      <c r="J156" s="14"/>
      <c r="K156" s="14"/>
      <c r="L156" s="14"/>
      <c r="M156" s="14"/>
      <c r="N156" s="14"/>
      <c r="O156" s="14"/>
      <c r="P156" s="14"/>
      <c r="Q156" s="14"/>
      <c r="R156" s="14"/>
      <c r="T156" s="14"/>
      <c r="U156" s="14"/>
      <c r="W156" s="14"/>
      <c r="X156" s="14"/>
      <c r="AB156" s="14"/>
      <c r="AC156" s="14"/>
      <c r="AD156" s="14"/>
      <c r="AE156" s="14"/>
      <c r="AF156" s="14"/>
      <c r="AG156" s="541">
        <f>U19</f>
        <v>124.02678913684224</v>
      </c>
      <c r="AH156" s="543">
        <f>COS(RADIANS($U19))*$V19*Settings!$AK$25</f>
        <v>0</v>
      </c>
      <c r="AI156" s="543">
        <f>SIN(RADIANS($U19))*$V19*Settings!$AK$25</f>
        <v>0</v>
      </c>
      <c r="AJ156" s="7"/>
      <c r="AK156" s="541"/>
      <c r="AL156" s="543"/>
      <c r="AM156" s="543"/>
    </row>
    <row r="157" spans="1:39" ht="13.5">
      <c r="A157" s="14"/>
      <c r="B157" s="14"/>
      <c r="C157" s="14"/>
      <c r="D157" s="14"/>
      <c r="E157" s="14"/>
      <c r="F157" s="14"/>
      <c r="G157" s="14"/>
      <c r="H157" s="14"/>
      <c r="I157" s="14"/>
      <c r="J157" s="14"/>
      <c r="K157" s="14"/>
      <c r="L157" s="14"/>
      <c r="M157" s="14"/>
      <c r="N157" s="14"/>
      <c r="O157" s="14"/>
      <c r="P157" s="14"/>
      <c r="Q157" s="14"/>
      <c r="R157" s="14"/>
      <c r="T157" s="14"/>
      <c r="U157" s="14"/>
      <c r="W157" s="14"/>
      <c r="X157" s="14"/>
      <c r="AB157" s="14"/>
      <c r="AC157" s="14"/>
      <c r="AD157" s="14"/>
      <c r="AE157" s="14"/>
      <c r="AF157" s="14"/>
      <c r="AG157" s="541">
        <f>U20</f>
        <v>180</v>
      </c>
      <c r="AH157" s="543">
        <f>COS(RADIANS($U20))*$V20*Settings!$AK$25</f>
        <v>0</v>
      </c>
      <c r="AI157" s="543">
        <f>SIN(RADIANS($U20))*$V20*Settings!$AK$25</f>
        <v>0</v>
      </c>
      <c r="AJ157" s="7"/>
      <c r="AK157" s="541"/>
      <c r="AL157" s="543"/>
      <c r="AM157" s="543"/>
    </row>
    <row r="158" spans="1:39" ht="13.5">
      <c r="A158" s="14"/>
      <c r="B158" s="92" t="s">
        <v>93</v>
      </c>
      <c r="E158" s="3"/>
      <c r="F158" s="3"/>
      <c r="G158" s="14"/>
      <c r="H158" s="14"/>
      <c r="I158" s="92" t="s">
        <v>106</v>
      </c>
      <c r="J158" s="14"/>
      <c r="K158" s="14"/>
      <c r="L158" s="14"/>
      <c r="M158" s="14"/>
      <c r="N158" s="14"/>
      <c r="O158" s="14"/>
      <c r="P158" s="14"/>
      <c r="Q158" s="14"/>
      <c r="R158" s="14"/>
      <c r="T158" s="14"/>
      <c r="U158" s="14"/>
      <c r="W158" s="14"/>
      <c r="X158" s="14"/>
      <c r="AB158" s="14"/>
      <c r="AC158" s="14"/>
      <c r="AD158" s="14"/>
      <c r="AE158" s="14"/>
      <c r="AF158" s="14"/>
      <c r="AG158" s="541">
        <f>U21</f>
        <v>235.97321086315776</v>
      </c>
      <c r="AH158" s="543">
        <f>COS(RADIANS($U21))*$V21*Settings!$AK$25</f>
        <v>0</v>
      </c>
      <c r="AI158" s="543">
        <f>SIN(RADIANS($U21))*$V21*Settings!$AK$25</f>
        <v>0</v>
      </c>
      <c r="AJ158" s="7"/>
      <c r="AK158" s="541"/>
      <c r="AL158" s="543"/>
      <c r="AM158" s="543"/>
    </row>
    <row r="159" spans="1:39" ht="13.5">
      <c r="A159" s="14"/>
      <c r="C159" s="86" t="s">
        <v>96</v>
      </c>
      <c r="D159" s="86" t="s">
        <v>107</v>
      </c>
      <c r="G159" s="14"/>
      <c r="H159" s="14"/>
      <c r="I159" s="86" t="s">
        <v>96</v>
      </c>
      <c r="J159" s="86" t="s">
        <v>107</v>
      </c>
      <c r="K159" s="123" t="s">
        <v>97</v>
      </c>
      <c r="L159" s="123" t="s">
        <v>98</v>
      </c>
      <c r="M159" s="14"/>
      <c r="N159" s="14"/>
      <c r="O159" s="14"/>
      <c r="P159" s="14"/>
      <c r="Q159" s="14"/>
      <c r="R159" s="14"/>
      <c r="T159" s="14"/>
      <c r="U159" s="14"/>
      <c r="W159" s="14"/>
      <c r="X159" s="14"/>
      <c r="AB159" s="14"/>
      <c r="AC159" s="14"/>
      <c r="AD159" s="14"/>
      <c r="AE159" s="14"/>
      <c r="AF159" s="14"/>
      <c r="AG159" s="541">
        <f>U22</f>
        <v>270</v>
      </c>
      <c r="AH159" s="543">
        <f>COS(RADIANS($U22))*$V22*Settings!$AK$25</f>
        <v>0</v>
      </c>
      <c r="AI159" s="543">
        <f>SIN(RADIANS($U22))*$V22*Settings!$AK$25</f>
        <v>0</v>
      </c>
      <c r="AJ159" s="7"/>
      <c r="AK159" s="541"/>
      <c r="AL159" s="543"/>
      <c r="AM159" s="543"/>
    </row>
    <row r="160" spans="1:39" ht="14.25" thickBot="1">
      <c r="A160" s="14"/>
      <c r="B160" s="92" t="s">
        <v>94</v>
      </c>
      <c r="C160" s="124">
        <f>IF(Em_OC=Settings!$AA$22,"",MIN(30,J_LS*5))</f>
        <v>15</v>
      </c>
      <c r="D160" s="122">
        <f>IF(C160="","",t_J_LS*1000+OpTime)</f>
        <v>1028</v>
      </c>
      <c r="G160" s="14"/>
      <c r="H160" s="14"/>
      <c r="I160" s="139" t="str">
        <f>R53</f>
        <v/>
      </c>
      <c r="J160" s="139" t="str">
        <f>S53</f>
        <v/>
      </c>
      <c r="K160" s="63" t="str">
        <f>IF(I160="","",6)</f>
        <v/>
      </c>
      <c r="L160" s="63" t="str">
        <f>IF(I160="","",6)</f>
        <v/>
      </c>
      <c r="M160" s="14"/>
      <c r="N160" s="14"/>
      <c r="O160" s="14"/>
      <c r="P160" s="14"/>
      <c r="Q160" s="14"/>
      <c r="R160" s="14"/>
      <c r="T160" s="14"/>
      <c r="U160" s="14"/>
      <c r="W160" s="14"/>
      <c r="X160" s="14"/>
      <c r="AB160" s="14"/>
      <c r="AC160" s="14"/>
      <c r="AD160" s="14"/>
      <c r="AE160" s="14"/>
      <c r="AF160" s="14"/>
      <c r="AG160" s="541"/>
      <c r="AH160" s="543">
        <f>AH152</f>
        <v>0</v>
      </c>
      <c r="AI160" s="543">
        <f>AI152</f>
        <v>0</v>
      </c>
      <c r="AJ160" s="7"/>
      <c r="AK160" s="541"/>
      <c r="AL160" s="543"/>
      <c r="AM160" s="543"/>
    </row>
    <row r="161" spans="1:39" ht="13.5">
      <c r="A161" s="14"/>
      <c r="C161" s="124">
        <f>IF(Em_OC=Settings!$AA$22,"",MIN(30,J_LS*2.5))</f>
        <v>7.5</v>
      </c>
      <c r="D161" s="122">
        <f>IF(C161="","",t_J_LS*1000+OpTime)</f>
        <v>1028</v>
      </c>
      <c r="G161" s="14"/>
      <c r="H161" s="14"/>
      <c r="I161" s="139" t="str">
        <f t="shared" ref="I161:I167" si="73">R54</f>
        <v/>
      </c>
      <c r="J161" s="139" t="str">
        <f t="shared" ref="J161:J166" si="74">S54</f>
        <v/>
      </c>
      <c r="K161" s="63" t="str">
        <f t="shared" ref="K161:K166" si="75">IF(I161="","",6)</f>
        <v/>
      </c>
      <c r="L161" s="63" t="str">
        <f t="shared" ref="L161:L166" si="76">IF(I161="","",6)</f>
        <v/>
      </c>
      <c r="M161" s="14"/>
      <c r="N161" s="14"/>
      <c r="O161" s="14"/>
      <c r="P161" s="14"/>
      <c r="Q161" s="14"/>
      <c r="R161" s="14"/>
      <c r="T161" s="14"/>
      <c r="U161" s="14"/>
      <c r="W161" s="14"/>
      <c r="X161" s="14"/>
      <c r="AB161" s="14"/>
      <c r="AC161" s="14"/>
      <c r="AD161" s="14"/>
      <c r="AE161" s="14"/>
      <c r="AF161" s="14"/>
      <c r="AG161" s="828" t="s">
        <v>1036</v>
      </c>
      <c r="AH161" s="831">
        <f>AZ86</f>
        <v>-10.375644347017861</v>
      </c>
      <c r="AI161" s="832">
        <f>BA86</f>
        <v>20.990381056766577</v>
      </c>
      <c r="AJ161" s="7"/>
    </row>
    <row r="162" spans="1:39" ht="14.25" thickBot="1">
      <c r="A162" s="14"/>
      <c r="C162" s="124">
        <f>IF(Em_OC=Settings!$AA$22,"",J_LS*1.05)</f>
        <v>3.1500000000000004</v>
      </c>
      <c r="D162" s="122">
        <f>IF(C162="","",t_J_LS*1000+OpTime)</f>
        <v>1028</v>
      </c>
      <c r="G162" s="14"/>
      <c r="H162" s="14"/>
      <c r="I162" s="139" t="str">
        <f t="shared" si="73"/>
        <v/>
      </c>
      <c r="J162" s="139" t="str">
        <f t="shared" si="74"/>
        <v/>
      </c>
      <c r="K162" s="63" t="str">
        <f t="shared" si="75"/>
        <v/>
      </c>
      <c r="L162" s="63" t="str">
        <f t="shared" si="76"/>
        <v/>
      </c>
      <c r="M162" s="14"/>
      <c r="N162" s="14"/>
      <c r="O162" s="14"/>
      <c r="P162" s="14"/>
      <c r="Q162" s="14"/>
      <c r="R162" s="14"/>
      <c r="T162" s="14"/>
      <c r="U162" s="14"/>
      <c r="W162" s="14"/>
      <c r="X162" s="14"/>
      <c r="AB162" s="14"/>
      <c r="AC162" s="14"/>
      <c r="AD162" s="14"/>
      <c r="AE162" s="14"/>
      <c r="AF162" s="14"/>
      <c r="AG162" s="829"/>
      <c r="AH162" s="833">
        <f>(X_5+7.5/In)/TAN(RADIANS(ZBS))*2</f>
        <v>118.78404438307361</v>
      </c>
      <c r="AI162" s="834">
        <f>-X_5*2</f>
        <v>-53.58</v>
      </c>
      <c r="AJ162" s="7"/>
    </row>
    <row r="163" spans="1:39" ht="13.5">
      <c r="A163" s="14"/>
      <c r="C163" s="124">
        <f>IF(Em_OC=Settings!$AA$22,"",J_LS*0.95)</f>
        <v>2.8499999999999996</v>
      </c>
      <c r="D163" s="122"/>
      <c r="G163" s="14"/>
      <c r="H163" s="14"/>
      <c r="I163" s="139" t="str">
        <f t="shared" si="73"/>
        <v/>
      </c>
      <c r="J163" s="139" t="str">
        <f t="shared" si="74"/>
        <v/>
      </c>
      <c r="K163" s="63" t="str">
        <f t="shared" si="75"/>
        <v/>
      </c>
      <c r="L163" s="63" t="str">
        <f t="shared" si="76"/>
        <v/>
      </c>
      <c r="M163" s="14"/>
      <c r="N163" s="14"/>
      <c r="O163" s="14"/>
      <c r="P163" s="14"/>
      <c r="Q163" s="14"/>
      <c r="R163" s="14"/>
      <c r="T163" s="14"/>
      <c r="U163" s="14"/>
      <c r="W163" s="14"/>
      <c r="X163" s="14"/>
      <c r="AB163" s="14"/>
      <c r="AC163" s="14"/>
      <c r="AD163" s="14"/>
      <c r="AE163" s="14"/>
      <c r="AF163" s="14"/>
      <c r="AG163" s="828" t="s">
        <v>1040</v>
      </c>
      <c r="AH163" s="831">
        <f>BRRS*2*Settings!$AH$25</f>
        <v>16</v>
      </c>
      <c r="AI163" s="832">
        <v>0</v>
      </c>
      <c r="AJ163" s="7"/>
    </row>
    <row r="164" spans="1:39" ht="13.5">
      <c r="A164" s="14"/>
      <c r="B164" s="92" t="s">
        <v>95</v>
      </c>
      <c r="C164" s="110">
        <f>IF(Em_EF=Settings!$AA$22,"",Je_LS/3*5)</f>
        <v>3.333333333333333</v>
      </c>
      <c r="D164" s="107">
        <f>IF(C164="","",t_Je_LS*1000+OpTime)</f>
        <v>1028</v>
      </c>
      <c r="G164" s="14"/>
      <c r="H164" s="14"/>
      <c r="I164" s="139" t="str">
        <f t="shared" si="73"/>
        <v/>
      </c>
      <c r="J164" s="139" t="str">
        <f t="shared" si="74"/>
        <v/>
      </c>
      <c r="K164" s="63" t="str">
        <f t="shared" si="75"/>
        <v/>
      </c>
      <c r="L164" s="63" t="str">
        <f t="shared" si="76"/>
        <v/>
      </c>
      <c r="M164" s="14"/>
      <c r="N164" s="14"/>
      <c r="O164" s="14"/>
      <c r="P164" s="14"/>
      <c r="Q164" s="14"/>
      <c r="R164" s="14"/>
      <c r="T164" s="14"/>
      <c r="U164" s="14"/>
      <c r="W164" s="14"/>
      <c r="X164" s="14"/>
      <c r="AB164" s="14"/>
      <c r="AC164" s="14"/>
      <c r="AD164" s="14"/>
      <c r="AE164" s="14"/>
      <c r="AF164" s="14"/>
      <c r="AG164" s="830"/>
      <c r="AH164" s="485">
        <f>BD73*2*Settings!$AH$25</f>
        <v>22.23538290724796</v>
      </c>
      <c r="AI164" s="732">
        <f>-X_4*2*Settings!$AH$25</f>
        <v>-10.8</v>
      </c>
      <c r="AJ164" s="7"/>
    </row>
    <row r="165" spans="1:39" ht="14.25" thickBot="1">
      <c r="A165" s="14"/>
      <c r="C165" s="110">
        <f>IF(Em_EF=Settings!$AA$22,"",Je_LS/3*2.5)</f>
        <v>1.6666666666666665</v>
      </c>
      <c r="D165" s="107">
        <f>IF(C165="","",t_Je_LS*1000+OpTime)</f>
        <v>1028</v>
      </c>
      <c r="G165" s="14"/>
      <c r="H165" s="14"/>
      <c r="I165" s="139" t="str">
        <f t="shared" si="73"/>
        <v/>
      </c>
      <c r="J165" s="139" t="str">
        <f t="shared" si="74"/>
        <v/>
      </c>
      <c r="K165" s="63" t="str">
        <f t="shared" si="75"/>
        <v/>
      </c>
      <c r="L165" s="63" t="str">
        <f t="shared" si="76"/>
        <v/>
      </c>
      <c r="M165" s="14"/>
      <c r="N165" s="14"/>
      <c r="O165" s="14"/>
      <c r="P165" s="14"/>
      <c r="Q165" s="14"/>
      <c r="R165" s="14"/>
      <c r="T165" s="14"/>
      <c r="U165" s="14"/>
      <c r="W165" s="14"/>
      <c r="X165" s="14"/>
      <c r="AB165" s="14"/>
      <c r="AC165" s="14"/>
      <c r="AD165" s="14"/>
      <c r="AE165" s="14"/>
      <c r="AF165" s="14"/>
      <c r="AG165" s="829"/>
      <c r="AH165" s="833">
        <f>AH61*Settings!$AH$25</f>
        <v>15.423998472814823</v>
      </c>
      <c r="AI165" s="834">
        <f>AI164</f>
        <v>-10.8</v>
      </c>
      <c r="AJ165" s="7"/>
    </row>
    <row r="166" spans="1:39" ht="13.5">
      <c r="A166" s="14"/>
      <c r="C166" s="110">
        <f>IF(Em_EF=Settings!$AA$22,"",Je_LS/3*1.05)</f>
        <v>0.7</v>
      </c>
      <c r="D166" s="107">
        <f>IF(C166="","",t_Je_LS*1000+OpTime)</f>
        <v>1028</v>
      </c>
      <c r="G166" s="14"/>
      <c r="H166" s="14"/>
      <c r="I166" s="139" t="str">
        <f t="shared" si="73"/>
        <v/>
      </c>
      <c r="J166" s="139" t="str">
        <f t="shared" si="74"/>
        <v/>
      </c>
      <c r="K166" s="63" t="str">
        <f t="shared" si="75"/>
        <v/>
      </c>
      <c r="L166" s="63" t="str">
        <f t="shared" si="76"/>
        <v/>
      </c>
      <c r="M166" s="14"/>
      <c r="N166" s="14"/>
      <c r="O166" s="14"/>
      <c r="P166" s="14"/>
      <c r="Q166" s="14"/>
      <c r="R166" s="14"/>
      <c r="T166" s="14"/>
      <c r="U166" s="14"/>
      <c r="W166" s="14"/>
      <c r="X166" s="14"/>
      <c r="AB166" s="14"/>
      <c r="AC166" s="14"/>
      <c r="AD166" s="14"/>
      <c r="AE166" s="14"/>
      <c r="AF166" s="14"/>
      <c r="AG166" s="828" t="s">
        <v>1039</v>
      </c>
      <c r="AH166" s="831">
        <f>BRRS*2*Settings!$AI$25</f>
        <v>16</v>
      </c>
      <c r="AI166" s="832">
        <v>0</v>
      </c>
      <c r="AJ166" s="7"/>
    </row>
    <row r="167" spans="1:39" ht="13.5">
      <c r="A167" s="14"/>
      <c r="C167" s="110">
        <f>IF(Em_EF=Settings!$AA$22,"",Je_LS/3*0.95)</f>
        <v>0.6333333333333333</v>
      </c>
      <c r="D167" s="107" t="str">
        <f>IF(C167&gt;C163,D162,"")</f>
        <v/>
      </c>
      <c r="G167" s="14"/>
      <c r="H167" s="14"/>
      <c r="I167" s="139" t="str">
        <f t="shared" si="73"/>
        <v/>
      </c>
      <c r="J167" s="139"/>
      <c r="K167" s="63"/>
      <c r="L167" s="63"/>
      <c r="M167" s="14"/>
      <c r="N167" s="14"/>
      <c r="O167" s="14"/>
      <c r="P167" s="14"/>
      <c r="Q167" s="14"/>
      <c r="R167" s="14"/>
      <c r="T167" s="14"/>
      <c r="U167" s="14"/>
      <c r="W167" s="14"/>
      <c r="X167" s="14"/>
      <c r="AB167" s="14"/>
      <c r="AC167" s="14"/>
      <c r="AD167" s="14"/>
      <c r="AE167" s="14"/>
      <c r="AF167" s="14"/>
      <c r="AG167" s="830"/>
      <c r="AH167" s="485">
        <f>BD77*2*Settings!$AI$25</f>
        <v>46.934427423180153</v>
      </c>
      <c r="AI167" s="732">
        <f>-X_5*2*Settings!$AI$25</f>
        <v>-53.58</v>
      </c>
      <c r="AJ167" s="7"/>
    </row>
    <row r="168" spans="1:39" ht="14.25" thickBot="1">
      <c r="A168" s="14"/>
      <c r="B168" s="4"/>
      <c r="G168" s="14"/>
      <c r="H168" s="14"/>
      <c r="I168" s="138"/>
      <c r="J168" s="138"/>
      <c r="K168" s="14"/>
      <c r="L168" s="14"/>
      <c r="M168" s="14"/>
      <c r="N168" s="14"/>
      <c r="O168" s="14"/>
      <c r="P168" s="14"/>
      <c r="Q168" s="14"/>
      <c r="R168" s="14"/>
      <c r="T168" s="14"/>
      <c r="U168" s="14"/>
      <c r="W168" s="14"/>
      <c r="X168" s="14"/>
      <c r="AB168" s="14"/>
      <c r="AC168" s="14"/>
      <c r="AD168" s="14"/>
      <c r="AE168" s="14"/>
      <c r="AF168" s="14"/>
      <c r="AG168" s="829"/>
      <c r="AH168" s="833">
        <f>AH74*Settings!$AI$25</f>
        <v>26.857579774022504</v>
      </c>
      <c r="AI168" s="834">
        <f>AI167</f>
        <v>-53.58</v>
      </c>
      <c r="AJ168" s="7"/>
    </row>
    <row r="169" spans="1:39" ht="13.5">
      <c r="A169" s="14"/>
      <c r="G169" s="14"/>
      <c r="H169" s="14"/>
      <c r="I169" s="138"/>
      <c r="J169" s="138"/>
      <c r="K169" s="14"/>
      <c r="L169" s="14"/>
      <c r="M169" s="14"/>
      <c r="N169" s="14"/>
      <c r="O169" s="14"/>
      <c r="P169" s="14"/>
      <c r="Q169" s="14"/>
      <c r="R169" s="14"/>
      <c r="T169" s="14"/>
      <c r="U169" s="14"/>
      <c r="W169" s="14"/>
      <c r="X169" s="14"/>
      <c r="AB169" s="14"/>
      <c r="AC169" s="14"/>
      <c r="AD169" s="14"/>
      <c r="AE169" s="14"/>
      <c r="AF169" s="14"/>
      <c r="AG169" s="291" t="s">
        <v>63</v>
      </c>
      <c r="AH169" s="698">
        <f>DEGREES(ATAN(2*X_1/(2*R_1+2*X_1/TAN(RADIANS(Slope)))))</f>
        <v>25.870234814212917</v>
      </c>
      <c r="AI169" s="699">
        <f>SQRT(AH170^2+(2*X_1)^2)</f>
        <v>34.743993818712177</v>
      </c>
      <c r="AJ169" s="7"/>
    </row>
    <row r="170" spans="1:39" ht="13.5">
      <c r="A170" s="14"/>
      <c r="G170" s="14"/>
      <c r="H170" s="14"/>
      <c r="I170" s="14"/>
      <c r="J170" s="14"/>
      <c r="K170" s="14"/>
      <c r="L170" s="14"/>
      <c r="M170" s="14"/>
      <c r="N170" s="14"/>
      <c r="O170" s="14"/>
      <c r="P170" s="14"/>
      <c r="Q170" s="14"/>
      <c r="R170" s="14"/>
      <c r="T170" s="14"/>
      <c r="U170" s="14"/>
      <c r="W170" s="14"/>
      <c r="X170" s="14"/>
      <c r="AB170" s="14"/>
      <c r="AC170" s="14"/>
      <c r="AD170" s="14"/>
      <c r="AE170" s="14"/>
      <c r="AF170" s="14"/>
      <c r="AG170" s="291" t="s">
        <v>927</v>
      </c>
      <c r="AH170" s="327">
        <f>2*R_1+2*X_1/TAN(RADIANS(Slope))</f>
        <v>31.262109757255821</v>
      </c>
      <c r="AI170" s="327">
        <f>AI169*SIN(RADIANS(AH169))</f>
        <v>15.160000000000002</v>
      </c>
      <c r="AJ170" s="7"/>
    </row>
    <row r="171" spans="1:39" ht="13.5">
      <c r="A171" s="14"/>
      <c r="G171" s="14"/>
      <c r="H171" s="14"/>
      <c r="I171" s="14"/>
      <c r="J171" s="14"/>
      <c r="K171" s="14"/>
      <c r="L171" s="14"/>
      <c r="M171" s="14"/>
      <c r="N171" s="14"/>
      <c r="O171" s="14"/>
      <c r="P171" s="14"/>
      <c r="Q171" s="14"/>
      <c r="R171" s="14"/>
      <c r="T171" s="14"/>
      <c r="U171" s="14"/>
      <c r="W171" s="14"/>
      <c r="X171" s="14"/>
      <c r="AB171" s="14"/>
      <c r="AC171" s="14"/>
      <c r="AD171" s="14"/>
      <c r="AE171" s="14"/>
      <c r="AF171" s="14"/>
      <c r="AG171" s="134"/>
      <c r="AH171" s="7"/>
      <c r="AI171" s="7"/>
      <c r="AJ171" s="7"/>
    </row>
    <row r="172" spans="1:39" ht="13.5">
      <c r="A172" s="14"/>
      <c r="B172" s="14"/>
      <c r="C172" s="14"/>
      <c r="D172" s="14"/>
      <c r="E172" s="126"/>
      <c r="F172" s="14"/>
      <c r="G172" s="14"/>
      <c r="H172" s="14"/>
      <c r="I172" s="14"/>
      <c r="J172" s="14"/>
      <c r="K172" s="14"/>
      <c r="L172" s="14"/>
      <c r="M172" s="14"/>
      <c r="N172" s="14"/>
      <c r="O172" s="14"/>
      <c r="P172" s="14"/>
      <c r="Q172" s="14"/>
      <c r="R172" s="14"/>
      <c r="T172" s="14"/>
      <c r="U172" s="14"/>
      <c r="W172" s="14"/>
      <c r="X172" s="14"/>
      <c r="AB172" s="14"/>
      <c r="AC172" s="14"/>
      <c r="AD172" s="14"/>
      <c r="AE172" s="14"/>
      <c r="AF172" s="14"/>
      <c r="AG172" s="700" t="s">
        <v>602</v>
      </c>
      <c r="AH172" s="700"/>
      <c r="AI172" s="700"/>
      <c r="AJ172" s="7"/>
      <c r="AK172" s="400" t="s">
        <v>602</v>
      </c>
      <c r="AL172" s="401">
        <f>EX_1*(COS(RADIANS(Slope)))</f>
        <v>3.7798278438832265</v>
      </c>
      <c r="AM172" s="402">
        <f>EX_1</f>
        <v>14.604133333333333</v>
      </c>
    </row>
    <row r="173" spans="1:39" ht="14.25" thickBot="1">
      <c r="A173" s="14"/>
      <c r="B173" s="14"/>
      <c r="C173" s="14"/>
      <c r="D173" s="14"/>
      <c r="E173" s="126"/>
      <c r="F173" s="14"/>
      <c r="G173" s="14"/>
      <c r="H173" s="14"/>
      <c r="I173" s="14"/>
      <c r="J173" s="14"/>
      <c r="K173" s="14"/>
      <c r="L173" s="14"/>
      <c r="M173" s="14"/>
      <c r="N173" s="14"/>
      <c r="O173" s="14"/>
      <c r="P173" s="14"/>
      <c r="Q173" s="14"/>
      <c r="R173" s="14"/>
      <c r="T173" s="14"/>
      <c r="U173" s="14"/>
      <c r="W173" s="14"/>
      <c r="X173" s="14"/>
      <c r="AB173" s="14"/>
      <c r="AC173" s="14"/>
      <c r="AD173" s="14"/>
      <c r="AE173" s="14"/>
      <c r="AF173" s="14"/>
      <c r="AG173" s="45"/>
      <c r="AH173" s="701">
        <f>(AH170-AH179)*SIN(RADIANS(Load_Comp))/SIN(RADIANS(180-Slope-Load_Comp))</f>
        <v>0</v>
      </c>
      <c r="AI173" s="719"/>
      <c r="AJ173" s="7"/>
      <c r="AK173" s="311"/>
      <c r="AL173" s="401">
        <f>AM178*COS(RADIANS(Slope))+ER_1</f>
        <v>69.004376090706259</v>
      </c>
      <c r="AM173" s="402">
        <f>AM178*SIN(RADIANS(Slope))</f>
        <v>14.571329942372932</v>
      </c>
    </row>
    <row r="174" spans="1:39" ht="13.5">
      <c r="A174" s="14"/>
      <c r="B174" s="92" t="s">
        <v>110</v>
      </c>
      <c r="E174" s="3"/>
      <c r="F174" s="3"/>
      <c r="G174" s="14"/>
      <c r="H174" s="14"/>
      <c r="I174" s="14"/>
      <c r="J174" s="14"/>
      <c r="K174" s="14"/>
      <c r="L174" s="14"/>
      <c r="M174" s="14"/>
      <c r="N174" s="14"/>
      <c r="O174" s="14"/>
      <c r="P174" s="14"/>
      <c r="Q174" s="14"/>
      <c r="R174" s="14"/>
      <c r="T174" s="14"/>
      <c r="U174" s="14"/>
      <c r="W174" s="14"/>
      <c r="X174" s="14"/>
      <c r="AB174" s="14"/>
      <c r="AC174" s="14"/>
      <c r="AD174" s="14"/>
      <c r="AE174" s="14"/>
      <c r="AF174" s="14"/>
      <c r="AG174" s="723" t="s">
        <v>931</v>
      </c>
      <c r="AH174" s="724">
        <f>2*R_1+(AH182-2*R_1)/3</f>
        <v>28.554036585751941</v>
      </c>
      <c r="AI174" s="725">
        <f>AI182/3</f>
        <v>5.0533333333333337</v>
      </c>
      <c r="AJ174" s="7"/>
      <c r="AK174" s="12"/>
      <c r="AL174" s="7"/>
      <c r="AM174" s="7"/>
    </row>
    <row r="175" spans="1:39" ht="14.25" thickBot="1">
      <c r="A175" s="14"/>
      <c r="C175" s="86" t="s">
        <v>96</v>
      </c>
      <c r="D175" s="86" t="s">
        <v>38</v>
      </c>
      <c r="E175" s="123" t="s">
        <v>97</v>
      </c>
      <c r="F175" s="123" t="s">
        <v>98</v>
      </c>
      <c r="G175" s="14"/>
      <c r="H175" s="14"/>
      <c r="I175" s="14"/>
      <c r="J175" s="14"/>
      <c r="K175" s="14"/>
      <c r="L175" s="14"/>
      <c r="M175" s="14"/>
      <c r="N175" s="14"/>
      <c r="O175" s="14"/>
      <c r="P175" s="14"/>
      <c r="Q175" s="14"/>
      <c r="R175" s="14"/>
      <c r="T175" s="14"/>
      <c r="U175" s="14"/>
      <c r="W175" s="14"/>
      <c r="X175" s="14"/>
      <c r="AB175" s="14"/>
      <c r="AC175" s="14"/>
      <c r="AD175" s="14"/>
      <c r="AE175" s="14"/>
      <c r="AF175" s="14"/>
      <c r="AG175" s="726"/>
      <c r="AH175" s="727">
        <f>DEGREES(ATAN(AI174/AH174))</f>
        <v>10.035971563435497</v>
      </c>
      <c r="AI175" s="705">
        <f>SQRT(AH174^2+AI174^2)</f>
        <v>28.997744448805637</v>
      </c>
      <c r="AJ175" s="7"/>
      <c r="AK175" s="411"/>
      <c r="AL175" s="404" t="s">
        <v>602</v>
      </c>
      <c r="AM175" s="402"/>
    </row>
    <row r="176" spans="1:39" ht="13.5">
      <c r="A176" s="14"/>
      <c r="B176" s="92" t="s">
        <v>94</v>
      </c>
      <c r="C176" s="124" t="str">
        <f>IF(Settings!S50=FALSE,"",IF(BU_t_J_HS="+","",BU_J_HS*1.5*In))</f>
        <v/>
      </c>
      <c r="D176" s="122" t="str">
        <f>IF(C176="","",IF(BU_t_J_HS="+",D178,BU_t_J_HS*1000+OpTime))</f>
        <v/>
      </c>
      <c r="E176" s="127" t="str">
        <f t="shared" ref="E176:E187" si="77">IF(D176="","",25/D176*100)</f>
        <v/>
      </c>
      <c r="F176" s="127" t="str">
        <f t="shared" ref="F176:F187" si="78">E176</f>
        <v/>
      </c>
      <c r="G176" s="14"/>
      <c r="H176" s="14"/>
      <c r="I176" s="14"/>
      <c r="J176" s="14"/>
      <c r="K176" s="14"/>
      <c r="L176" s="14"/>
      <c r="M176" s="14"/>
      <c r="N176" s="14"/>
      <c r="O176" s="14"/>
      <c r="P176" s="14"/>
      <c r="Q176" s="14"/>
      <c r="R176" s="14"/>
      <c r="T176" s="14"/>
      <c r="U176" s="14"/>
      <c r="W176" s="14"/>
      <c r="X176" s="14"/>
      <c r="AB176" s="14"/>
      <c r="AC176" s="14"/>
      <c r="AD176" s="14"/>
      <c r="AE176" s="14"/>
      <c r="AF176" s="14"/>
      <c r="AG176" s="723" t="s">
        <v>932</v>
      </c>
      <c r="AH176" s="724">
        <f>2*R_1+(AH182-2*R_1)/3*2</f>
        <v>29.908073171503879</v>
      </c>
      <c r="AI176" s="725">
        <f>AI174*2</f>
        <v>10.106666666666667</v>
      </c>
      <c r="AJ176" s="7"/>
      <c r="AK176" s="411"/>
      <c r="AL176" s="350" t="s">
        <v>603</v>
      </c>
      <c r="AM176" s="354">
        <f>SQRT((EX_1*(COS(RADIANS(Slope))))^2+(EX_1)^2)</f>
        <v>15.085350806234924</v>
      </c>
    </row>
    <row r="177" spans="1:39" ht="14.25" thickBot="1">
      <c r="A177" s="14"/>
      <c r="C177" s="124" t="str">
        <f>IF(Settings!S50=FALSE,"",IF(BU_t_J_HS="+",C178*2,BU_J_HS*1.05*In))</f>
        <v/>
      </c>
      <c r="D177" s="122" t="str">
        <f>IF(C177="","",IF(BU_t_J_HS="+",D178,BU_t_J_HS*1000+OpTime))</f>
        <v/>
      </c>
      <c r="E177" s="127" t="str">
        <f t="shared" si="77"/>
        <v/>
      </c>
      <c r="F177" s="127" t="str">
        <f t="shared" si="78"/>
        <v/>
      </c>
      <c r="G177" s="14"/>
      <c r="H177" s="14"/>
      <c r="I177" s="14"/>
      <c r="J177" s="14"/>
      <c r="K177" s="14"/>
      <c r="L177" s="14"/>
      <c r="M177" s="14"/>
      <c r="N177" s="14"/>
      <c r="O177" s="14"/>
      <c r="P177" s="14"/>
      <c r="Q177" s="14"/>
      <c r="R177" s="14"/>
      <c r="T177" s="14"/>
      <c r="U177" s="14"/>
      <c r="W177" s="14"/>
      <c r="X177" s="14"/>
      <c r="AB177" s="14"/>
      <c r="AC177" s="14"/>
      <c r="AD177" s="14"/>
      <c r="AE177" s="14"/>
      <c r="AF177" s="14"/>
      <c r="AG177" s="726"/>
      <c r="AH177" s="727">
        <f>DEGREES(ATAN(AI176/AH176))</f>
        <v>18.67136398158295</v>
      </c>
      <c r="AI177" s="705">
        <f>SQRT(AH176^2+AI176^2)</f>
        <v>31.569566863407253</v>
      </c>
      <c r="AJ177" s="7"/>
      <c r="AK177" s="411"/>
      <c r="AL177" s="350" t="s">
        <v>604</v>
      </c>
      <c r="AM177" s="354">
        <f>ER_1*SIN(RADIANS(Load_Comp))/SIN(RADIANS(180-Load_Comp-Slope))</f>
        <v>0</v>
      </c>
    </row>
    <row r="178" spans="1:39" ht="13.5">
      <c r="A178" s="14"/>
      <c r="C178" s="124" t="str">
        <f>IF(Settings!S50=FALSE,"",IF(BU_t_J_HS="+",BU_J_LS*4,BU_J_HS*0.95)*In)</f>
        <v/>
      </c>
      <c r="D178" s="122" t="str">
        <f>IF(C178="","",IF(BU_t_J_LS="+","",BU_t_J_LS*1000+OpTime))</f>
        <v/>
      </c>
      <c r="E178" s="127" t="str">
        <f t="shared" si="77"/>
        <v/>
      </c>
      <c r="F178" s="127" t="str">
        <f t="shared" si="78"/>
        <v/>
      </c>
      <c r="G178" s="14"/>
      <c r="H178" s="14"/>
      <c r="I178" s="14"/>
      <c r="J178" s="14"/>
      <c r="K178" s="14"/>
      <c r="L178" s="14"/>
      <c r="M178" s="14"/>
      <c r="N178" s="14"/>
      <c r="O178" s="14"/>
      <c r="P178" s="14"/>
      <c r="Q178" s="14"/>
      <c r="R178" s="14"/>
      <c r="T178" s="14"/>
      <c r="U178" s="14"/>
      <c r="W178" s="14"/>
      <c r="X178" s="14"/>
      <c r="AB178" s="14"/>
      <c r="AC178" s="14"/>
      <c r="AD178" s="14"/>
      <c r="AE178" s="14"/>
      <c r="AF178" s="14"/>
      <c r="AG178" s="720" t="s">
        <v>928</v>
      </c>
      <c r="AH178" s="721">
        <f>Start_Z1_Slope</f>
        <v>90</v>
      </c>
      <c r="AI178" s="722">
        <f>2*X_1/COS(RADIANS(90-Start_Z1_Slope))</f>
        <v>15.16</v>
      </c>
      <c r="AJ178" s="7"/>
      <c r="AK178" s="411"/>
      <c r="AL178" s="350" t="s">
        <v>605</v>
      </c>
      <c r="AM178" s="354">
        <f>(AM176-AM177)</f>
        <v>15.085350806234924</v>
      </c>
    </row>
    <row r="179" spans="1:39" ht="14.25" thickBot="1">
      <c r="A179" s="14"/>
      <c r="C179" s="124" t="str">
        <f>IF(Settings!S50=FALSE,"",(BU_J_HS+BU_J_LS)/2*In)</f>
        <v/>
      </c>
      <c r="D179" s="122" t="str">
        <f>IF(C179="","",IF(BU_t_J_LS="+","",BU_t_J_LS*1000+OpTime))</f>
        <v/>
      </c>
      <c r="E179" s="127" t="str">
        <f t="shared" si="77"/>
        <v/>
      </c>
      <c r="F179" s="127" t="str">
        <f t="shared" si="78"/>
        <v/>
      </c>
      <c r="G179" s="14"/>
      <c r="H179" s="14"/>
      <c r="I179" s="14"/>
      <c r="J179" s="14"/>
      <c r="K179" s="14"/>
      <c r="L179" s="14"/>
      <c r="M179" s="14"/>
      <c r="N179" s="14"/>
      <c r="O179" s="14"/>
      <c r="P179" s="14"/>
      <c r="Q179" s="14"/>
      <c r="R179" s="14"/>
      <c r="T179" s="14"/>
      <c r="U179" s="14"/>
      <c r="W179" s="14"/>
      <c r="X179" s="14"/>
      <c r="AB179" s="14"/>
      <c r="AC179" s="14"/>
      <c r="AD179" s="14"/>
      <c r="AE179" s="14"/>
      <c r="AF179" s="14"/>
      <c r="AG179" s="709" t="s">
        <v>927</v>
      </c>
      <c r="AH179" s="710">
        <f>AI178*COS(RADIANS(AH178))</f>
        <v>9.2866252882073393E-16</v>
      </c>
      <c r="AI179" s="711">
        <f>AI178*SIN(RADIANS(AH178))</f>
        <v>15.16</v>
      </c>
      <c r="AJ179" s="7"/>
      <c r="AK179" s="411"/>
      <c r="AL179" s="350" t="s">
        <v>607</v>
      </c>
      <c r="AM179" s="405">
        <f>AM178*COS(RADIANS(Slope))+ER_1</f>
        <v>69.004376090706259</v>
      </c>
    </row>
    <row r="180" spans="1:39" ht="13.5">
      <c r="A180" s="14"/>
      <c r="C180" s="124" t="str">
        <f>IF(Settings!S50=FALSE,"",BU_J_LS*In*1.05)</f>
        <v/>
      </c>
      <c r="D180" s="122" t="str">
        <f>IF(C180="","",IF(BU_t_J_LS="+","",BU_t_J_LS*1000+OpTime))</f>
        <v/>
      </c>
      <c r="E180" s="127" t="str">
        <f t="shared" si="77"/>
        <v/>
      </c>
      <c r="F180" s="127" t="str">
        <f t="shared" si="78"/>
        <v/>
      </c>
      <c r="G180" s="14"/>
      <c r="H180" s="14"/>
      <c r="I180" s="14"/>
      <c r="J180" s="14"/>
      <c r="K180" s="14"/>
      <c r="L180" s="14"/>
      <c r="M180" s="14"/>
      <c r="N180" s="14"/>
      <c r="O180" s="14"/>
      <c r="P180" s="14"/>
      <c r="Q180" s="14"/>
      <c r="R180" s="14"/>
      <c r="T180" s="14"/>
      <c r="U180" s="14"/>
      <c r="W180" s="14"/>
      <c r="X180" s="14"/>
      <c r="AB180" s="14"/>
      <c r="AC180" s="14"/>
      <c r="AD180" s="14"/>
      <c r="AE180" s="14"/>
      <c r="AF180" s="14"/>
      <c r="AG180" s="707" t="s">
        <v>927</v>
      </c>
      <c r="AH180" s="715">
        <f>(AH179+AH182)/2</f>
        <v>15.631054878627911</v>
      </c>
      <c r="AI180" s="718">
        <f>2*X_1-TAN(RADIANS(Load_Comp))*(AH170-AH180)</f>
        <v>15.16</v>
      </c>
      <c r="AJ180" s="7"/>
      <c r="AK180" s="411"/>
      <c r="AL180" s="350" t="s">
        <v>606</v>
      </c>
      <c r="AM180" s="406">
        <f>AM178*SIN(RADIANS(Slope))</f>
        <v>14.571329942372932</v>
      </c>
    </row>
    <row r="181" spans="1:39" ht="14.25" thickBot="1">
      <c r="A181" s="14"/>
      <c r="C181" s="124" t="str">
        <f>IF(Settings!S50=FALSE,"",BU_J_LS*In*0.95)</f>
        <v/>
      </c>
      <c r="D181" s="122"/>
      <c r="E181" s="127" t="str">
        <f t="shared" si="77"/>
        <v/>
      </c>
      <c r="F181" s="127" t="str">
        <f t="shared" si="78"/>
        <v/>
      </c>
      <c r="G181" s="14"/>
      <c r="H181" s="14"/>
      <c r="I181" s="14"/>
      <c r="J181" s="14"/>
      <c r="K181" s="14"/>
      <c r="L181" s="14"/>
      <c r="M181" s="14"/>
      <c r="N181" s="14"/>
      <c r="O181" s="14"/>
      <c r="P181" s="14"/>
      <c r="Q181" s="14"/>
      <c r="R181" s="14"/>
      <c r="T181" s="14"/>
      <c r="U181" s="14"/>
      <c r="W181" s="14"/>
      <c r="X181" s="14"/>
      <c r="AB181" s="14"/>
      <c r="AC181" s="14"/>
      <c r="AD181" s="14"/>
      <c r="AE181" s="14"/>
      <c r="AF181" s="14"/>
      <c r="AG181" s="708" t="s">
        <v>610</v>
      </c>
      <c r="AH181" s="716">
        <f>DEGREES(ATAN(AI180/AH180))</f>
        <v>44.123532749670183</v>
      </c>
      <c r="AI181" s="717">
        <f>SQRT(AH180^2+AI180^2)</f>
        <v>21.775111403128975</v>
      </c>
      <c r="AJ181" s="7"/>
      <c r="AK181" s="311" t="s">
        <v>609</v>
      </c>
      <c r="AL181" s="407">
        <f>DEGREES(ATAN(AM172/AL172))</f>
        <v>75.489181300930142</v>
      </c>
      <c r="AM181" s="408">
        <f>SQRT(AL172^2+AM172^2)</f>
        <v>15.085350806234924</v>
      </c>
    </row>
    <row r="182" spans="1:39" ht="13.5">
      <c r="A182" s="14"/>
      <c r="B182" s="92" t="s">
        <v>95</v>
      </c>
      <c r="C182" s="110" t="str">
        <f>IF(Settings!S51=FALSE,"",IF(BU_t_Je_HS="+","",BU_Je_HS*1.5*In/3))</f>
        <v/>
      </c>
      <c r="D182" s="107" t="str">
        <f>IF(C182="","",BU_t_Je_HS*1000+OpTime)</f>
        <v/>
      </c>
      <c r="E182" s="128" t="str">
        <f t="shared" si="77"/>
        <v/>
      </c>
      <c r="F182" s="128" t="str">
        <f t="shared" si="78"/>
        <v/>
      </c>
      <c r="G182" s="14"/>
      <c r="H182" s="14"/>
      <c r="I182" s="14" t="str">
        <f>IF(Settings!S51=FALSE,"",IF(BU_t_Je_HS="+","",BU_Je_HS*1.5*In/3))</f>
        <v/>
      </c>
      <c r="J182" s="14"/>
      <c r="K182" s="14"/>
      <c r="L182" s="14"/>
      <c r="M182" s="14"/>
      <c r="N182" s="14"/>
      <c r="O182" s="14"/>
      <c r="P182" s="14"/>
      <c r="Q182" s="14"/>
      <c r="R182" s="14"/>
      <c r="T182" s="14"/>
      <c r="U182" s="14"/>
      <c r="W182" s="14"/>
      <c r="X182" s="14"/>
      <c r="AB182" s="14"/>
      <c r="AC182" s="14"/>
      <c r="AD182" s="14"/>
      <c r="AE182" s="14"/>
      <c r="AF182" s="14"/>
      <c r="AG182" s="712" t="s">
        <v>927</v>
      </c>
      <c r="AH182" s="713">
        <f>AH170-AH173*COS(RADIANS(Slope))</f>
        <v>31.262109757255821</v>
      </c>
      <c r="AI182" s="714">
        <f>2*X_1-AH173*(SIN(RADIANS(Slope)))</f>
        <v>15.16</v>
      </c>
      <c r="AJ182" s="7"/>
      <c r="AK182" s="311" t="s">
        <v>610</v>
      </c>
      <c r="AL182" s="407">
        <f>(AL181+Load_comp_Ang_E)/2</f>
        <v>43.706446131461057</v>
      </c>
      <c r="AM182" s="408">
        <f>(TAN(RADIANS(Load_Comp))*AL172+EX_1)*SIN(RADIANS(90-Load_Comp))/SIN(RADIANS(Load_Comp+AL182))</f>
        <v>21.135889457207888</v>
      </c>
    </row>
    <row r="183" spans="1:39" ht="14.25" thickBot="1">
      <c r="A183" s="14"/>
      <c r="C183" s="110" t="e">
        <f>MIN(IF(Settings!S51=FALSE,"",IF(BU_t_Je_HS="+",C184*2,BU_Je_HS*1.05*In/3)),C178)</f>
        <v>#VALUE!</v>
      </c>
      <c r="D183" s="107" t="e">
        <f>IF(C183="","",IF(BU_t_Je_HS="+",D184,BU_t_Je_HS*1000+OpTime))</f>
        <v>#VALUE!</v>
      </c>
      <c r="E183" s="128" t="e">
        <f t="shared" si="77"/>
        <v>#VALUE!</v>
      </c>
      <c r="F183" s="128" t="e">
        <f t="shared" si="78"/>
        <v>#VALUE!</v>
      </c>
      <c r="G183" s="14"/>
      <c r="H183" s="14"/>
      <c r="I183" s="14"/>
      <c r="J183" s="14"/>
      <c r="K183" s="14"/>
      <c r="L183" s="14"/>
      <c r="M183" s="14"/>
      <c r="N183" s="14"/>
      <c r="O183" s="14"/>
      <c r="P183" s="14"/>
      <c r="Q183" s="14"/>
      <c r="R183" s="14"/>
      <c r="T183" s="14"/>
      <c r="U183" s="14"/>
      <c r="W183" s="14"/>
      <c r="X183" s="14"/>
      <c r="AB183" s="14"/>
      <c r="AC183" s="14"/>
      <c r="AD183" s="14"/>
      <c r="AE183" s="14"/>
      <c r="AF183" s="14"/>
      <c r="AG183" s="704" t="s">
        <v>608</v>
      </c>
      <c r="AH183" s="706">
        <f>DEGREES(ATAN(AI182/AH182))</f>
        <v>25.870234814212917</v>
      </c>
      <c r="AI183" s="705">
        <f>SQRT(AH182^2+AI182^2)</f>
        <v>34.743993818712177</v>
      </c>
      <c r="AJ183" s="7"/>
      <c r="AK183" s="311" t="s">
        <v>608</v>
      </c>
      <c r="AL183" s="409">
        <f>DEGREES(ATAN(AM180/AM179))</f>
        <v>11.923710961991974</v>
      </c>
      <c r="AM183" s="410">
        <f>SQRT(AM180^2+AM179^2)</f>
        <v>70.526077276119125</v>
      </c>
    </row>
    <row r="184" spans="1:39" ht="13.5">
      <c r="A184" s="14"/>
      <c r="B184" s="4"/>
      <c r="C184" s="110" t="str">
        <f>IF(Settings!S51=FALSE,"",IF(BU_t_Je_HS="+",BU_Je_LS*4,BU_Je_HS*0.95)*In/3)</f>
        <v/>
      </c>
      <c r="D184" s="107" t="str">
        <f>IF(C184="","",IF(BU_t_Je_LS="+","",BU_t_Je_LS*1000+OpTime))</f>
        <v/>
      </c>
      <c r="E184" s="128" t="str">
        <f t="shared" si="77"/>
        <v/>
      </c>
      <c r="F184" s="128" t="str">
        <f t="shared" si="78"/>
        <v/>
      </c>
      <c r="G184" s="14"/>
      <c r="H184" s="14"/>
      <c r="I184" s="14"/>
      <c r="J184" s="14"/>
      <c r="K184" s="14"/>
      <c r="L184" s="14"/>
      <c r="M184" s="14"/>
      <c r="N184" s="14"/>
      <c r="O184" s="14"/>
      <c r="P184" s="14"/>
      <c r="Q184" s="14"/>
      <c r="R184" s="14"/>
      <c r="T184" s="14"/>
      <c r="U184" s="14"/>
      <c r="W184" s="14"/>
      <c r="X184" s="14"/>
      <c r="AB184" s="14"/>
      <c r="AC184" s="14"/>
      <c r="AD184" s="14"/>
      <c r="AE184" s="14"/>
      <c r="AF184" s="14"/>
      <c r="AG184" s="723" t="s">
        <v>930</v>
      </c>
      <c r="AH184" s="724">
        <f>$AH$170/3*2</f>
        <v>20.841406504837213</v>
      </c>
      <c r="AI184" s="725">
        <f>$AI$170</f>
        <v>15.160000000000002</v>
      </c>
      <c r="AJ184" s="7"/>
      <c r="AK184" s="412" t="s">
        <v>666</v>
      </c>
      <c r="AL184" s="412">
        <f>IF(Settings!AN29=TRUE,1,0)</f>
        <v>0</v>
      </c>
      <c r="AM184" s="440">
        <f>63/Je_</f>
        <v>262.5</v>
      </c>
    </row>
    <row r="185" spans="1:39" ht="14.25" thickBot="1">
      <c r="A185" s="14"/>
      <c r="C185" s="110" t="str">
        <f>IF(Settings!S51=FALSE,"",(BU_Je_HS+BU_Je_LS)/2*In/3)</f>
        <v/>
      </c>
      <c r="D185" s="107" t="str">
        <f>IF(C185="","",IF(BU_t_Je_LS="+","",BU_t_Je_LS*1000+OpTime))</f>
        <v/>
      </c>
      <c r="E185" s="128" t="str">
        <f t="shared" si="77"/>
        <v/>
      </c>
      <c r="F185" s="128" t="str">
        <f t="shared" si="78"/>
        <v/>
      </c>
      <c r="G185" s="14"/>
      <c r="H185" s="14"/>
      <c r="I185" s="14"/>
      <c r="J185" s="14"/>
      <c r="K185" s="14"/>
      <c r="L185" s="14"/>
      <c r="M185" s="14"/>
      <c r="N185" s="14"/>
      <c r="O185" s="14"/>
      <c r="P185" s="14"/>
      <c r="Q185" s="14"/>
      <c r="R185" s="14"/>
      <c r="T185" s="14"/>
      <c r="U185" s="14"/>
      <c r="W185" s="14"/>
      <c r="X185" s="14"/>
      <c r="AB185" s="14"/>
      <c r="AC185" s="14"/>
      <c r="AD185" s="14"/>
      <c r="AE185" s="14"/>
      <c r="AF185" s="14"/>
      <c r="AG185" s="726"/>
      <c r="AH185" s="727">
        <f>DEGREES(ATAN(AI184/AH184))</f>
        <v>36.032072301425075</v>
      </c>
      <c r="AI185" s="705">
        <f>SQRT(AH184^2+AI184^2)</f>
        <v>25.771880511516247</v>
      </c>
      <c r="AJ185" s="7"/>
    </row>
    <row r="186" spans="1:39" ht="13.5">
      <c r="A186" s="14"/>
      <c r="C186" s="110" t="str">
        <f>IF(Settings!S51=FALSE,"",BU_Je_LS*In/3*1.05)</f>
        <v/>
      </c>
      <c r="D186" s="107" t="str">
        <f>IF(C186="","",IF(BU_t_Je_LS="+","",BU_t_Je_LS*1000+OpTime))</f>
        <v/>
      </c>
      <c r="E186" s="128" t="str">
        <f t="shared" si="77"/>
        <v/>
      </c>
      <c r="F186" s="128" t="str">
        <f t="shared" si="78"/>
        <v/>
      </c>
      <c r="G186" s="14"/>
      <c r="H186" s="14"/>
      <c r="I186" s="14"/>
      <c r="J186" s="14"/>
      <c r="K186" s="14"/>
      <c r="L186" s="14"/>
      <c r="M186" s="14"/>
      <c r="N186" s="14"/>
      <c r="O186" s="14"/>
      <c r="P186" s="14"/>
      <c r="Q186" s="14"/>
      <c r="R186" s="14"/>
      <c r="T186" s="14"/>
      <c r="U186" s="14"/>
      <c r="W186" s="14"/>
      <c r="X186" s="14"/>
      <c r="AB186" s="14"/>
      <c r="AC186" s="14"/>
      <c r="AD186" s="14"/>
      <c r="AE186" s="14"/>
      <c r="AF186" s="14"/>
      <c r="AG186" s="723" t="s">
        <v>929</v>
      </c>
      <c r="AH186" s="724">
        <f>$AH$170/3</f>
        <v>10.420703252418607</v>
      </c>
      <c r="AI186" s="725">
        <f>$AI$170</f>
        <v>15.160000000000002</v>
      </c>
      <c r="AJ186" s="7"/>
    </row>
    <row r="187" spans="1:39" ht="14.25" thickBot="1">
      <c r="A187" s="14"/>
      <c r="C187" s="110" t="str">
        <f>IF(Settings!S51=FALSE,"",BU_Je_LS*In/3*0.95)</f>
        <v/>
      </c>
      <c r="D187" s="107" t="str">
        <f>IF(C187&gt;C181,D180,"")</f>
        <v/>
      </c>
      <c r="E187" s="128" t="str">
        <f t="shared" si="77"/>
        <v/>
      </c>
      <c r="F187" s="128" t="str">
        <f t="shared" si="78"/>
        <v/>
      </c>
      <c r="G187" s="14"/>
      <c r="H187" s="14"/>
      <c r="I187" s="14"/>
      <c r="J187" s="14"/>
      <c r="K187" s="14"/>
      <c r="L187" s="14"/>
      <c r="M187" s="14"/>
      <c r="N187" s="14"/>
      <c r="O187" s="14"/>
      <c r="P187" s="14"/>
      <c r="Q187" s="14"/>
      <c r="R187" s="14"/>
      <c r="T187" s="14"/>
      <c r="U187" s="14"/>
      <c r="W187" s="14"/>
      <c r="X187" s="14"/>
      <c r="AB187" s="14"/>
      <c r="AC187" s="14"/>
      <c r="AD187" s="14"/>
      <c r="AE187" s="14"/>
      <c r="AF187" s="14"/>
      <c r="AG187" s="726"/>
      <c r="AH187" s="727">
        <f>DEGREES(ATAN(AI186/AH186))</f>
        <v>55.496088416038084</v>
      </c>
      <c r="AI187" s="705">
        <f>SQRT(AH186^2+AI186^2)</f>
        <v>18.39610437769279</v>
      </c>
      <c r="AJ187" s="7"/>
    </row>
    <row r="188" spans="1:39" ht="13.5">
      <c r="A188" s="14"/>
      <c r="B188" s="14"/>
      <c r="C188" s="14"/>
      <c r="D188" s="14"/>
      <c r="E188" s="14"/>
      <c r="F188" s="14"/>
      <c r="G188" s="14"/>
      <c r="H188" s="14"/>
      <c r="I188" s="14"/>
      <c r="J188" s="14"/>
      <c r="K188" s="14"/>
      <c r="L188" s="14"/>
      <c r="M188" s="14"/>
      <c r="N188" s="14"/>
      <c r="O188" s="14"/>
      <c r="P188" s="14"/>
      <c r="Q188" s="14"/>
      <c r="R188" s="14"/>
      <c r="T188" s="14"/>
      <c r="U188" s="14"/>
      <c r="W188" s="14"/>
      <c r="X188" s="14"/>
      <c r="AB188" s="14"/>
      <c r="AC188" s="14"/>
      <c r="AD188" s="14"/>
      <c r="AE188" s="14"/>
      <c r="AF188" s="14"/>
      <c r="AG188" s="702" t="s">
        <v>666</v>
      </c>
      <c r="AH188" s="702">
        <f>IF(Settings!AM29=TRUE,1,0)</f>
        <v>0</v>
      </c>
      <c r="AI188" s="703">
        <f>110/J_</f>
        <v>916.66666666666674</v>
      </c>
      <c r="AJ188" s="7"/>
    </row>
    <row r="189" spans="1:39" ht="13.5">
      <c r="A189" s="14"/>
      <c r="B189" s="14"/>
      <c r="C189" s="14"/>
      <c r="D189" s="14"/>
      <c r="E189" s="14"/>
      <c r="F189" s="14"/>
      <c r="G189" s="14"/>
      <c r="H189" s="14"/>
      <c r="I189" s="14"/>
      <c r="J189" s="14"/>
      <c r="K189" s="14"/>
      <c r="L189" s="14"/>
      <c r="M189" s="14"/>
      <c r="N189" s="14"/>
      <c r="O189" s="14"/>
      <c r="P189" s="14"/>
      <c r="Q189" s="14"/>
      <c r="R189" s="14"/>
      <c r="T189" s="14"/>
      <c r="U189" s="14"/>
      <c r="W189" s="14"/>
      <c r="X189" s="14"/>
      <c r="AB189" s="14"/>
      <c r="AC189" s="14"/>
      <c r="AD189" s="14"/>
      <c r="AE189" s="14"/>
      <c r="AF189" s="14"/>
      <c r="AJ189" s="7"/>
    </row>
    <row r="190" spans="1:39" ht="13.5">
      <c r="A190" s="14"/>
      <c r="B190" s="14"/>
      <c r="C190" s="14"/>
      <c r="D190" s="14"/>
      <c r="E190" s="14"/>
      <c r="F190" s="14"/>
      <c r="G190" s="14"/>
      <c r="H190" s="14"/>
      <c r="I190" s="14"/>
      <c r="J190" s="14"/>
      <c r="K190" s="14"/>
      <c r="L190" s="14"/>
      <c r="M190" s="14"/>
      <c r="N190" s="14"/>
      <c r="O190" s="14"/>
      <c r="P190" s="14"/>
      <c r="Q190" s="14"/>
      <c r="R190" s="14"/>
      <c r="T190" s="14"/>
      <c r="U190" s="14"/>
      <c r="W190" s="14"/>
      <c r="X190" s="14"/>
      <c r="AB190" s="14"/>
      <c r="AC190" s="14"/>
      <c r="AD190" s="14"/>
      <c r="AE190" s="14"/>
      <c r="AF190" s="14"/>
      <c r="AJ190" s="7"/>
    </row>
    <row r="191" spans="1:39" ht="13.5">
      <c r="A191" s="14"/>
      <c r="B191" s="14"/>
      <c r="C191" s="14"/>
      <c r="D191" s="14"/>
      <c r="E191" s="14"/>
      <c r="F191" s="14"/>
      <c r="G191" s="14"/>
      <c r="H191" s="14"/>
      <c r="I191" s="14"/>
      <c r="J191" s="14"/>
      <c r="K191" s="14"/>
      <c r="L191" s="14"/>
      <c r="M191" s="14"/>
      <c r="N191" s="14"/>
      <c r="O191" s="14"/>
      <c r="P191" s="14"/>
      <c r="Q191" s="14"/>
      <c r="R191" s="14"/>
      <c r="T191" s="14"/>
      <c r="U191" s="14"/>
      <c r="W191" s="14"/>
      <c r="X191" s="14"/>
      <c r="AB191" s="14"/>
      <c r="AC191" s="14"/>
      <c r="AD191" s="14"/>
      <c r="AE191" s="14"/>
      <c r="AF191" s="14"/>
      <c r="AJ191" s="7"/>
    </row>
    <row r="192" spans="1:39" ht="13.5">
      <c r="A192" s="14"/>
      <c r="B192" s="14"/>
      <c r="C192" s="14"/>
      <c r="D192" s="14"/>
      <c r="E192" s="14"/>
      <c r="F192" s="14"/>
      <c r="G192" s="14"/>
      <c r="H192" s="14"/>
      <c r="I192" s="14"/>
      <c r="J192" s="14"/>
      <c r="K192" s="14"/>
      <c r="L192" s="14"/>
      <c r="M192" s="14"/>
      <c r="N192" s="14"/>
      <c r="O192" s="14"/>
      <c r="P192" s="14"/>
      <c r="Q192" s="14"/>
      <c r="R192" s="14"/>
      <c r="T192" s="14"/>
      <c r="U192" s="14"/>
      <c r="W192" s="14"/>
      <c r="X192" s="14"/>
      <c r="AB192" s="14"/>
      <c r="AC192" s="14"/>
      <c r="AD192" s="14"/>
      <c r="AE192" s="14"/>
      <c r="AF192" s="14"/>
      <c r="AJ192" s="7"/>
    </row>
    <row r="193" spans="1:43" ht="13.5">
      <c r="A193" s="14"/>
      <c r="B193" s="14"/>
      <c r="C193" s="14"/>
      <c r="D193" s="14"/>
      <c r="E193" s="14"/>
      <c r="F193" s="14"/>
      <c r="G193" s="14"/>
      <c r="H193" s="14"/>
      <c r="I193" s="14"/>
      <c r="J193" s="14"/>
      <c r="K193" s="14"/>
      <c r="L193" s="14"/>
      <c r="M193" s="14"/>
      <c r="N193" s="14"/>
      <c r="O193" s="14"/>
      <c r="P193" s="14"/>
      <c r="Q193" s="14"/>
      <c r="R193" s="14"/>
      <c r="T193" s="14"/>
      <c r="U193" s="14"/>
      <c r="W193" s="14"/>
      <c r="X193" s="14"/>
      <c r="AB193" s="14"/>
      <c r="AC193" s="14"/>
      <c r="AD193" s="14"/>
      <c r="AE193" s="14"/>
      <c r="AF193" s="14"/>
      <c r="AJ193" s="7"/>
    </row>
    <row r="194" spans="1:43" ht="13.5">
      <c r="A194" s="14"/>
      <c r="B194" s="14"/>
      <c r="C194" s="14"/>
      <c r="D194" s="14"/>
      <c r="E194" s="14"/>
      <c r="F194" s="14"/>
      <c r="G194" s="14"/>
      <c r="H194" s="14"/>
      <c r="I194" s="14"/>
      <c r="J194" s="14"/>
      <c r="K194" s="14"/>
      <c r="L194" s="14"/>
      <c r="M194" s="14"/>
      <c r="N194" s="14"/>
      <c r="O194" s="14"/>
      <c r="P194" s="14"/>
      <c r="Q194" s="14"/>
      <c r="R194" s="14"/>
      <c r="T194" s="14"/>
      <c r="U194" s="14"/>
      <c r="W194" s="14"/>
      <c r="X194" s="14"/>
      <c r="AB194" s="14"/>
      <c r="AC194" s="14"/>
      <c r="AD194" s="14"/>
      <c r="AE194" s="14"/>
      <c r="AF194" s="14"/>
      <c r="AJ194" s="7"/>
    </row>
    <row r="195" spans="1:43" ht="13.5">
      <c r="A195" s="14"/>
      <c r="B195" s="14"/>
      <c r="C195" s="14"/>
      <c r="D195" s="14"/>
      <c r="E195" s="14"/>
      <c r="F195" s="14"/>
      <c r="G195" s="14"/>
      <c r="H195" s="14"/>
      <c r="I195" s="14"/>
      <c r="J195" s="14"/>
      <c r="K195" s="14"/>
      <c r="L195" s="14"/>
      <c r="M195" s="14"/>
      <c r="N195" s="14"/>
      <c r="O195" s="14"/>
      <c r="P195" s="14"/>
      <c r="Q195" s="14"/>
      <c r="R195" s="14"/>
      <c r="T195" s="14"/>
      <c r="U195" s="14"/>
      <c r="W195" s="14"/>
      <c r="X195" s="14"/>
      <c r="AB195" s="14"/>
      <c r="AC195" s="14"/>
      <c r="AD195" s="14"/>
      <c r="AE195" s="14"/>
      <c r="AF195" s="14"/>
      <c r="AJ195" s="7"/>
    </row>
    <row r="196" spans="1:43" ht="13.5">
      <c r="A196" s="14"/>
      <c r="B196" s="14"/>
      <c r="C196" s="14"/>
      <c r="D196" s="14"/>
      <c r="E196" s="14"/>
      <c r="F196" s="14"/>
      <c r="G196" s="14"/>
      <c r="H196" s="14"/>
      <c r="I196" s="14"/>
      <c r="J196" s="14"/>
      <c r="K196" s="14"/>
      <c r="L196" s="14"/>
      <c r="M196" s="14"/>
      <c r="N196" s="14"/>
      <c r="O196" s="14"/>
      <c r="P196" s="14"/>
      <c r="Q196" s="14"/>
      <c r="R196" s="14"/>
      <c r="T196" s="14"/>
      <c r="U196" s="14"/>
      <c r="W196" s="14"/>
      <c r="X196" s="14"/>
      <c r="AB196" s="14"/>
      <c r="AC196" s="14"/>
      <c r="AD196" s="14"/>
      <c r="AE196" s="14"/>
      <c r="AF196" s="14"/>
      <c r="AJ196" s="7"/>
    </row>
    <row r="197" spans="1:43" ht="13.5">
      <c r="A197" s="14"/>
      <c r="B197" s="14"/>
      <c r="C197" s="14"/>
      <c r="D197" s="367"/>
      <c r="E197" s="14"/>
      <c r="F197" s="14"/>
      <c r="G197" s="14"/>
      <c r="H197" s="14"/>
      <c r="I197" s="14"/>
      <c r="J197" s="14"/>
      <c r="K197" s="14"/>
      <c r="L197" s="14"/>
      <c r="M197" s="14"/>
      <c r="N197" s="14"/>
      <c r="O197" s="14"/>
      <c r="P197" s="14"/>
      <c r="Q197" s="14"/>
      <c r="R197" s="14"/>
      <c r="T197" s="14"/>
      <c r="U197" s="14"/>
      <c r="W197" s="14"/>
      <c r="X197" s="14"/>
      <c r="AB197" s="14"/>
      <c r="AC197" s="14"/>
      <c r="AD197" s="14"/>
      <c r="AE197" s="14"/>
      <c r="AF197" s="14"/>
      <c r="AJ197" s="7"/>
    </row>
    <row r="198" spans="1:43" ht="13.5">
      <c r="A198" s="14"/>
      <c r="B198" s="14"/>
      <c r="C198" s="14"/>
      <c r="D198" s="366"/>
      <c r="E198" s="14"/>
      <c r="F198" s="14"/>
      <c r="G198" s="14"/>
      <c r="H198" s="14"/>
      <c r="I198" s="14"/>
      <c r="J198" s="14"/>
      <c r="K198" s="14"/>
      <c r="L198" s="14"/>
      <c r="M198" s="14"/>
      <c r="N198" s="14"/>
      <c r="O198" s="14"/>
      <c r="P198" s="14"/>
      <c r="Q198" s="14"/>
      <c r="R198" s="14"/>
      <c r="T198" s="14"/>
      <c r="U198" s="14"/>
      <c r="W198" s="14"/>
      <c r="X198" s="14"/>
      <c r="AA198" s="1197" t="s">
        <v>1179</v>
      </c>
      <c r="AB198" s="1197"/>
      <c r="AC198" s="14"/>
      <c r="AD198" s="14"/>
      <c r="AE198" s="14"/>
      <c r="AF198" s="14"/>
      <c r="AJ198" s="7"/>
      <c r="AK198" s="12"/>
      <c r="AL198" s="7"/>
      <c r="AM198" s="7"/>
    </row>
    <row r="199" spans="1:43" ht="13.5">
      <c r="A199" s="14"/>
      <c r="F199" s="14"/>
      <c r="G199" s="14"/>
      <c r="H199" s="14"/>
      <c r="I199" s="14"/>
      <c r="J199" s="14"/>
      <c r="K199" s="14"/>
      <c r="L199" s="14"/>
      <c r="M199" s="14"/>
      <c r="N199" s="14"/>
      <c r="O199" s="14"/>
      <c r="P199" s="14"/>
      <c r="Q199" s="14"/>
      <c r="R199" s="14"/>
      <c r="T199" s="14"/>
      <c r="AA199" s="1064">
        <f>(MIN(Settings!AG53,(Vh-DCEF_V))/DCEF_J)/2</f>
        <v>119.80369515011546</v>
      </c>
      <c r="AB199" s="1064"/>
      <c r="AC199" s="14"/>
      <c r="AD199" s="14"/>
      <c r="AE199" s="14"/>
      <c r="AF199" s="14"/>
      <c r="AJ199" s="7"/>
      <c r="AK199" s="12"/>
      <c r="AL199" s="7"/>
      <c r="AM199" s="7"/>
    </row>
    <row r="200" spans="1:43" ht="13.5">
      <c r="A200" s="14"/>
      <c r="E200" s="14"/>
      <c r="F200" s="14"/>
      <c r="G200" s="14"/>
      <c r="H200" s="14"/>
      <c r="I200" s="14"/>
      <c r="J200" s="14"/>
      <c r="K200" s="14"/>
      <c r="L200" s="14"/>
      <c r="M200" s="14"/>
      <c r="N200" s="14"/>
      <c r="O200" s="14"/>
      <c r="P200" s="14"/>
      <c r="Q200" s="14"/>
      <c r="R200" s="14"/>
      <c r="T200" s="14"/>
      <c r="AA200" s="1064">
        <f>$AA$199*COS(RADIANS(DEF_Ang))</f>
        <v>80.164319179828567</v>
      </c>
      <c r="AB200" s="1064">
        <f>$AA$199*SIN(RADIANS(DEF_Ang))</f>
        <v>89.031496123879492</v>
      </c>
      <c r="AC200" s="14"/>
      <c r="AE200" s="14"/>
      <c r="AF200" s="900" t="s">
        <v>1151</v>
      </c>
      <c r="AG200" s="901">
        <f>(Vh*1.732)/(Settings!$AI$1)*Settings!$AM$25</f>
        <v>0</v>
      </c>
      <c r="AJ200" s="900" t="s">
        <v>1151</v>
      </c>
      <c r="AK200" s="901">
        <f>Vh/Settings!$AI$1*Settings!$AM$26</f>
        <v>0</v>
      </c>
      <c r="AM200" s="7"/>
      <c r="AP200" s="403">
        <f>AL10/3*2</f>
        <v>46.002917393804161</v>
      </c>
      <c r="AQ200" s="701">
        <f>AM13</f>
        <v>14.604133333333333</v>
      </c>
    </row>
    <row r="201" spans="1:43">
      <c r="A201" s="14"/>
      <c r="B201" s="476" t="str">
        <f>LEFT(SUBSTITUTE(SUBSTITUTE(SUBSTITUTE(Station," ",""),"/","_"),".","_"),12)</f>
        <v>TH</v>
      </c>
      <c r="C201" s="476" t="str">
        <f>LEFT(SUBSTITUTE(SUBSTITUTE(SUBSTITUTE(Feeder," ",""),"/","_"),".","_"),12)</f>
        <v>Duns</v>
      </c>
      <c r="D201" s="476" t="str">
        <f>Settings!AB6&amp;", "&amp;In&amp;"A"</f>
        <v>GRZ100, 1A</v>
      </c>
      <c r="E201" s="403"/>
      <c r="G201" s="14"/>
      <c r="H201" s="14"/>
      <c r="I201" s="14"/>
      <c r="J201" s="14"/>
      <c r="K201" s="14"/>
      <c r="L201" s="14"/>
      <c r="M201" s="14"/>
      <c r="N201" s="14"/>
      <c r="O201" s="14"/>
      <c r="P201" s="14"/>
      <c r="Q201" s="14"/>
      <c r="R201" s="14"/>
      <c r="T201" s="14"/>
      <c r="U201" s="14"/>
      <c r="V201" s="258"/>
      <c r="AA201" s="1064">
        <f>($AA$199*COS(RADIANS(AE201-DEF_Ang))+$AA$200)*Settings!$AO$14</f>
        <v>0</v>
      </c>
      <c r="AB201" s="1065">
        <f>($AA$199*SIN(RADIANS(AE201-DEF_Ang))+$AB$200)*Settings!$AO$14</f>
        <v>0</v>
      </c>
      <c r="AC201" s="14"/>
      <c r="AD201" s="14"/>
      <c r="AE201" s="897">
        <v>0</v>
      </c>
      <c r="AF201" s="899">
        <f>$AG$200*COS(RADIANS($AE201))</f>
        <v>0</v>
      </c>
      <c r="AG201" s="327">
        <f>$AG$200*SIN(RADIANS($AE201))</f>
        <v>0</v>
      </c>
      <c r="AH201" s="898">
        <f t="shared" ref="AH201:AH225" si="79">Max_Z*COS(RADIANS($AE201))*$AH$188</f>
        <v>0</v>
      </c>
      <c r="AI201" s="898">
        <f t="shared" ref="AI201:AI225" si="80">Max_Z*SIN(RADIANS($AE201))*$AH$188</f>
        <v>0</v>
      </c>
      <c r="AJ201" s="899">
        <f>$AK$200*COS(RADIANS($AE201))</f>
        <v>0</v>
      </c>
      <c r="AK201" s="899">
        <f>$AK$200*SIN(RADIANS($AE201))</f>
        <v>0</v>
      </c>
      <c r="AL201" s="898">
        <f t="shared" ref="AL201:AL225" si="81">Max_Ze*COS(RADIANS(AE201))*$AL$184</f>
        <v>0</v>
      </c>
      <c r="AM201" s="898">
        <f t="shared" ref="AM201:AM225" si="82">Max_Ze*COS(RADIANS(AE201))*$AL$184</f>
        <v>0</v>
      </c>
      <c r="AP201" s="403">
        <f>DEGREES(ATAN(AQ200/AP200))</f>
        <v>17.612614698164872</v>
      </c>
      <c r="AQ201" s="817">
        <f>SQRT(AP200^2+AQ200^2)</f>
        <v>48.265402921336388</v>
      </c>
    </row>
    <row r="202" spans="1:43" ht="13.5">
      <c r="A202" s="14"/>
      <c r="B202" s="403" t="s">
        <v>536</v>
      </c>
      <c r="C202" s="403" t="str">
        <f>"MW:+"&amp;AP117</f>
        <v>MW:+111.9</v>
      </c>
      <c r="D202" s="403" t="str">
        <f>"MVAr:+"&amp;AP118</f>
        <v>MVAr:+40.7</v>
      </c>
      <c r="E202" s="14"/>
      <c r="H202" s="14"/>
      <c r="I202" s="14"/>
      <c r="J202" s="14"/>
      <c r="K202" s="14"/>
      <c r="L202" s="14"/>
      <c r="M202" s="14"/>
      <c r="N202" s="14"/>
      <c r="O202" s="14"/>
      <c r="P202" s="14"/>
      <c r="Q202" s="14"/>
      <c r="R202" s="14"/>
      <c r="T202" s="14"/>
      <c r="U202" s="14"/>
      <c r="V202" s="258"/>
      <c r="AA202" s="1064">
        <f>($AA$199*COS(RADIANS(AE202-DEF_Ang))+$AA$200)*Settings!$AO$14</f>
        <v>0</v>
      </c>
      <c r="AB202" s="1065">
        <f>($AA$199*SIN(RADIANS(AE202-DEF_Ang))+$AB$200)*Settings!$AO$14</f>
        <v>0</v>
      </c>
      <c r="AC202" s="14"/>
      <c r="AD202" s="14"/>
      <c r="AE202" s="897">
        <v>15</v>
      </c>
      <c r="AF202" s="899">
        <f t="shared" ref="AF202:AF225" si="83">$AG$200*COS(RADIANS($AE202))</f>
        <v>0</v>
      </c>
      <c r="AG202" s="327">
        <f t="shared" ref="AG202:AG225" si="84">$AG$200*SIN(RADIANS($AE202))</f>
        <v>0</v>
      </c>
      <c r="AH202" s="898">
        <f t="shared" si="79"/>
        <v>0</v>
      </c>
      <c r="AI202" s="898">
        <f t="shared" si="80"/>
        <v>0</v>
      </c>
      <c r="AJ202" s="899">
        <f t="shared" ref="AJ202:AJ225" si="85">$AK$200*COS(RADIANS($AE202))</f>
        <v>0</v>
      </c>
      <c r="AK202" s="899">
        <f t="shared" ref="AK202:AK225" si="86">$AK$200*SIN(RADIANS($AE202))</f>
        <v>0</v>
      </c>
      <c r="AL202" s="898">
        <f t="shared" si="81"/>
        <v>0</v>
      </c>
      <c r="AM202" s="898">
        <f t="shared" si="82"/>
        <v>0</v>
      </c>
      <c r="AP202" s="12">
        <f>AL10/3</f>
        <v>23.00145869690208</v>
      </c>
      <c r="AQ202" s="819">
        <f>AQ200</f>
        <v>14.604133333333333</v>
      </c>
    </row>
    <row r="203" spans="1:43" ht="13.5">
      <c r="A203" s="14"/>
      <c r="B203" s="309" t="s">
        <v>206</v>
      </c>
      <c r="C203" s="310">
        <f>In</f>
        <v>1</v>
      </c>
      <c r="D203" s="438">
        <f ca="1">NOW()</f>
        <v>45792.777624652779</v>
      </c>
      <c r="E203" s="14"/>
      <c r="F203" s="14"/>
      <c r="G203" s="14"/>
      <c r="H203" s="14"/>
      <c r="I203" s="14"/>
      <c r="J203" s="14"/>
      <c r="K203" s="14"/>
      <c r="L203" s="14"/>
      <c r="M203" s="14"/>
      <c r="N203" s="14"/>
      <c r="O203" s="14"/>
      <c r="P203" s="14"/>
      <c r="Q203" s="14"/>
      <c r="R203" s="14"/>
      <c r="T203" s="14"/>
      <c r="U203" s="14"/>
      <c r="V203" s="258"/>
      <c r="AA203" s="1064">
        <f>($AA$199*COS(RADIANS(AE203-DEF_Ang))+$AA$200)*Settings!$AO$14</f>
        <v>0</v>
      </c>
      <c r="AB203" s="1065">
        <f>($AA$199*SIN(RADIANS(AE203-DEF_Ang))+$AB$200)*Settings!$AO$14</f>
        <v>0</v>
      </c>
      <c r="AC203" s="14"/>
      <c r="AD203" s="14"/>
      <c r="AE203" s="441">
        <v>30</v>
      </c>
      <c r="AF203" s="899">
        <f t="shared" si="83"/>
        <v>0</v>
      </c>
      <c r="AG203" s="327">
        <f t="shared" si="84"/>
        <v>0</v>
      </c>
      <c r="AH203" s="898">
        <f t="shared" si="79"/>
        <v>0</v>
      </c>
      <c r="AI203" s="898">
        <f t="shared" si="80"/>
        <v>0</v>
      </c>
      <c r="AJ203" s="899">
        <f t="shared" si="85"/>
        <v>0</v>
      </c>
      <c r="AK203" s="899">
        <f t="shared" si="86"/>
        <v>0</v>
      </c>
      <c r="AL203" s="898">
        <f t="shared" si="81"/>
        <v>0</v>
      </c>
      <c r="AM203" s="898">
        <f t="shared" si="82"/>
        <v>0</v>
      </c>
      <c r="AP203" s="403">
        <f>DEGREES(ATAN(AQ202/AP202))</f>
        <v>32.412364445780845</v>
      </c>
      <c r="AQ203" s="817">
        <f>SQRT(AP202^2+AQ202^2)</f>
        <v>27.246060496942857</v>
      </c>
    </row>
    <row r="204" spans="1:43">
      <c r="A204" s="14"/>
      <c r="B204" s="154" t="s">
        <v>189</v>
      </c>
      <c r="C204" s="155">
        <v>25</v>
      </c>
      <c r="D204" s="222"/>
      <c r="E204" s="14"/>
      <c r="F204" s="14"/>
      <c r="G204" s="14"/>
      <c r="H204" s="14"/>
      <c r="I204" s="14"/>
      <c r="J204" s="14"/>
      <c r="K204" s="14"/>
      <c r="L204" s="14"/>
      <c r="M204" s="14"/>
      <c r="N204" s="14"/>
      <c r="O204" s="14"/>
      <c r="P204" s="14"/>
      <c r="Q204" s="14"/>
      <c r="R204" s="14"/>
      <c r="T204" s="14"/>
      <c r="U204" s="14"/>
      <c r="V204" s="258"/>
      <c r="AA204" s="1064">
        <f>($AA$199*COS(RADIANS(AE204-DEF_Ang))+$AA$200)*Settings!$AO$14</f>
        <v>0</v>
      </c>
      <c r="AB204" s="1065">
        <f>($AA$199*SIN(RADIANS(AE204-DEF_Ang))+$AB$200)*Settings!$AO$14</f>
        <v>0</v>
      </c>
      <c r="AC204" s="14"/>
      <c r="AD204" s="14"/>
      <c r="AE204" s="897">
        <v>45</v>
      </c>
      <c r="AF204" s="899">
        <f t="shared" si="83"/>
        <v>0</v>
      </c>
      <c r="AG204" s="327">
        <f t="shared" si="84"/>
        <v>0</v>
      </c>
      <c r="AH204" s="898">
        <f t="shared" si="79"/>
        <v>0</v>
      </c>
      <c r="AI204" s="898">
        <f t="shared" si="80"/>
        <v>0</v>
      </c>
      <c r="AJ204" s="899">
        <f t="shared" si="85"/>
        <v>0</v>
      </c>
      <c r="AK204" s="899">
        <f t="shared" si="86"/>
        <v>0</v>
      </c>
      <c r="AL204" s="898">
        <f t="shared" si="81"/>
        <v>0</v>
      </c>
      <c r="AM204" s="898">
        <f t="shared" si="82"/>
        <v>0</v>
      </c>
    </row>
    <row r="205" spans="1:43">
      <c r="A205" s="14"/>
      <c r="B205" s="483" t="s">
        <v>537</v>
      </c>
      <c r="C205" s="483">
        <f>IF(Settings!AB9=0,180,0)</f>
        <v>180</v>
      </c>
      <c r="D205" s="483"/>
      <c r="E205" s="14"/>
      <c r="F205" s="14"/>
      <c r="G205" s="14"/>
      <c r="H205" s="14"/>
      <c r="I205" s="14"/>
      <c r="J205" s="14"/>
      <c r="K205" s="14"/>
      <c r="L205" s="14"/>
      <c r="M205" s="14"/>
      <c r="N205" s="14"/>
      <c r="O205" s="14"/>
      <c r="P205" s="14"/>
      <c r="Q205" s="14"/>
      <c r="R205" s="14"/>
      <c r="T205" s="14"/>
      <c r="U205" s="14"/>
      <c r="V205" s="258"/>
      <c r="AA205" s="1064">
        <f>($AA$199*COS(RADIANS(AE205-DEF_Ang))+$AA$200)*Settings!$AO$14</f>
        <v>0</v>
      </c>
      <c r="AB205" s="1065">
        <f>($AA$199*SIN(RADIANS(AE205-DEF_Ang))+$AB$200)*Settings!$AO$14</f>
        <v>0</v>
      </c>
      <c r="AC205" s="14"/>
      <c r="AD205" s="14"/>
      <c r="AE205" s="897">
        <v>60</v>
      </c>
      <c r="AF205" s="899">
        <f t="shared" si="83"/>
        <v>0</v>
      </c>
      <c r="AG205" s="327">
        <f t="shared" si="84"/>
        <v>0</v>
      </c>
      <c r="AH205" s="898">
        <f t="shared" si="79"/>
        <v>0</v>
      </c>
      <c r="AI205" s="898">
        <f t="shared" si="80"/>
        <v>0</v>
      </c>
      <c r="AJ205" s="899">
        <f t="shared" si="85"/>
        <v>0</v>
      </c>
      <c r="AK205" s="899">
        <f t="shared" si="86"/>
        <v>0</v>
      </c>
      <c r="AL205" s="898">
        <f t="shared" si="81"/>
        <v>0</v>
      </c>
      <c r="AM205" s="898">
        <f t="shared" si="82"/>
        <v>0</v>
      </c>
    </row>
    <row r="206" spans="1:43" ht="13.5">
      <c r="A206" s="14"/>
      <c r="B206" s="150" t="s">
        <v>255</v>
      </c>
      <c r="C206" s="150" t="str">
        <f>K51</f>
        <v xml:space="preserve"> 90</v>
      </c>
      <c r="D206" s="150" t="s">
        <v>256</v>
      </c>
      <c r="E206" s="14"/>
      <c r="F206" s="14"/>
      <c r="G206" s="14"/>
      <c r="H206" s="14"/>
      <c r="I206" s="14"/>
      <c r="J206" s="14"/>
      <c r="K206" s="14"/>
      <c r="L206" s="14"/>
      <c r="M206" s="14"/>
      <c r="N206" s="14"/>
      <c r="O206" s="14"/>
      <c r="P206" s="14"/>
      <c r="Q206" s="14"/>
      <c r="R206" s="14"/>
      <c r="T206" s="14"/>
      <c r="U206" s="14"/>
      <c r="V206" s="258"/>
      <c r="AA206" s="1064">
        <f>($AA$199*COS(RADIANS(AE206-DEF_Ang))+$AA$200)*Settings!$AO$14</f>
        <v>0</v>
      </c>
      <c r="AB206" s="1065">
        <f>($AA$199*SIN(RADIANS(AE206-DEF_Ang))+$AB$200)*Settings!$AO$14</f>
        <v>0</v>
      </c>
      <c r="AC206" s="14"/>
      <c r="AD206" s="14"/>
      <c r="AE206" s="441">
        <v>75</v>
      </c>
      <c r="AF206" s="899">
        <f t="shared" si="83"/>
        <v>0</v>
      </c>
      <c r="AG206" s="327">
        <f t="shared" si="84"/>
        <v>0</v>
      </c>
      <c r="AH206" s="898">
        <f t="shared" si="79"/>
        <v>0</v>
      </c>
      <c r="AI206" s="898">
        <f t="shared" si="80"/>
        <v>0</v>
      </c>
      <c r="AJ206" s="899">
        <f t="shared" si="85"/>
        <v>0</v>
      </c>
      <c r="AK206" s="899">
        <f t="shared" si="86"/>
        <v>0</v>
      </c>
      <c r="AL206" s="898">
        <f t="shared" si="81"/>
        <v>0</v>
      </c>
      <c r="AM206" s="898">
        <f t="shared" si="82"/>
        <v>0</v>
      </c>
    </row>
    <row r="207" spans="1:43">
      <c r="A207" s="14"/>
      <c r="B207" s="150" t="s">
        <v>257</v>
      </c>
      <c r="C207" s="150">
        <f>ROUND(T_5*1.1+1,0)</f>
        <v>2</v>
      </c>
      <c r="D207" s="150"/>
      <c r="E207" s="14"/>
      <c r="F207" s="14"/>
      <c r="G207" s="14"/>
      <c r="H207" s="14"/>
      <c r="I207" s="14"/>
      <c r="J207" s="14"/>
      <c r="K207" s="14"/>
      <c r="L207" s="14"/>
      <c r="M207" s="14"/>
      <c r="N207" s="14"/>
      <c r="O207" s="14"/>
      <c r="P207" s="14"/>
      <c r="Q207" s="14"/>
      <c r="R207" s="14"/>
      <c r="T207" s="14"/>
      <c r="U207" s="14"/>
      <c r="V207" s="258"/>
      <c r="AA207" s="1064">
        <f>($AA$199*COS(RADIANS(AE207-DEF_Ang))+$AA$200)*Settings!$AO$14</f>
        <v>0</v>
      </c>
      <c r="AB207" s="1065">
        <f>($AA$199*SIN(RADIANS(AE207-DEF_Ang))+$AB$200)*Settings!$AO$14</f>
        <v>0</v>
      </c>
      <c r="AC207" s="14"/>
      <c r="AD207" s="14"/>
      <c r="AE207" s="897">
        <v>90</v>
      </c>
      <c r="AF207" s="899">
        <f t="shared" si="83"/>
        <v>0</v>
      </c>
      <c r="AG207" s="327">
        <f t="shared" si="84"/>
        <v>0</v>
      </c>
      <c r="AH207" s="898">
        <f t="shared" si="79"/>
        <v>0</v>
      </c>
      <c r="AI207" s="898">
        <f t="shared" si="80"/>
        <v>0</v>
      </c>
      <c r="AJ207" s="899">
        <f t="shared" si="85"/>
        <v>0</v>
      </c>
      <c r="AK207" s="899">
        <f t="shared" si="86"/>
        <v>0</v>
      </c>
      <c r="AL207" s="898">
        <f t="shared" si="81"/>
        <v>0</v>
      </c>
      <c r="AM207" s="898">
        <f t="shared" si="82"/>
        <v>0</v>
      </c>
    </row>
    <row r="208" spans="1:43" ht="13.5">
      <c r="A208" s="14"/>
      <c r="B208" s="252" t="s">
        <v>980</v>
      </c>
      <c r="C208" s="252">
        <f>DirDelta</f>
        <v>5</v>
      </c>
      <c r="D208" s="787" t="str">
        <f>"xls V: "&amp;DAY(Settings!W1)&amp;"/"&amp;MONTH(Settings!W1)&amp;"/"&amp;YEAR(Settings!W1)</f>
        <v>xls V: 25/8/2011</v>
      </c>
      <c r="E208" s="14"/>
      <c r="F208" s="14"/>
      <c r="G208" s="14"/>
      <c r="H208" s="14"/>
      <c r="I208" s="14"/>
      <c r="J208" s="14"/>
      <c r="K208" s="14"/>
      <c r="L208" s="14"/>
      <c r="M208" s="14"/>
      <c r="N208" s="14"/>
      <c r="O208" s="14"/>
      <c r="P208" s="14"/>
      <c r="Q208" s="14"/>
      <c r="R208" s="14"/>
      <c r="T208" s="14"/>
      <c r="U208" s="14"/>
      <c r="V208" s="258"/>
      <c r="AA208" s="1064">
        <f>($AA$199*COS(RADIANS(AE208-DEF_Ang))+$AA$200)*Settings!$AO$14</f>
        <v>0</v>
      </c>
      <c r="AB208" s="1065">
        <f>($AA$199*SIN(RADIANS(AE208-DEF_Ang))+$AB$200)*Settings!$AO$14</f>
        <v>0</v>
      </c>
      <c r="AC208" s="14"/>
      <c r="AD208" s="14"/>
      <c r="AE208" s="897">
        <v>105</v>
      </c>
      <c r="AF208" s="899">
        <f t="shared" si="83"/>
        <v>0</v>
      </c>
      <c r="AG208" s="327">
        <f t="shared" si="84"/>
        <v>0</v>
      </c>
      <c r="AH208" s="898">
        <f t="shared" si="79"/>
        <v>0</v>
      </c>
      <c r="AI208" s="898">
        <f t="shared" si="80"/>
        <v>0</v>
      </c>
      <c r="AJ208" s="899">
        <f t="shared" si="85"/>
        <v>0</v>
      </c>
      <c r="AK208" s="899">
        <f t="shared" si="86"/>
        <v>0</v>
      </c>
      <c r="AL208" s="898">
        <f t="shared" si="81"/>
        <v>0</v>
      </c>
      <c r="AM208" s="898">
        <f t="shared" si="82"/>
        <v>0</v>
      </c>
    </row>
    <row r="209" spans="1:39" ht="13.5">
      <c r="A209" s="14"/>
      <c r="B209" s="445" t="s">
        <v>1144</v>
      </c>
      <c r="C209" s="445">
        <f>In*0.1</f>
        <v>0.1</v>
      </c>
      <c r="D209" s="445" t="s">
        <v>1145</v>
      </c>
      <c r="E209" s="14"/>
      <c r="F209" s="14"/>
      <c r="G209" s="14"/>
      <c r="H209" s="14"/>
      <c r="I209" s="14"/>
      <c r="J209" s="14"/>
      <c r="K209" s="14"/>
      <c r="L209" s="14"/>
      <c r="M209" s="14"/>
      <c r="N209" s="14"/>
      <c r="O209" s="14"/>
      <c r="P209" s="14"/>
      <c r="Q209" s="14"/>
      <c r="R209" s="14"/>
      <c r="T209" s="14"/>
      <c r="U209" s="14"/>
      <c r="V209" s="258"/>
      <c r="AA209" s="1064">
        <f>($AA$199*COS(RADIANS(AE209-DEF_Ang))+$AA$200)*Settings!$AO$14</f>
        <v>0</v>
      </c>
      <c r="AB209" s="1065">
        <f>($AA$199*SIN(RADIANS(AE209-DEF_Ang))+$AB$200)*Settings!$AO$14</f>
        <v>0</v>
      </c>
      <c r="AC209" s="14"/>
      <c r="AD209" s="14"/>
      <c r="AE209" s="441">
        <v>120</v>
      </c>
      <c r="AF209" s="899">
        <f t="shared" si="83"/>
        <v>0</v>
      </c>
      <c r="AG209" s="327">
        <f t="shared" si="84"/>
        <v>0</v>
      </c>
      <c r="AH209" s="898">
        <f t="shared" si="79"/>
        <v>0</v>
      </c>
      <c r="AI209" s="898">
        <f t="shared" si="80"/>
        <v>0</v>
      </c>
      <c r="AJ209" s="899">
        <f t="shared" si="85"/>
        <v>0</v>
      </c>
      <c r="AK209" s="899">
        <f t="shared" si="86"/>
        <v>0</v>
      </c>
      <c r="AL209" s="898">
        <f t="shared" si="81"/>
        <v>0</v>
      </c>
      <c r="AM209" s="898">
        <f t="shared" si="82"/>
        <v>0</v>
      </c>
    </row>
    <row r="210" spans="1:39">
      <c r="A210" s="14"/>
      <c r="B210" s="483" t="s">
        <v>868</v>
      </c>
      <c r="C210" s="483" t="str">
        <f>LEFT(Z1CNT,1)</f>
        <v>1</v>
      </c>
      <c r="D210" s="483"/>
      <c r="E210" s="14"/>
      <c r="F210" s="14"/>
      <c r="G210" s="14"/>
      <c r="H210" s="14"/>
      <c r="I210" s="14"/>
      <c r="J210" s="14"/>
      <c r="K210" s="14"/>
      <c r="L210" s="14"/>
      <c r="M210" s="14"/>
      <c r="N210" s="14"/>
      <c r="O210" s="14"/>
      <c r="P210" s="14"/>
      <c r="Q210" s="14"/>
      <c r="R210" s="14"/>
      <c r="T210" s="14"/>
      <c r="U210" s="14"/>
      <c r="V210" s="258"/>
      <c r="AA210" s="1064">
        <f>($AA$199*COS(RADIANS(AE210-DEF_Ang))+$AA$200)*Settings!$AO$14</f>
        <v>0</v>
      </c>
      <c r="AB210" s="1065">
        <f>($AA$199*SIN(RADIANS(AE210-DEF_Ang))+$AB$200)*Settings!$AO$14</f>
        <v>0</v>
      </c>
      <c r="AC210" s="14"/>
      <c r="AD210" s="14"/>
      <c r="AE210" s="897">
        <v>135</v>
      </c>
      <c r="AF210" s="899">
        <f t="shared" si="83"/>
        <v>0</v>
      </c>
      <c r="AG210" s="327">
        <f t="shared" si="84"/>
        <v>0</v>
      </c>
      <c r="AH210" s="898">
        <f t="shared" si="79"/>
        <v>0</v>
      </c>
      <c r="AI210" s="898">
        <f t="shared" si="80"/>
        <v>0</v>
      </c>
      <c r="AJ210" s="899">
        <f t="shared" si="85"/>
        <v>0</v>
      </c>
      <c r="AK210" s="899">
        <f t="shared" si="86"/>
        <v>0</v>
      </c>
      <c r="AL210" s="898">
        <f t="shared" si="81"/>
        <v>0</v>
      </c>
      <c r="AM210" s="898">
        <f t="shared" si="82"/>
        <v>0</v>
      </c>
    </row>
    <row r="211" spans="1:39">
      <c r="A211" s="14"/>
      <c r="B211" t="s">
        <v>1169</v>
      </c>
      <c r="C211">
        <f>IF(Settings!C3&gt;200,0,7)</f>
        <v>7</v>
      </c>
      <c r="D211" t="s">
        <v>1170</v>
      </c>
      <c r="I211" s="14"/>
      <c r="J211" s="14"/>
      <c r="K211" s="14"/>
      <c r="L211" s="14"/>
      <c r="M211" s="14"/>
      <c r="N211" s="14"/>
      <c r="O211" s="14"/>
      <c r="P211" s="14"/>
      <c r="Q211" s="14"/>
      <c r="R211" s="14"/>
      <c r="T211" s="14"/>
      <c r="U211" s="14"/>
      <c r="V211" s="258"/>
      <c r="AA211" s="1064">
        <f>($AA$199*COS(RADIANS(AE211-DEF_Ang))+$AA$200)*Settings!$AO$14</f>
        <v>0</v>
      </c>
      <c r="AB211" s="1065">
        <f>($AA$199*SIN(RADIANS(AE211-DEF_Ang))+$AB$200)*Settings!$AO$14</f>
        <v>0</v>
      </c>
      <c r="AC211" s="14"/>
      <c r="AD211" s="14"/>
      <c r="AE211" s="897">
        <v>150</v>
      </c>
      <c r="AF211" s="899">
        <f t="shared" si="83"/>
        <v>0</v>
      </c>
      <c r="AG211" s="327">
        <f t="shared" si="84"/>
        <v>0</v>
      </c>
      <c r="AH211" s="898">
        <f t="shared" si="79"/>
        <v>0</v>
      </c>
      <c r="AI211" s="898">
        <f t="shared" si="80"/>
        <v>0</v>
      </c>
      <c r="AJ211" s="899">
        <f t="shared" si="85"/>
        <v>0</v>
      </c>
      <c r="AK211" s="899">
        <f t="shared" si="86"/>
        <v>0</v>
      </c>
      <c r="AL211" s="898">
        <f t="shared" si="81"/>
        <v>0</v>
      </c>
      <c r="AM211" s="898">
        <f t="shared" si="82"/>
        <v>0</v>
      </c>
    </row>
    <row r="212" spans="1:39" ht="13.5">
      <c r="A212" s="14"/>
      <c r="B212" s="350" t="s">
        <v>535</v>
      </c>
      <c r="C212" s="405">
        <f>Settings!C4/1.732</f>
        <v>57.736720554272516</v>
      </c>
      <c r="D212" s="350"/>
      <c r="I212" s="14"/>
      <c r="J212" s="14"/>
      <c r="K212" s="14"/>
      <c r="L212" s="14"/>
      <c r="M212" s="14"/>
      <c r="N212" s="14"/>
      <c r="O212" s="14"/>
      <c r="P212" s="14"/>
      <c r="Q212" s="14"/>
      <c r="R212" s="14"/>
      <c r="T212" s="14"/>
      <c r="U212" s="14"/>
      <c r="V212" s="258"/>
      <c r="AA212" s="1064">
        <f>($AA$199*COS(RADIANS(AE212-DEF_Ang))+$AA$200)*Settings!$AO$14</f>
        <v>0</v>
      </c>
      <c r="AB212" s="1065">
        <f>($AA$199*SIN(RADIANS(AE212-DEF_Ang))+$AB$200)*Settings!$AO$14</f>
        <v>0</v>
      </c>
      <c r="AC212" s="14"/>
      <c r="AD212" s="14"/>
      <c r="AE212" s="441">
        <v>165</v>
      </c>
      <c r="AF212" s="899">
        <f t="shared" si="83"/>
        <v>0</v>
      </c>
      <c r="AG212" s="327">
        <f t="shared" si="84"/>
        <v>0</v>
      </c>
      <c r="AH212" s="898">
        <f t="shared" si="79"/>
        <v>0</v>
      </c>
      <c r="AI212" s="898">
        <f t="shared" si="80"/>
        <v>0</v>
      </c>
      <c r="AJ212" s="899">
        <f t="shared" si="85"/>
        <v>0</v>
      </c>
      <c r="AK212" s="899">
        <f t="shared" si="86"/>
        <v>0</v>
      </c>
      <c r="AL212" s="898">
        <f t="shared" si="81"/>
        <v>0</v>
      </c>
      <c r="AM212" s="898">
        <f t="shared" si="82"/>
        <v>0</v>
      </c>
    </row>
    <row r="213" spans="1:39">
      <c r="A213" s="14"/>
      <c r="B213" s="147" t="s">
        <v>188</v>
      </c>
      <c r="C213" s="405">
        <f>Vh</f>
        <v>57.736720554272516</v>
      </c>
      <c r="D213" s="311"/>
      <c r="I213" s="14"/>
      <c r="J213" s="14"/>
      <c r="K213" s="14"/>
      <c r="L213" s="14"/>
      <c r="M213" s="14"/>
      <c r="N213" s="14"/>
      <c r="O213" s="14"/>
      <c r="P213" s="14"/>
      <c r="Q213" s="14"/>
      <c r="R213" s="14"/>
      <c r="T213" s="14"/>
      <c r="U213" s="14"/>
      <c r="V213" s="258"/>
      <c r="AA213" s="1064">
        <f>($AA$199*COS(RADIANS(AE213-DEF_Ang))+$AA$200)*Settings!$AO$14</f>
        <v>0</v>
      </c>
      <c r="AB213" s="1065">
        <f>($AA$199*SIN(RADIANS(AE213-DEF_Ang))+$AB$200)*Settings!$AO$14</f>
        <v>0</v>
      </c>
      <c r="AC213" s="14"/>
      <c r="AD213" s="14"/>
      <c r="AE213" s="897">
        <v>180</v>
      </c>
      <c r="AF213" s="899">
        <f t="shared" si="83"/>
        <v>0</v>
      </c>
      <c r="AG213" s="327">
        <f t="shared" si="84"/>
        <v>0</v>
      </c>
      <c r="AH213" s="898">
        <f t="shared" si="79"/>
        <v>0</v>
      </c>
      <c r="AI213" s="898">
        <f t="shared" si="80"/>
        <v>0</v>
      </c>
      <c r="AJ213" s="899">
        <f t="shared" si="85"/>
        <v>0</v>
      </c>
      <c r="AK213" s="899">
        <f t="shared" si="86"/>
        <v>0</v>
      </c>
      <c r="AL213" s="898">
        <f t="shared" si="81"/>
        <v>0</v>
      </c>
      <c r="AM213" s="898">
        <f t="shared" si="82"/>
        <v>0</v>
      </c>
    </row>
    <row r="214" spans="1:39">
      <c r="A214" s="14"/>
      <c r="B214" s="147" t="s">
        <v>974</v>
      </c>
      <c r="C214" s="405">
        <f>UVCV</f>
        <v>0.52</v>
      </c>
      <c r="D214" s="311"/>
      <c r="I214" s="14"/>
      <c r="J214" s="14"/>
      <c r="K214" s="14"/>
      <c r="L214" s="14"/>
      <c r="M214" s="14"/>
      <c r="N214" s="14"/>
      <c r="O214" s="14"/>
      <c r="P214" s="14"/>
      <c r="Q214" s="14"/>
      <c r="R214" s="14"/>
      <c r="T214" s="14"/>
      <c r="U214" s="14"/>
      <c r="V214" s="258"/>
      <c r="AA214" s="1064">
        <f>($AA$199*COS(RADIANS(AE214-DEF_Ang))+$AA$200)*Settings!$AO$14</f>
        <v>0</v>
      </c>
      <c r="AB214" s="1065">
        <f>($AA$199*SIN(RADIANS(AE214-DEF_Ang))+$AB$200)*Settings!$AO$14</f>
        <v>0</v>
      </c>
      <c r="AC214" s="14"/>
      <c r="AD214" s="14"/>
      <c r="AE214" s="897">
        <v>195</v>
      </c>
      <c r="AF214" s="899">
        <f t="shared" si="83"/>
        <v>0</v>
      </c>
      <c r="AG214" s="327">
        <f t="shared" si="84"/>
        <v>0</v>
      </c>
      <c r="AH214" s="898">
        <f t="shared" si="79"/>
        <v>0</v>
      </c>
      <c r="AI214" s="898">
        <f t="shared" si="80"/>
        <v>0</v>
      </c>
      <c r="AJ214" s="899">
        <f t="shared" si="85"/>
        <v>0</v>
      </c>
      <c r="AK214" s="899">
        <f t="shared" si="86"/>
        <v>0</v>
      </c>
      <c r="AL214" s="898">
        <f t="shared" si="81"/>
        <v>0</v>
      </c>
      <c r="AM214" s="898">
        <f t="shared" si="82"/>
        <v>0</v>
      </c>
    </row>
    <row r="215" spans="1:39" ht="13.5">
      <c r="A215" s="14"/>
      <c r="B215" s="262" t="s">
        <v>207</v>
      </c>
      <c r="C215" s="263">
        <f>J_</f>
        <v>0.12</v>
      </c>
      <c r="D215" s="147" t="s">
        <v>210</v>
      </c>
      <c r="I215" s="14"/>
      <c r="J215" s="14"/>
      <c r="K215" s="14"/>
      <c r="L215" s="14"/>
      <c r="M215" s="14"/>
      <c r="N215" s="14"/>
      <c r="O215" s="14"/>
      <c r="P215" s="14"/>
      <c r="Q215" s="14"/>
      <c r="R215" s="14"/>
      <c r="T215" s="14"/>
      <c r="U215" s="14"/>
      <c r="V215" s="258"/>
      <c r="AA215" s="1064">
        <f>($AA$199*COS(RADIANS(AE215-DEF_Ang))+$AA$200)*Settings!$AO$14</f>
        <v>0</v>
      </c>
      <c r="AB215" s="1065">
        <f>($AA$199*SIN(RADIANS(AE215-DEF_Ang))+$AB$200)*Settings!$AO$14</f>
        <v>0</v>
      </c>
      <c r="AC215" s="14"/>
      <c r="AD215" s="14"/>
      <c r="AE215" s="441">
        <v>210</v>
      </c>
      <c r="AF215" s="899">
        <f t="shared" si="83"/>
        <v>0</v>
      </c>
      <c r="AG215" s="327">
        <f t="shared" si="84"/>
        <v>0</v>
      </c>
      <c r="AH215" s="898">
        <f t="shared" si="79"/>
        <v>0</v>
      </c>
      <c r="AI215" s="898">
        <f t="shared" si="80"/>
        <v>0</v>
      </c>
      <c r="AJ215" s="899">
        <f t="shared" si="85"/>
        <v>0</v>
      </c>
      <c r="AK215" s="899">
        <f t="shared" si="86"/>
        <v>0</v>
      </c>
      <c r="AL215" s="898">
        <f t="shared" si="81"/>
        <v>0</v>
      </c>
      <c r="AM215" s="898">
        <f t="shared" si="82"/>
        <v>0</v>
      </c>
    </row>
    <row r="216" spans="1:39">
      <c r="A216" s="14"/>
      <c r="B216" s="262" t="s">
        <v>208</v>
      </c>
      <c r="C216" s="263">
        <f>MAX(Je_, J_)</f>
        <v>0.24</v>
      </c>
      <c r="D216" s="357" t="s">
        <v>209</v>
      </c>
      <c r="I216" s="14"/>
      <c r="J216" s="14"/>
      <c r="K216" s="14"/>
      <c r="L216" s="14"/>
      <c r="M216" s="14"/>
      <c r="N216" s="14"/>
      <c r="O216" s="14"/>
      <c r="P216" s="14"/>
      <c r="Q216" s="14"/>
      <c r="R216" s="14"/>
      <c r="T216" s="14"/>
      <c r="U216" s="14"/>
      <c r="V216" s="258"/>
      <c r="AA216" s="1064">
        <f>($AA$199*COS(RADIANS(AE216-DEF_Ang))+$AA$200)*Settings!$AO$14</f>
        <v>0</v>
      </c>
      <c r="AB216" s="1065">
        <f>($AA$199*SIN(RADIANS(AE216-DEF_Ang))+$AB$200)*Settings!$AO$14</f>
        <v>0</v>
      </c>
      <c r="AC216" s="14"/>
      <c r="AD216" s="14"/>
      <c r="AE216" s="897">
        <v>225</v>
      </c>
      <c r="AF216" s="899">
        <f t="shared" si="83"/>
        <v>0</v>
      </c>
      <c r="AG216" s="327">
        <f t="shared" si="84"/>
        <v>0</v>
      </c>
      <c r="AH216" s="898">
        <f t="shared" si="79"/>
        <v>0</v>
      </c>
      <c r="AI216" s="898">
        <f t="shared" si="80"/>
        <v>0</v>
      </c>
      <c r="AJ216" s="899">
        <f t="shared" si="85"/>
        <v>0</v>
      </c>
      <c r="AK216" s="899">
        <f t="shared" si="86"/>
        <v>0</v>
      </c>
      <c r="AL216" s="898">
        <f t="shared" si="81"/>
        <v>0</v>
      </c>
      <c r="AM216" s="898">
        <f t="shared" si="82"/>
        <v>0</v>
      </c>
    </row>
    <row r="217" spans="1:39" ht="13.5">
      <c r="A217" s="14"/>
      <c r="B217" s="147" t="s">
        <v>200</v>
      </c>
      <c r="C217" s="261">
        <f>TimesTestV</f>
        <v>7.02</v>
      </c>
      <c r="D217" s="477"/>
      <c r="E217" s="14"/>
      <c r="I217" s="14"/>
      <c r="J217" s="14"/>
      <c r="K217" s="14"/>
      <c r="L217" s="14"/>
      <c r="M217" s="14"/>
      <c r="N217" s="14"/>
      <c r="O217" s="14"/>
      <c r="P217" s="14"/>
      <c r="Q217" s="14"/>
      <c r="R217" s="14"/>
      <c r="T217" s="14"/>
      <c r="U217" s="14"/>
      <c r="V217" s="258"/>
      <c r="AA217" s="1064">
        <f>($AA$199*COS(RADIANS(AE217-DEF_Ang))+$AA$200)*Settings!$AO$14</f>
        <v>0</v>
      </c>
      <c r="AB217" s="1065">
        <f>($AA$199*SIN(RADIANS(AE217-DEF_Ang))+$AB$200)*Settings!$AO$14</f>
        <v>0</v>
      </c>
      <c r="AC217" s="14"/>
      <c r="AD217" s="14"/>
      <c r="AE217" s="897">
        <v>240</v>
      </c>
      <c r="AF217" s="899">
        <f t="shared" si="83"/>
        <v>0</v>
      </c>
      <c r="AG217" s="327">
        <f t="shared" si="84"/>
        <v>0</v>
      </c>
      <c r="AH217" s="898">
        <f t="shared" si="79"/>
        <v>0</v>
      </c>
      <c r="AI217" s="898">
        <f t="shared" si="80"/>
        <v>0</v>
      </c>
      <c r="AJ217" s="899">
        <f t="shared" si="85"/>
        <v>0</v>
      </c>
      <c r="AK217" s="899">
        <f t="shared" si="86"/>
        <v>0</v>
      </c>
      <c r="AL217" s="898">
        <f t="shared" si="81"/>
        <v>0</v>
      </c>
      <c r="AM217" s="898">
        <f t="shared" si="82"/>
        <v>0</v>
      </c>
    </row>
    <row r="218" spans="1:39" ht="13.5">
      <c r="A218" s="14"/>
      <c r="B218" s="147" t="s">
        <v>199</v>
      </c>
      <c r="C218" s="261">
        <f>TimesTest_R_V</f>
        <v>9.6443999999999992</v>
      </c>
      <c r="D218" s="477"/>
      <c r="E218" s="14"/>
      <c r="I218" s="14"/>
      <c r="J218" s="14"/>
      <c r="K218" s="14"/>
      <c r="L218" s="14"/>
      <c r="M218" s="14"/>
      <c r="N218" s="14"/>
      <c r="O218" s="14"/>
      <c r="P218" s="14"/>
      <c r="Q218" s="14"/>
      <c r="R218" s="14"/>
      <c r="T218" s="14"/>
      <c r="U218" s="14"/>
      <c r="V218" s="258"/>
      <c r="AA218" s="1064">
        <f>($AA$199*COS(RADIANS(AE218-DEF_Ang))+$AA$200)*Settings!$AO$14</f>
        <v>0</v>
      </c>
      <c r="AB218" s="1065">
        <f>($AA$199*SIN(RADIANS(AE218-DEF_Ang))+$AB$200)*Settings!$AO$14</f>
        <v>0</v>
      </c>
      <c r="AC218" s="14"/>
      <c r="AD218" s="14"/>
      <c r="AE218" s="441">
        <v>255</v>
      </c>
      <c r="AF218" s="899">
        <f t="shared" si="83"/>
        <v>0</v>
      </c>
      <c r="AG218" s="327">
        <f t="shared" si="84"/>
        <v>0</v>
      </c>
      <c r="AH218" s="898">
        <f t="shared" si="79"/>
        <v>0</v>
      </c>
      <c r="AI218" s="898">
        <f t="shared" si="80"/>
        <v>0</v>
      </c>
      <c r="AJ218" s="899">
        <f t="shared" si="85"/>
        <v>0</v>
      </c>
      <c r="AK218" s="899">
        <f t="shared" si="86"/>
        <v>0</v>
      </c>
      <c r="AL218" s="898">
        <f t="shared" si="81"/>
        <v>0</v>
      </c>
      <c r="AM218" s="898">
        <f t="shared" si="82"/>
        <v>0</v>
      </c>
    </row>
    <row r="219" spans="1:39" ht="13.5">
      <c r="A219" s="14"/>
      <c r="B219" s="147" t="s">
        <v>201</v>
      </c>
      <c r="C219" s="261">
        <f>TimesTestV_E</f>
        <v>13.535999999999998</v>
      </c>
      <c r="D219" s="157" t="s">
        <v>203</v>
      </c>
      <c r="E219" s="14"/>
      <c r="I219" s="14"/>
      <c r="J219" s="14"/>
      <c r="K219" s="14"/>
      <c r="L219" s="14"/>
      <c r="M219" s="14"/>
      <c r="N219" s="14"/>
      <c r="O219" s="14"/>
      <c r="P219" s="14"/>
      <c r="Q219" s="14"/>
      <c r="R219" s="14"/>
      <c r="T219" s="14"/>
      <c r="U219" s="14"/>
      <c r="V219" s="258"/>
      <c r="AA219" s="1064">
        <f>($AA$199*COS(RADIANS(AE219-DEF_Ang))+$AA$200)*Settings!$AO$14</f>
        <v>0</v>
      </c>
      <c r="AB219" s="1065">
        <f>($AA$199*SIN(RADIANS(AE219-DEF_Ang))+$AB$200)*Settings!$AO$14</f>
        <v>0</v>
      </c>
      <c r="AC219" s="14"/>
      <c r="AD219" s="14"/>
      <c r="AE219" s="897">
        <v>270</v>
      </c>
      <c r="AF219" s="899">
        <f t="shared" si="83"/>
        <v>0</v>
      </c>
      <c r="AG219" s="327">
        <f t="shared" si="84"/>
        <v>0</v>
      </c>
      <c r="AH219" s="898">
        <f t="shared" si="79"/>
        <v>0</v>
      </c>
      <c r="AI219" s="898">
        <f t="shared" si="80"/>
        <v>0</v>
      </c>
      <c r="AJ219" s="899">
        <f t="shared" si="85"/>
        <v>0</v>
      </c>
      <c r="AK219" s="899">
        <f t="shared" si="86"/>
        <v>0</v>
      </c>
      <c r="AL219" s="898">
        <f t="shared" si="81"/>
        <v>0</v>
      </c>
      <c r="AM219" s="898">
        <f t="shared" si="82"/>
        <v>0</v>
      </c>
    </row>
    <row r="220" spans="1:39" ht="13.5">
      <c r="A220" s="14"/>
      <c r="B220" s="147" t="s">
        <v>202</v>
      </c>
      <c r="C220" s="261">
        <f>TimesTest_R_V_E</f>
        <v>17.359199999999998</v>
      </c>
      <c r="D220" s="157" t="s">
        <v>204</v>
      </c>
      <c r="E220" s="14"/>
      <c r="G220" s="14"/>
      <c r="H220" s="14"/>
      <c r="I220" s="14"/>
      <c r="J220" s="14"/>
      <c r="K220" s="14"/>
      <c r="L220" s="14"/>
      <c r="M220" s="14"/>
      <c r="N220" s="14"/>
      <c r="O220" s="14"/>
      <c r="P220" s="14"/>
      <c r="Q220" s="14"/>
      <c r="R220" s="14"/>
      <c r="T220" s="14"/>
      <c r="U220" s="14"/>
      <c r="V220" s="258"/>
      <c r="AA220" s="1064">
        <f>($AA$199*COS(RADIANS(AE220-DEF_Ang))+$AA$200)*Settings!$AO$14</f>
        <v>0</v>
      </c>
      <c r="AB220" s="1065">
        <f>($AA$199*SIN(RADIANS(AE220-DEF_Ang))+$AB$200)*Settings!$AO$14</f>
        <v>0</v>
      </c>
      <c r="AC220" s="14"/>
      <c r="AD220" s="14"/>
      <c r="AE220" s="897">
        <v>285</v>
      </c>
      <c r="AF220" s="899">
        <f t="shared" si="83"/>
        <v>0</v>
      </c>
      <c r="AG220" s="327">
        <f t="shared" si="84"/>
        <v>0</v>
      </c>
      <c r="AH220" s="898">
        <f t="shared" si="79"/>
        <v>0</v>
      </c>
      <c r="AI220" s="898">
        <f t="shared" si="80"/>
        <v>0</v>
      </c>
      <c r="AJ220" s="899">
        <f t="shared" si="85"/>
        <v>0</v>
      </c>
      <c r="AK220" s="899">
        <f t="shared" si="86"/>
        <v>0</v>
      </c>
      <c r="AL220" s="898">
        <f t="shared" si="81"/>
        <v>0</v>
      </c>
      <c r="AM220" s="898">
        <f t="shared" si="82"/>
        <v>0</v>
      </c>
    </row>
    <row r="221" spans="1:39" ht="13.5">
      <c r="A221" s="14"/>
      <c r="B221" s="476" t="s">
        <v>1008</v>
      </c>
      <c r="C221" s="417">
        <f>BE96</f>
        <v>1128</v>
      </c>
      <c r="D221" s="417" t="s">
        <v>1009</v>
      </c>
      <c r="E221" s="14"/>
      <c r="I221" s="14"/>
      <c r="J221" s="14"/>
      <c r="K221" s="14"/>
      <c r="L221" s="14"/>
      <c r="M221" s="14"/>
      <c r="N221" s="14"/>
      <c r="O221" s="14"/>
      <c r="P221" s="14"/>
      <c r="Q221" s="14"/>
      <c r="R221" s="14"/>
      <c r="T221" s="14"/>
      <c r="U221" s="14"/>
      <c r="V221" s="258"/>
      <c r="AA221" s="1064">
        <f>($AA$199*COS(RADIANS(AE221-DEF_Ang))+$AA$200)*Settings!$AO$14</f>
        <v>0</v>
      </c>
      <c r="AB221" s="1065">
        <f>($AA$199*SIN(RADIANS(AE221-DEF_Ang))+$AB$200)*Settings!$AO$14</f>
        <v>0</v>
      </c>
      <c r="AC221" s="14"/>
      <c r="AD221" s="14"/>
      <c r="AE221" s="441">
        <v>300</v>
      </c>
      <c r="AF221" s="899">
        <f t="shared" si="83"/>
        <v>0</v>
      </c>
      <c r="AG221" s="327">
        <f t="shared" si="84"/>
        <v>0</v>
      </c>
      <c r="AH221" s="898">
        <f t="shared" si="79"/>
        <v>0</v>
      </c>
      <c r="AI221" s="898">
        <f t="shared" si="80"/>
        <v>0</v>
      </c>
      <c r="AJ221" s="899">
        <f t="shared" si="85"/>
        <v>0</v>
      </c>
      <c r="AK221" s="899">
        <f t="shared" si="86"/>
        <v>0</v>
      </c>
      <c r="AL221" s="898">
        <f t="shared" si="81"/>
        <v>0</v>
      </c>
      <c r="AM221" s="898">
        <f t="shared" si="82"/>
        <v>0</v>
      </c>
    </row>
    <row r="222" spans="1:39">
      <c r="A222" s="14"/>
      <c r="B222" s="444" t="s">
        <v>412</v>
      </c>
      <c r="C222" s="444">
        <f>Settings!W16</f>
        <v>40</v>
      </c>
      <c r="D222" s="484" t="s">
        <v>1165</v>
      </c>
      <c r="E222" s="14"/>
      <c r="I222" s="14"/>
      <c r="J222" s="14"/>
      <c r="K222" s="14"/>
      <c r="L222" s="14"/>
      <c r="M222" s="14"/>
      <c r="N222" s="14"/>
      <c r="O222" s="14"/>
      <c r="P222" s="14"/>
      <c r="Q222" s="14"/>
      <c r="R222" s="14"/>
      <c r="T222" s="14"/>
      <c r="U222" s="14"/>
      <c r="V222" s="258"/>
      <c r="AA222" s="1064">
        <f>($AA$199*COS(RADIANS(AE222-DEF_Ang))+$AA$200)*Settings!$AO$14</f>
        <v>0</v>
      </c>
      <c r="AB222" s="1065">
        <f>($AA$199*SIN(RADIANS(AE222-DEF_Ang))+$AB$200)*Settings!$AO$14</f>
        <v>0</v>
      </c>
      <c r="AC222" s="14"/>
      <c r="AD222" s="14"/>
      <c r="AE222" s="897">
        <v>315</v>
      </c>
      <c r="AF222" s="899">
        <f t="shared" si="83"/>
        <v>0</v>
      </c>
      <c r="AG222" s="327">
        <f t="shared" si="84"/>
        <v>0</v>
      </c>
      <c r="AH222" s="898">
        <f t="shared" si="79"/>
        <v>0</v>
      </c>
      <c r="AI222" s="898">
        <f t="shared" si="80"/>
        <v>0</v>
      </c>
      <c r="AJ222" s="899">
        <f t="shared" si="85"/>
        <v>0</v>
      </c>
      <c r="AK222" s="899">
        <f t="shared" si="86"/>
        <v>0</v>
      </c>
      <c r="AL222" s="898">
        <f t="shared" si="81"/>
        <v>0</v>
      </c>
      <c r="AM222" s="898">
        <f t="shared" si="82"/>
        <v>0</v>
      </c>
    </row>
    <row r="223" spans="1:39">
      <c r="A223" s="14"/>
      <c r="B223" s="444" t="s">
        <v>1069</v>
      </c>
      <c r="C223" s="444">
        <f>UVLS</f>
        <v>70</v>
      </c>
      <c r="D223" s="484" t="s">
        <v>1166</v>
      </c>
      <c r="E223" s="14"/>
      <c r="I223" s="14"/>
      <c r="J223" s="14"/>
      <c r="K223" s="14"/>
      <c r="L223" s="14"/>
      <c r="M223" s="14"/>
      <c r="N223" s="14"/>
      <c r="O223" s="14"/>
      <c r="P223" s="14"/>
      <c r="Q223" s="14"/>
      <c r="R223" s="14"/>
      <c r="T223" s="14"/>
      <c r="U223" s="14"/>
      <c r="V223" s="258"/>
      <c r="AA223" s="1064">
        <f>($AA$199*COS(RADIANS(AE223-DEF_Ang))+$AA$200)*Settings!$AO$14</f>
        <v>0</v>
      </c>
      <c r="AB223" s="1065">
        <f>($AA$199*SIN(RADIANS(AE223-DEF_Ang))+$AB$200)*Settings!$AO$14</f>
        <v>0</v>
      </c>
      <c r="AC223" s="14"/>
      <c r="AD223" s="14"/>
      <c r="AE223" s="897">
        <v>330</v>
      </c>
      <c r="AF223" s="899">
        <f t="shared" si="83"/>
        <v>0</v>
      </c>
      <c r="AG223" s="327">
        <f t="shared" si="84"/>
        <v>0</v>
      </c>
      <c r="AH223" s="898">
        <f t="shared" si="79"/>
        <v>0</v>
      </c>
      <c r="AI223" s="898">
        <f t="shared" si="80"/>
        <v>0</v>
      </c>
      <c r="AJ223" s="899">
        <f t="shared" si="85"/>
        <v>0</v>
      </c>
      <c r="AK223" s="899">
        <f t="shared" si="86"/>
        <v>0</v>
      </c>
      <c r="AL223" s="898">
        <f t="shared" si="81"/>
        <v>0</v>
      </c>
      <c r="AM223" s="898">
        <f t="shared" si="82"/>
        <v>0</v>
      </c>
    </row>
    <row r="224" spans="1:39" ht="13.5">
      <c r="A224" s="14"/>
      <c r="B224" s="444" t="s">
        <v>1067</v>
      </c>
      <c r="C224" s="444" t="str">
        <f>Settings!AO18</f>
        <v>On(1)</v>
      </c>
      <c r="D224" s="484"/>
      <c r="E224" s="14"/>
      <c r="I224" s="14"/>
      <c r="J224" s="14"/>
      <c r="K224" s="14"/>
      <c r="L224" s="14"/>
      <c r="M224" s="14"/>
      <c r="N224" s="14"/>
      <c r="O224" s="14"/>
      <c r="P224" s="14"/>
      <c r="Q224" s="14"/>
      <c r="R224" s="14"/>
      <c r="T224" s="14"/>
      <c r="U224" s="14"/>
      <c r="W224" s="14"/>
      <c r="X224" s="14"/>
      <c r="AA224" s="1064">
        <f>($AA$199*COS(RADIANS(AE224-DEF_Ang))+$AA$200)*Settings!$AO$14</f>
        <v>0</v>
      </c>
      <c r="AB224" s="1065">
        <f>($AA$199*SIN(RADIANS(AE224-DEF_Ang))+$AB$200)*Settings!$AO$14</f>
        <v>0</v>
      </c>
      <c r="AC224" s="14"/>
      <c r="AD224" s="14"/>
      <c r="AE224" s="441">
        <v>345</v>
      </c>
      <c r="AF224" s="899">
        <f t="shared" si="83"/>
        <v>0</v>
      </c>
      <c r="AG224" s="327">
        <f t="shared" si="84"/>
        <v>0</v>
      </c>
      <c r="AH224" s="898">
        <f t="shared" si="79"/>
        <v>0</v>
      </c>
      <c r="AI224" s="898">
        <f t="shared" si="80"/>
        <v>0</v>
      </c>
      <c r="AJ224" s="899">
        <f t="shared" si="85"/>
        <v>0</v>
      </c>
      <c r="AK224" s="899">
        <f t="shared" si="86"/>
        <v>0</v>
      </c>
      <c r="AL224" s="898">
        <f t="shared" si="81"/>
        <v>0</v>
      </c>
      <c r="AM224" s="898">
        <f t="shared" si="82"/>
        <v>0</v>
      </c>
    </row>
    <row r="225" spans="1:39">
      <c r="A225" s="14"/>
      <c r="B225" s="444" t="s">
        <v>1066</v>
      </c>
      <c r="C225" s="444" t="str">
        <f>WKIT</f>
        <v>Off(0)</v>
      </c>
      <c r="D225" s="484">
        <f>IF(WKIT="On(1)",WKIT,1)</f>
        <v>1</v>
      </c>
      <c r="E225" s="14"/>
      <c r="I225" s="14"/>
      <c r="J225" s="14"/>
      <c r="K225" s="14"/>
      <c r="L225" s="14"/>
      <c r="M225" s="14"/>
      <c r="N225" s="14"/>
      <c r="O225" s="14"/>
      <c r="P225" s="14"/>
      <c r="Q225" s="14"/>
      <c r="R225" s="14"/>
      <c r="T225" s="14"/>
      <c r="U225" s="14"/>
      <c r="W225" s="14"/>
      <c r="X225" s="14"/>
      <c r="AA225" s="1064">
        <f>($AA$199*COS(RADIANS(AE225-DEF_Ang))+$AA$200)*Settings!$AO$14</f>
        <v>0</v>
      </c>
      <c r="AB225" s="1065">
        <f>($AA$199*SIN(RADIANS(AE225-DEF_Ang))+$AB$200)*Settings!$AO$14</f>
        <v>0</v>
      </c>
      <c r="AC225" s="14"/>
      <c r="AD225" s="14"/>
      <c r="AE225" s="897">
        <v>360</v>
      </c>
      <c r="AF225" s="899">
        <f t="shared" si="83"/>
        <v>0</v>
      </c>
      <c r="AG225" s="327">
        <f t="shared" si="84"/>
        <v>0</v>
      </c>
      <c r="AH225" s="898">
        <f t="shared" si="79"/>
        <v>0</v>
      </c>
      <c r="AI225" s="898">
        <f t="shared" si="80"/>
        <v>0</v>
      </c>
      <c r="AJ225" s="899">
        <f t="shared" si="85"/>
        <v>0</v>
      </c>
      <c r="AK225" s="899">
        <f t="shared" si="86"/>
        <v>0</v>
      </c>
      <c r="AL225" s="898">
        <f t="shared" si="81"/>
        <v>0</v>
      </c>
      <c r="AM225" s="898">
        <f t="shared" si="82"/>
        <v>0</v>
      </c>
    </row>
    <row r="226" spans="1:39" ht="13.5">
      <c r="A226" s="14"/>
      <c r="B226" s="219" t="s">
        <v>219</v>
      </c>
      <c r="C226" s="485">
        <f>IF(Settings!G103="Off",0.001,TestVZ4E)</f>
        <v>63.51</v>
      </c>
      <c r="D226" s="309" t="s">
        <v>216</v>
      </c>
      <c r="I226" s="14"/>
      <c r="J226" s="14"/>
      <c r="K226" s="14"/>
      <c r="L226" s="14"/>
      <c r="M226" s="14"/>
      <c r="N226" s="14"/>
      <c r="O226" s="14"/>
      <c r="P226" s="14"/>
      <c r="Q226" s="14"/>
      <c r="R226" s="14"/>
      <c r="T226" s="14"/>
      <c r="U226" s="14"/>
      <c r="W226" s="14"/>
      <c r="X226" s="14"/>
      <c r="AB226" s="14"/>
      <c r="AC226" s="14"/>
      <c r="AD226" s="14"/>
      <c r="AE226" s="14"/>
      <c r="AF226" s="14"/>
      <c r="AG226" s="134"/>
      <c r="AH226" s="7"/>
      <c r="AI226" s="7"/>
      <c r="AJ226" s="7"/>
      <c r="AK226" s="12"/>
      <c r="AL226" s="7"/>
      <c r="AM226" s="7"/>
    </row>
    <row r="227" spans="1:39" ht="13.5">
      <c r="A227" s="14"/>
      <c r="B227" s="219" t="s">
        <v>218</v>
      </c>
      <c r="C227" s="220">
        <f>VALUE(SUBSTITUTE(P30,"A",""))</f>
        <v>5.4119454629964396</v>
      </c>
      <c r="D227" s="309"/>
      <c r="E227" s="14"/>
      <c r="I227" s="14"/>
      <c r="J227" s="14"/>
      <c r="K227" s="14"/>
      <c r="L227" s="14"/>
      <c r="M227" s="14"/>
      <c r="N227" s="14"/>
      <c r="O227" s="14"/>
      <c r="P227" s="14"/>
      <c r="Q227" s="14"/>
      <c r="R227" s="14"/>
      <c r="T227" s="14"/>
      <c r="U227" s="14"/>
      <c r="W227" s="14"/>
      <c r="X227" s="14"/>
      <c r="AC227" s="14"/>
      <c r="AD227" s="14"/>
      <c r="AE227" s="14"/>
      <c r="AF227" s="14"/>
      <c r="AG227" s="134"/>
      <c r="AH227" s="7"/>
      <c r="AI227" s="7"/>
      <c r="AJ227" s="7"/>
      <c r="AK227" s="12"/>
      <c r="AL227" s="7"/>
      <c r="AM227" s="7"/>
    </row>
    <row r="228" spans="1:39" ht="13.5">
      <c r="A228" s="14"/>
      <c r="B228" s="483" t="s">
        <v>1041</v>
      </c>
      <c r="C228" s="483">
        <f>BFLS</f>
        <v>120</v>
      </c>
      <c r="D228" s="483"/>
      <c r="E228" s="14"/>
      <c r="I228" s="14"/>
      <c r="J228" s="14"/>
      <c r="K228" s="14"/>
      <c r="L228" s="14"/>
      <c r="M228" s="14"/>
      <c r="N228" s="14"/>
      <c r="O228" s="14"/>
      <c r="P228" s="14"/>
      <c r="Q228" s="14"/>
      <c r="R228" s="14"/>
      <c r="T228" s="14"/>
      <c r="U228" s="14"/>
      <c r="W228" s="14"/>
      <c r="X228" s="14"/>
      <c r="AC228" s="14"/>
      <c r="AD228" s="14"/>
      <c r="AE228" s="14"/>
      <c r="AF228" s="14"/>
      <c r="AG228" s="134"/>
      <c r="AH228" s="7"/>
      <c r="AI228" s="7"/>
      <c r="AJ228" s="7"/>
      <c r="AK228" s="12"/>
      <c r="AL228" s="7"/>
      <c r="AM228" s="7"/>
    </row>
    <row r="229" spans="1:39" ht="13.5">
      <c r="A229" s="14"/>
      <c r="B229" s="350" t="s">
        <v>621</v>
      </c>
      <c r="C229" s="432">
        <f>IF(RBB_Coupler=TRUE,T_1,T_1B)*1000+30</f>
        <v>30</v>
      </c>
      <c r="D229" s="350" t="s">
        <v>719</v>
      </c>
      <c r="E229" s="14"/>
      <c r="I229" s="14"/>
      <c r="J229" s="14"/>
      <c r="K229" s="14"/>
      <c r="L229" s="14"/>
      <c r="M229" s="14"/>
      <c r="N229" s="14"/>
      <c r="O229" s="14"/>
      <c r="P229" s="14"/>
      <c r="Q229" s="14"/>
      <c r="R229" s="14"/>
      <c r="T229" s="14"/>
      <c r="U229" s="14"/>
      <c r="W229" s="14"/>
      <c r="X229" s="14"/>
      <c r="AB229" s="14"/>
      <c r="AC229" s="14"/>
      <c r="AD229" s="14"/>
      <c r="AE229" s="14"/>
      <c r="AF229" s="14"/>
      <c r="AG229" s="134"/>
      <c r="AH229" s="7"/>
      <c r="AI229" s="7"/>
      <c r="AJ229" s="7"/>
      <c r="AK229" s="12"/>
      <c r="AL229" s="7"/>
      <c r="AM229" s="7"/>
    </row>
    <row r="230" spans="1:39" ht="13.5">
      <c r="A230" s="14"/>
      <c r="B230" s="163" t="s">
        <v>410</v>
      </c>
      <c r="C230" s="259">
        <f>DCEF_J</f>
        <v>0.1</v>
      </c>
      <c r="D230" s="312"/>
      <c r="E230" s="14"/>
      <c r="I230" s="14"/>
      <c r="J230" s="14"/>
      <c r="K230" s="14"/>
      <c r="L230" s="14"/>
      <c r="M230" s="14"/>
      <c r="N230" s="14"/>
      <c r="O230" s="14"/>
      <c r="P230" s="14"/>
      <c r="Q230" s="14"/>
      <c r="R230" s="14"/>
      <c r="T230" s="14"/>
      <c r="U230" s="14"/>
      <c r="W230" s="14"/>
      <c r="X230" s="14"/>
      <c r="AB230" s="14"/>
      <c r="AC230" s="14"/>
      <c r="AD230" s="14"/>
      <c r="AE230" s="14"/>
      <c r="AF230" s="14"/>
      <c r="AG230" s="134"/>
      <c r="AH230" s="7"/>
      <c r="AI230" s="7"/>
      <c r="AJ230" s="7"/>
      <c r="AK230" s="12"/>
      <c r="AL230" s="7"/>
      <c r="AM230" s="7"/>
    </row>
    <row r="231" spans="1:39" ht="13.5">
      <c r="A231" s="14"/>
      <c r="B231" s="163" t="s">
        <v>1073</v>
      </c>
      <c r="C231" s="259">
        <f>DEFRI</f>
        <v>0.1</v>
      </c>
      <c r="D231" s="312"/>
      <c r="E231" s="14"/>
      <c r="I231" s="14"/>
      <c r="J231" s="14"/>
      <c r="K231" s="14"/>
      <c r="L231" s="14"/>
      <c r="M231" s="14"/>
      <c r="N231" s="14"/>
      <c r="O231" s="14"/>
      <c r="P231" s="14"/>
      <c r="Q231" s="14"/>
      <c r="R231" s="14"/>
      <c r="T231" s="14"/>
      <c r="U231" s="14"/>
      <c r="W231" s="14"/>
      <c r="X231" s="14"/>
      <c r="AB231" s="14"/>
      <c r="AC231" s="14"/>
      <c r="AD231" s="14"/>
      <c r="AE231" s="14"/>
      <c r="AF231" s="14"/>
      <c r="AG231" s="134"/>
      <c r="AH231" s="7"/>
      <c r="AI231" s="7"/>
      <c r="AJ231" s="7"/>
      <c r="AK231" s="12"/>
      <c r="AL231" s="7"/>
      <c r="AM231" s="7"/>
    </row>
    <row r="232" spans="1:39" ht="13.5">
      <c r="A232" s="14"/>
      <c r="B232" s="163" t="s">
        <v>411</v>
      </c>
      <c r="C232" s="260">
        <f>DCEF_V</f>
        <v>1.7</v>
      </c>
      <c r="D232" s="312"/>
      <c r="E232" s="14"/>
      <c r="I232" s="14"/>
      <c r="J232" s="14"/>
      <c r="K232" s="14"/>
      <c r="L232" s="14"/>
      <c r="M232" s="14"/>
      <c r="N232" s="14"/>
      <c r="O232" s="14"/>
      <c r="P232" s="14"/>
      <c r="Q232" s="14"/>
      <c r="R232" s="14"/>
      <c r="T232" s="14"/>
      <c r="U232" s="14"/>
      <c r="W232" s="14"/>
      <c r="X232" s="14"/>
      <c r="AB232" s="14"/>
      <c r="AC232" s="14"/>
      <c r="AD232" s="14"/>
      <c r="AE232" s="14"/>
      <c r="AF232" s="14"/>
      <c r="AG232" s="134"/>
      <c r="AH232" s="7"/>
      <c r="AI232" s="7"/>
      <c r="AJ232" s="7"/>
      <c r="AK232" s="12"/>
      <c r="AL232" s="7"/>
      <c r="AM232" s="7"/>
    </row>
    <row r="233" spans="1:39" ht="13.5">
      <c r="A233" s="14"/>
      <c r="B233" s="163" t="s">
        <v>1160</v>
      </c>
      <c r="C233" s="260">
        <f>DEFRV</f>
        <v>1.7</v>
      </c>
      <c r="D233" s="312"/>
      <c r="E233" s="14"/>
      <c r="I233" s="14"/>
      <c r="J233" s="14"/>
      <c r="K233" s="14"/>
      <c r="L233" s="14"/>
      <c r="M233" s="14"/>
      <c r="N233" s="14"/>
      <c r="O233" s="14"/>
      <c r="P233" s="14"/>
      <c r="Q233" s="14"/>
      <c r="R233" s="14"/>
      <c r="T233" s="14"/>
      <c r="U233" s="14"/>
      <c r="W233" s="14"/>
      <c r="X233" s="14"/>
      <c r="AB233" s="14"/>
      <c r="AC233" s="14"/>
      <c r="AD233" s="14"/>
      <c r="AE233" s="14"/>
      <c r="AF233" s="14"/>
      <c r="AG233" s="134"/>
      <c r="AH233" s="7"/>
      <c r="AI233" s="7"/>
      <c r="AJ233" s="7"/>
      <c r="AK233" s="12"/>
      <c r="AL233" s="7"/>
      <c r="AM233" s="7"/>
    </row>
    <row r="234" spans="1:39" ht="13.5">
      <c r="A234" s="14"/>
      <c r="B234" s="163" t="s">
        <v>1159</v>
      </c>
      <c r="C234" s="424">
        <f>180-DEF_Ang</f>
        <v>132</v>
      </c>
      <c r="D234" s="312"/>
      <c r="E234" s="14"/>
      <c r="I234" s="14"/>
      <c r="J234" s="14"/>
      <c r="K234" s="14"/>
      <c r="L234" s="14"/>
      <c r="M234" s="14"/>
      <c r="N234" s="14"/>
      <c r="O234" s="14"/>
      <c r="P234" s="14"/>
      <c r="Q234" s="14"/>
      <c r="R234" s="14"/>
      <c r="T234" s="14"/>
      <c r="U234" s="14"/>
      <c r="W234" s="14"/>
      <c r="X234" s="14"/>
      <c r="AB234" s="14"/>
      <c r="AC234" s="14"/>
      <c r="AD234" s="14"/>
      <c r="AE234" s="14"/>
      <c r="AF234" s="14"/>
      <c r="AG234" s="134"/>
      <c r="AH234" s="7"/>
      <c r="AI234" s="7"/>
      <c r="AJ234" s="7"/>
      <c r="AK234" s="12"/>
      <c r="AL234" s="7"/>
      <c r="AM234" s="7"/>
    </row>
    <row r="235" spans="1:39" ht="13.5">
      <c r="A235" s="14"/>
      <c r="B235" s="163" t="s">
        <v>1161</v>
      </c>
      <c r="C235" s="424">
        <f>TDEFF*1000</f>
        <v>0</v>
      </c>
      <c r="D235" s="312" t="s">
        <v>1164</v>
      </c>
      <c r="E235" s="14"/>
      <c r="I235" s="14"/>
      <c r="J235" s="14"/>
      <c r="K235" s="14"/>
      <c r="L235" s="14"/>
      <c r="M235" s="14"/>
      <c r="N235" s="14"/>
      <c r="O235" s="14"/>
      <c r="P235" s="14"/>
      <c r="Q235" s="14"/>
      <c r="R235" s="14"/>
      <c r="T235" s="14"/>
      <c r="U235" s="14"/>
      <c r="W235" s="14"/>
      <c r="X235" s="14"/>
      <c r="AB235" s="14"/>
      <c r="AC235" s="14"/>
      <c r="AD235" s="14"/>
      <c r="AE235" s="14"/>
      <c r="AF235" s="14"/>
      <c r="AG235" s="134"/>
      <c r="AH235" s="7"/>
      <c r="AI235" s="7"/>
      <c r="AJ235" s="7"/>
      <c r="AK235" s="12"/>
      <c r="AL235" s="7"/>
      <c r="AM235" s="7"/>
    </row>
    <row r="236" spans="1:39" ht="13.5">
      <c r="A236" s="14"/>
      <c r="B236" s="163" t="s">
        <v>1162</v>
      </c>
      <c r="C236" s="424">
        <f>TREBK*1000</f>
        <v>100</v>
      </c>
      <c r="D236" s="312" t="s">
        <v>1164</v>
      </c>
      <c r="E236" s="14"/>
      <c r="F236" s="14"/>
      <c r="G236" s="14"/>
      <c r="H236" s="14"/>
      <c r="I236" s="14"/>
      <c r="J236" s="14"/>
      <c r="K236" s="14"/>
      <c r="L236" s="14"/>
      <c r="M236" s="14"/>
      <c r="N236" s="14"/>
      <c r="O236" s="14"/>
      <c r="P236" s="14"/>
      <c r="Q236" s="14"/>
      <c r="R236" s="14"/>
      <c r="T236" s="14"/>
      <c r="U236" s="14"/>
      <c r="W236" s="14"/>
      <c r="X236" s="14"/>
      <c r="AB236" s="14"/>
      <c r="AC236" s="14"/>
      <c r="AD236" s="14"/>
      <c r="AE236" s="14"/>
      <c r="AF236" s="14"/>
      <c r="AG236" s="134"/>
      <c r="AH236" s="7"/>
      <c r="AI236" s="7"/>
      <c r="AJ236" s="7"/>
      <c r="AK236" s="12"/>
      <c r="AL236" s="7"/>
      <c r="AM236" s="7"/>
    </row>
    <row r="237" spans="1:39" ht="13.5">
      <c r="A237" s="14"/>
      <c r="B237" s="107"/>
      <c r="C237" s="128"/>
      <c r="D237" s="152"/>
      <c r="E237" s="14"/>
      <c r="F237" s="14"/>
      <c r="G237" s="14"/>
      <c r="H237" s="14"/>
      <c r="I237" s="14"/>
      <c r="J237" s="14"/>
      <c r="K237" s="14"/>
      <c r="L237" s="14"/>
      <c r="M237" s="14"/>
      <c r="N237" s="14"/>
      <c r="O237" s="14"/>
      <c r="P237" s="14"/>
      <c r="Q237" s="14"/>
      <c r="R237" s="14"/>
      <c r="T237" s="14"/>
      <c r="U237" s="14"/>
      <c r="W237" s="14"/>
      <c r="X237" s="14"/>
      <c r="AB237" s="14"/>
      <c r="AC237" s="14"/>
      <c r="AD237" s="14"/>
      <c r="AE237" s="14"/>
      <c r="AF237" s="14"/>
      <c r="AG237" s="134"/>
      <c r="AH237" s="7"/>
      <c r="AI237" s="7"/>
      <c r="AJ237" s="7"/>
      <c r="AK237" s="12"/>
      <c r="AL237" s="7"/>
      <c r="AM237" s="7"/>
    </row>
    <row r="238" spans="1:39" ht="13.5">
      <c r="A238" s="14"/>
      <c r="B238" s="107"/>
      <c r="C238" s="128"/>
      <c r="D238" s="152"/>
      <c r="E238" s="14"/>
      <c r="F238" s="14"/>
      <c r="G238" s="14"/>
      <c r="H238" s="14"/>
      <c r="I238" s="14"/>
      <c r="J238" s="14"/>
      <c r="K238" s="14"/>
      <c r="L238" s="14"/>
      <c r="M238" s="14"/>
      <c r="N238" s="14"/>
      <c r="O238" s="14"/>
      <c r="P238" s="14"/>
      <c r="Q238" s="14"/>
      <c r="R238" s="14"/>
      <c r="T238" s="14"/>
      <c r="U238" s="14"/>
      <c r="W238" s="14"/>
      <c r="X238" s="14"/>
      <c r="AB238" s="14"/>
      <c r="AC238" s="14"/>
      <c r="AD238" s="14"/>
      <c r="AE238" s="14"/>
      <c r="AF238" s="14"/>
      <c r="AG238" s="134"/>
      <c r="AH238" s="7"/>
      <c r="AI238" s="7"/>
      <c r="AJ238" s="7"/>
      <c r="AK238" s="12"/>
      <c r="AL238" s="7"/>
      <c r="AM238" s="7"/>
    </row>
    <row r="239" spans="1:39" ht="13.5">
      <c r="A239" s="14"/>
      <c r="B239" s="107"/>
      <c r="C239" s="216"/>
      <c r="D239" s="152"/>
      <c r="E239" s="14"/>
      <c r="F239" s="14"/>
      <c r="G239" s="14"/>
      <c r="H239" s="14"/>
      <c r="I239" s="14"/>
      <c r="J239" s="14"/>
      <c r="K239" s="14"/>
      <c r="L239" s="14"/>
      <c r="M239" s="14"/>
      <c r="N239" s="14"/>
      <c r="O239" s="14"/>
      <c r="P239" s="14"/>
      <c r="Q239" s="14"/>
      <c r="R239" s="14"/>
      <c r="T239" s="14"/>
      <c r="U239" s="14"/>
      <c r="W239" s="14"/>
      <c r="X239" s="14"/>
      <c r="AB239" s="14"/>
      <c r="AC239" s="14"/>
      <c r="AD239" s="14"/>
      <c r="AE239" s="14"/>
      <c r="AF239" s="14"/>
      <c r="AG239" s="134"/>
      <c r="AH239" s="7"/>
      <c r="AI239" s="7"/>
      <c r="AJ239" s="7"/>
      <c r="AK239" s="12"/>
      <c r="AL239" s="7"/>
      <c r="AM239" s="7"/>
    </row>
    <row r="240" spans="1:39" ht="13.5">
      <c r="A240" s="14"/>
      <c r="B240" s="107"/>
      <c r="C240" s="128"/>
      <c r="D240" s="152"/>
      <c r="E240" s="14"/>
      <c r="F240" s="14"/>
      <c r="G240" s="14"/>
      <c r="H240" s="14"/>
      <c r="I240" s="14"/>
      <c r="J240" s="14"/>
      <c r="K240" s="14"/>
      <c r="L240" s="14"/>
      <c r="M240" s="14"/>
      <c r="N240" s="14"/>
      <c r="O240" s="14"/>
      <c r="P240" s="14"/>
      <c r="Q240" s="14"/>
      <c r="R240" s="14"/>
      <c r="T240" s="14"/>
      <c r="U240" s="14"/>
      <c r="W240" s="14"/>
      <c r="X240" s="14"/>
      <c r="AB240" s="14"/>
      <c r="AC240" s="14"/>
      <c r="AD240" s="14"/>
      <c r="AE240" s="14"/>
      <c r="AF240" s="14"/>
      <c r="AG240" s="134"/>
      <c r="AH240" s="7"/>
      <c r="AI240" s="7"/>
      <c r="AJ240" s="7"/>
      <c r="AK240" s="12"/>
      <c r="AL240" s="7"/>
      <c r="AM240" s="7"/>
    </row>
    <row r="241" spans="1:39" ht="13.5">
      <c r="A241" s="14"/>
      <c r="B241" s="193" t="s">
        <v>550</v>
      </c>
      <c r="C241" s="253">
        <f>CBF_I*In</f>
        <v>0.1</v>
      </c>
      <c r="D241" s="149"/>
      <c r="F241" s="14"/>
      <c r="G241" s="14"/>
      <c r="H241" s="14"/>
      <c r="I241" s="14"/>
      <c r="J241" s="14"/>
      <c r="K241" s="14"/>
      <c r="L241" s="14"/>
      <c r="M241" s="14"/>
      <c r="N241" s="14"/>
      <c r="O241" s="14"/>
      <c r="P241" s="14"/>
      <c r="Q241" s="14"/>
      <c r="R241" s="14"/>
      <c r="T241" s="14"/>
      <c r="U241" s="14"/>
      <c r="W241" s="14"/>
      <c r="X241" s="14"/>
      <c r="AB241" s="14"/>
      <c r="AC241" s="14"/>
      <c r="AD241" s="14"/>
      <c r="AE241" s="14"/>
      <c r="AF241" s="14"/>
      <c r="AG241" s="134"/>
      <c r="AH241" s="7"/>
      <c r="AI241" s="7"/>
      <c r="AJ241" s="7"/>
      <c r="AK241" s="12"/>
      <c r="AL241" s="7"/>
      <c r="AM241" s="7"/>
    </row>
    <row r="242" spans="1:39" ht="13.5">
      <c r="A242" s="14"/>
      <c r="B242" s="193" t="s">
        <v>548</v>
      </c>
      <c r="C242" s="253">
        <f>CBF_T1*1000+OpTime</f>
        <v>148</v>
      </c>
      <c r="D242" s="149"/>
      <c r="F242" s="14"/>
      <c r="G242" s="14"/>
      <c r="H242" s="14"/>
      <c r="I242" s="14"/>
      <c r="J242" s="14"/>
      <c r="K242" s="14"/>
      <c r="L242" s="14"/>
      <c r="M242" s="14"/>
      <c r="N242" s="14"/>
      <c r="O242" s="14"/>
      <c r="P242" s="14"/>
      <c r="Q242" s="14"/>
      <c r="R242" s="14"/>
      <c r="T242" s="14"/>
      <c r="U242" s="14"/>
      <c r="W242" s="14"/>
      <c r="X242" s="14"/>
      <c r="AB242" s="14"/>
      <c r="AC242" s="14"/>
      <c r="AD242" s="14"/>
      <c r="AE242" s="14"/>
      <c r="AF242" s="14"/>
      <c r="AG242" s="134"/>
      <c r="AH242" s="7"/>
      <c r="AI242" s="7"/>
      <c r="AJ242" s="7"/>
      <c r="AK242" s="12"/>
      <c r="AL242" s="7"/>
      <c r="AM242" s="7"/>
    </row>
    <row r="243" spans="1:39" ht="13.5">
      <c r="A243" s="14"/>
      <c r="B243" s="193" t="s">
        <v>549</v>
      </c>
      <c r="C243" s="253">
        <f>CBF_T2*1000+OpTime</f>
        <v>268</v>
      </c>
      <c r="D243" s="149"/>
      <c r="F243" s="14"/>
      <c r="G243" s="14"/>
      <c r="H243" s="14"/>
      <c r="I243" s="14"/>
      <c r="J243" s="14"/>
      <c r="K243" s="14"/>
      <c r="L243" s="14"/>
      <c r="M243" s="14"/>
      <c r="N243" s="14"/>
      <c r="O243" s="14"/>
      <c r="P243" s="14"/>
      <c r="Q243" s="14"/>
      <c r="R243" s="14"/>
      <c r="T243" s="14"/>
      <c r="U243" s="14"/>
      <c r="W243" s="14"/>
      <c r="X243" s="14"/>
      <c r="AB243" s="14"/>
      <c r="AC243" s="14"/>
      <c r="AD243" s="14"/>
      <c r="AE243" s="14"/>
      <c r="AF243" s="14"/>
      <c r="AG243" s="134"/>
      <c r="AH243" s="7"/>
      <c r="AI243" s="7"/>
      <c r="AJ243" s="7"/>
      <c r="AK243" s="12"/>
      <c r="AL243" s="7"/>
      <c r="AM243" s="7"/>
    </row>
    <row r="244" spans="1:39" ht="13.5">
      <c r="A244" s="14"/>
      <c r="B244" s="193" t="s">
        <v>547</v>
      </c>
      <c r="C244" s="253">
        <f>CBF_T3*1000+OpTime</f>
        <v>68</v>
      </c>
      <c r="D244" s="149"/>
      <c r="F244" s="14"/>
      <c r="G244" s="14"/>
      <c r="H244" s="14"/>
      <c r="I244" s="14"/>
      <c r="J244" s="14"/>
      <c r="K244" s="14"/>
      <c r="L244" s="14"/>
      <c r="M244" s="14"/>
      <c r="N244" s="14"/>
      <c r="O244" s="14"/>
      <c r="P244" s="14"/>
      <c r="Q244" s="14"/>
      <c r="R244" s="14"/>
      <c r="T244" s="14"/>
      <c r="U244" s="14"/>
      <c r="W244" s="14"/>
      <c r="X244" s="14"/>
      <c r="AB244" s="14"/>
      <c r="AC244" s="14"/>
      <c r="AD244" s="14"/>
      <c r="AE244" s="14"/>
      <c r="AF244" s="14"/>
      <c r="AG244" s="134"/>
      <c r="AH244" s="7"/>
      <c r="AI244" s="7"/>
      <c r="AJ244" s="7"/>
      <c r="AK244" s="12"/>
      <c r="AL244" s="7"/>
      <c r="AM244" s="7"/>
    </row>
    <row r="245" spans="1:39" ht="13.5">
      <c r="A245" s="14"/>
      <c r="B245" s="682" t="s">
        <v>978</v>
      </c>
      <c r="C245" s="803">
        <f>IF(Settings!AN7="TPAR(3)",DeadTime3,DeadTime1)</f>
        <v>0.7</v>
      </c>
      <c r="D245" s="542"/>
      <c r="F245" s="14"/>
      <c r="G245" s="14"/>
      <c r="H245" s="14"/>
      <c r="I245" s="14"/>
      <c r="J245" s="14"/>
      <c r="K245" s="14"/>
      <c r="L245" s="14"/>
      <c r="M245" s="14"/>
      <c r="N245" s="14"/>
      <c r="O245" s="14"/>
      <c r="P245" s="14"/>
      <c r="Q245" s="14"/>
      <c r="R245" s="14"/>
      <c r="T245" s="14"/>
      <c r="U245" s="14"/>
      <c r="W245" s="14"/>
      <c r="X245" s="14"/>
      <c r="AB245" s="14"/>
      <c r="AC245" s="14"/>
      <c r="AD245" s="14"/>
      <c r="AE245" s="14"/>
      <c r="AF245" s="14"/>
      <c r="AG245" s="134"/>
      <c r="AH245" s="7"/>
      <c r="AI245" s="7"/>
      <c r="AJ245" s="7"/>
      <c r="AK245" s="12"/>
      <c r="AL245" s="7"/>
      <c r="AM245" s="7"/>
    </row>
    <row r="246" spans="1:39" ht="13.5">
      <c r="A246" s="14"/>
      <c r="B246" s="682" t="s">
        <v>979</v>
      </c>
      <c r="C246" s="803">
        <f>DeadTime3</f>
        <v>0.7</v>
      </c>
      <c r="D246" s="542"/>
      <c r="F246" s="14"/>
      <c r="G246" s="14"/>
      <c r="H246" s="14"/>
      <c r="I246" s="14"/>
      <c r="J246" s="14"/>
      <c r="K246" s="14"/>
      <c r="L246" s="14"/>
      <c r="M246" s="14"/>
      <c r="N246" s="14"/>
      <c r="O246" s="14"/>
      <c r="P246" s="14"/>
      <c r="Q246" s="14"/>
      <c r="R246" s="14"/>
      <c r="T246" s="14"/>
      <c r="U246" s="14"/>
      <c r="W246" s="14"/>
      <c r="X246" s="14"/>
      <c r="AB246" s="14"/>
      <c r="AC246" s="14"/>
      <c r="AD246" s="14"/>
      <c r="AE246" s="14"/>
      <c r="AF246" s="14"/>
      <c r="AG246" s="134"/>
      <c r="AH246" s="7"/>
      <c r="AI246" s="7"/>
      <c r="AJ246" s="7"/>
      <c r="AK246" s="12"/>
      <c r="AL246" s="7"/>
      <c r="AM246" s="7"/>
    </row>
    <row r="247" spans="1:39" ht="13.5">
      <c r="A247" s="14"/>
      <c r="B247" s="148" t="s">
        <v>129</v>
      </c>
      <c r="C247" s="555">
        <f t="shared" ref="C247:C257" si="87">IF(C121="","Off",ROUND(C121,Rnd_Ph_Fwd))</f>
        <v>1.1579999999999999</v>
      </c>
      <c r="D247" s="478" t="s">
        <v>63</v>
      </c>
      <c r="F247" s="14"/>
      <c r="G247" s="14"/>
      <c r="H247" s="14"/>
      <c r="I247" s="14"/>
      <c r="J247" s="14"/>
      <c r="K247" s="14"/>
      <c r="L247" s="14"/>
      <c r="M247" s="14"/>
      <c r="N247" s="14"/>
      <c r="O247" s="14"/>
      <c r="P247" s="14"/>
      <c r="Q247" s="14"/>
      <c r="R247" s="14"/>
      <c r="T247" s="14"/>
      <c r="U247" s="14"/>
      <c r="W247" s="14"/>
      <c r="X247" s="14"/>
      <c r="AB247" s="14"/>
      <c r="AC247" s="14"/>
      <c r="AD247" s="14"/>
      <c r="AE247" s="14"/>
      <c r="AF247" s="14"/>
      <c r="AG247" s="134"/>
      <c r="AH247" s="7"/>
      <c r="AI247" s="7"/>
      <c r="AJ247" s="7"/>
      <c r="AK247" s="12"/>
      <c r="AL247" s="7"/>
      <c r="AM247" s="7"/>
    </row>
    <row r="248" spans="1:39" ht="13.5">
      <c r="A248" s="14"/>
      <c r="B248" s="148" t="s">
        <v>130</v>
      </c>
      <c r="C248" s="555">
        <f t="shared" si="87"/>
        <v>0.48</v>
      </c>
      <c r="D248" s="479"/>
      <c r="F248" s="14"/>
      <c r="G248" s="14"/>
      <c r="H248" s="14"/>
      <c r="I248" s="14"/>
      <c r="J248" s="14"/>
      <c r="K248" s="14"/>
      <c r="L248" s="14"/>
      <c r="M248" s="14"/>
      <c r="N248" s="14"/>
      <c r="O248" s="14"/>
      <c r="P248" s="14"/>
      <c r="Q248" s="14"/>
      <c r="R248" s="14"/>
      <c r="T248" s="14"/>
      <c r="U248" s="14"/>
      <c r="W248" s="14"/>
      <c r="X248" s="14"/>
      <c r="AB248" s="14"/>
      <c r="AC248" s="14"/>
      <c r="AD248" s="14"/>
      <c r="AE248" s="14"/>
      <c r="AF248" s="14"/>
      <c r="AG248" s="134"/>
      <c r="AH248" s="7"/>
      <c r="AI248" s="7"/>
      <c r="AJ248" s="7"/>
      <c r="AK248" s="12"/>
      <c r="AL248" s="7"/>
      <c r="AM248" s="7"/>
    </row>
    <row r="249" spans="1:39" ht="13.5">
      <c r="A249" s="14"/>
      <c r="B249" s="148" t="s">
        <v>131</v>
      </c>
      <c r="C249" s="555" t="str">
        <f t="shared" si="87"/>
        <v>Off</v>
      </c>
      <c r="D249" s="357" t="s">
        <v>64</v>
      </c>
      <c r="F249" s="14"/>
      <c r="G249" s="14"/>
      <c r="H249" s="14"/>
      <c r="I249" s="14"/>
      <c r="J249" s="14"/>
      <c r="K249" s="14"/>
      <c r="L249" s="14"/>
      <c r="M249" s="14"/>
      <c r="N249" s="14"/>
      <c r="O249" s="14"/>
      <c r="P249" s="14"/>
      <c r="Q249" s="14"/>
      <c r="R249" s="14"/>
      <c r="T249" s="14"/>
      <c r="U249" s="14"/>
      <c r="W249" s="14"/>
      <c r="X249" s="14"/>
      <c r="AB249" s="14"/>
      <c r="AC249" s="14"/>
      <c r="AD249" s="14"/>
      <c r="AE249" s="14"/>
      <c r="AF249" s="14"/>
      <c r="AG249" s="134"/>
      <c r="AH249" s="7"/>
      <c r="AI249" s="7"/>
      <c r="AJ249" s="7"/>
      <c r="AK249" s="12"/>
      <c r="AL249" s="7"/>
      <c r="AM249" s="7"/>
    </row>
    <row r="250" spans="1:39" ht="13.5">
      <c r="A250" s="14"/>
      <c r="B250" s="148" t="s">
        <v>132</v>
      </c>
      <c r="C250" s="555" t="str">
        <f t="shared" si="87"/>
        <v>Off</v>
      </c>
      <c r="D250" s="480"/>
      <c r="F250" s="14"/>
      <c r="G250" s="14"/>
      <c r="H250" s="14"/>
      <c r="I250" s="14"/>
      <c r="J250" s="14"/>
      <c r="K250" s="14"/>
      <c r="L250" s="14"/>
      <c r="M250" s="14"/>
      <c r="N250" s="14"/>
      <c r="O250" s="14"/>
      <c r="P250" s="14"/>
      <c r="Q250" s="14"/>
      <c r="R250" s="14"/>
      <c r="T250" s="14"/>
      <c r="U250" s="14"/>
      <c r="W250" s="14"/>
      <c r="X250" s="14"/>
      <c r="AB250" s="14"/>
      <c r="AC250" s="14"/>
      <c r="AD250" s="14"/>
      <c r="AE250" s="14"/>
      <c r="AF250" s="14"/>
      <c r="AG250" s="134"/>
      <c r="AH250" s="7"/>
      <c r="AI250" s="7"/>
      <c r="AJ250" s="7"/>
      <c r="AK250" s="12"/>
      <c r="AL250" s="7"/>
      <c r="AM250" s="7"/>
    </row>
    <row r="251" spans="1:39" ht="13.5">
      <c r="A251" s="14"/>
      <c r="B251" s="148" t="s">
        <v>133</v>
      </c>
      <c r="C251" s="555">
        <f t="shared" si="87"/>
        <v>0.44900000000000001</v>
      </c>
      <c r="D251" s="481" t="s">
        <v>65</v>
      </c>
      <c r="F251" s="14"/>
      <c r="G251" s="14"/>
      <c r="H251" s="14"/>
      <c r="I251" s="14"/>
      <c r="J251" s="14"/>
      <c r="K251" s="14"/>
      <c r="L251" s="14"/>
      <c r="M251" s="14"/>
      <c r="N251" s="14"/>
      <c r="O251" s="14"/>
      <c r="P251" s="14"/>
      <c r="Q251" s="14"/>
      <c r="R251" s="14"/>
      <c r="T251" s="14"/>
      <c r="U251" s="14"/>
      <c r="W251" s="14"/>
      <c r="X251" s="14"/>
      <c r="AB251" s="14"/>
      <c r="AC251" s="14"/>
      <c r="AD251" s="14"/>
      <c r="AE251" s="14"/>
      <c r="AF251" s="14"/>
      <c r="AG251" s="134"/>
      <c r="AH251" s="7"/>
      <c r="AI251" s="7"/>
      <c r="AJ251" s="7"/>
      <c r="AK251" s="12"/>
      <c r="AL251" s="7"/>
      <c r="AM251" s="7"/>
    </row>
    <row r="252" spans="1:39" ht="13.5">
      <c r="A252" s="14"/>
      <c r="B252" s="148" t="s">
        <v>134</v>
      </c>
      <c r="C252" s="555">
        <f t="shared" si="87"/>
        <v>0.34200000000000003</v>
      </c>
      <c r="D252" s="363"/>
      <c r="F252" s="14"/>
      <c r="G252" s="14"/>
      <c r="H252" s="14"/>
      <c r="I252" s="14"/>
      <c r="J252" s="14"/>
      <c r="K252" s="14"/>
      <c r="L252" s="14"/>
      <c r="M252" s="14"/>
      <c r="N252" s="14"/>
      <c r="O252" s="14"/>
      <c r="P252" s="14"/>
      <c r="Q252" s="14"/>
      <c r="R252" s="14"/>
      <c r="T252" s="14"/>
      <c r="U252" s="14"/>
      <c r="W252" s="14"/>
      <c r="X252" s="14"/>
      <c r="AB252" s="14"/>
      <c r="AC252" s="14"/>
      <c r="AD252" s="14"/>
      <c r="AE252" s="14"/>
      <c r="AF252" s="14"/>
      <c r="AG252" s="134"/>
      <c r="AH252" s="7"/>
      <c r="AI252" s="7"/>
      <c r="AJ252" s="7"/>
      <c r="AK252" s="12"/>
      <c r="AL252" s="7"/>
      <c r="AM252" s="7"/>
    </row>
    <row r="253" spans="1:39" ht="13.5">
      <c r="A253" s="14"/>
      <c r="B253" s="148" t="s">
        <v>135</v>
      </c>
      <c r="C253" s="555">
        <f t="shared" si="87"/>
        <v>0.32200000000000001</v>
      </c>
      <c r="D253" s="360" t="s">
        <v>66</v>
      </c>
      <c r="F253" s="14"/>
      <c r="G253" s="14"/>
      <c r="H253" s="14"/>
      <c r="I253" s="14"/>
      <c r="J253" s="14"/>
      <c r="K253" s="14"/>
      <c r="L253" s="14"/>
      <c r="M253" s="14"/>
      <c r="N253" s="14"/>
      <c r="O253" s="14"/>
      <c r="P253" s="14"/>
      <c r="Q253" s="14"/>
      <c r="R253" s="14"/>
      <c r="T253" s="14"/>
      <c r="U253" s="14"/>
      <c r="W253" s="14"/>
      <c r="X253" s="14"/>
      <c r="AB253" s="14"/>
      <c r="AC253" s="14"/>
      <c r="AD253" s="14"/>
      <c r="AE253" s="14"/>
      <c r="AF253" s="14"/>
      <c r="AG253" s="134"/>
      <c r="AH253" s="7"/>
      <c r="AI253" s="7"/>
      <c r="AJ253" s="7"/>
      <c r="AK253" s="12"/>
      <c r="AL253" s="7"/>
      <c r="AM253" s="7"/>
    </row>
    <row r="254" spans="1:39" ht="13.5">
      <c r="A254" s="14"/>
      <c r="B254" s="148" t="s">
        <v>136</v>
      </c>
      <c r="C254" s="555">
        <f t="shared" si="87"/>
        <v>0.185</v>
      </c>
      <c r="D254" s="361"/>
      <c r="F254" s="14"/>
      <c r="G254" s="14"/>
      <c r="H254" s="14"/>
      <c r="I254" s="14"/>
      <c r="J254" s="14"/>
      <c r="K254" s="14"/>
      <c r="L254" s="14"/>
      <c r="M254" s="14"/>
      <c r="N254" s="14"/>
      <c r="O254" s="14"/>
      <c r="P254" s="14"/>
      <c r="Q254" s="14"/>
      <c r="R254" s="14"/>
      <c r="T254" s="14"/>
      <c r="U254" s="14"/>
      <c r="W254" s="14"/>
      <c r="X254" s="14"/>
      <c r="AB254" s="14"/>
      <c r="AC254" s="14"/>
      <c r="AD254" s="14"/>
      <c r="AE254" s="14"/>
      <c r="AF254" s="14"/>
      <c r="AG254" s="134"/>
      <c r="AH254" s="7"/>
      <c r="AI254" s="7"/>
      <c r="AJ254" s="7"/>
      <c r="AK254" s="12"/>
      <c r="AL254" s="7"/>
      <c r="AM254" s="7"/>
    </row>
    <row r="255" spans="1:39" ht="13.5">
      <c r="A255" s="14"/>
      <c r="B255" s="148" t="s">
        <v>137</v>
      </c>
      <c r="C255" s="555" t="str">
        <f t="shared" si="87"/>
        <v>Off</v>
      </c>
      <c r="D255" s="567"/>
      <c r="F255" s="14"/>
      <c r="G255" s="14"/>
      <c r="H255" s="14"/>
      <c r="I255" s="14"/>
      <c r="J255" s="14"/>
      <c r="K255" s="14"/>
      <c r="L255" s="14"/>
      <c r="M255" s="14"/>
      <c r="N255" s="14"/>
      <c r="O255" s="14"/>
      <c r="P255" s="14"/>
      <c r="Q255" s="14"/>
      <c r="R255" s="14"/>
      <c r="T255" s="14"/>
      <c r="U255" s="14"/>
      <c r="W255" s="14"/>
      <c r="X255" s="14"/>
      <c r="AB255" s="14"/>
      <c r="AC255" s="14"/>
      <c r="AD255" s="14"/>
      <c r="AE255" s="14"/>
      <c r="AF255" s="14"/>
      <c r="AG255" s="134"/>
      <c r="AH255" s="7"/>
      <c r="AI255" s="7"/>
      <c r="AJ255" s="7"/>
      <c r="AK255" s="12"/>
      <c r="AL255" s="7"/>
      <c r="AM255" s="7"/>
    </row>
    <row r="256" spans="1:39" ht="13.5">
      <c r="A256" s="14"/>
      <c r="B256" s="148" t="s">
        <v>138</v>
      </c>
      <c r="C256" s="555" t="str">
        <f t="shared" si="87"/>
        <v>Off</v>
      </c>
      <c r="D256" s="567"/>
      <c r="F256" s="14"/>
      <c r="G256" s="14"/>
      <c r="H256" s="14"/>
      <c r="I256" s="14"/>
      <c r="J256" s="14"/>
      <c r="K256" s="14"/>
      <c r="L256" s="14"/>
      <c r="M256" s="14"/>
      <c r="N256" s="14"/>
      <c r="O256" s="14"/>
      <c r="P256" s="14"/>
      <c r="Q256" s="14"/>
      <c r="R256" s="14"/>
      <c r="T256" s="14"/>
      <c r="U256" s="14"/>
      <c r="W256" s="14"/>
      <c r="X256" s="14"/>
      <c r="AB256" s="14"/>
      <c r="AC256" s="14"/>
      <c r="AD256" s="14"/>
      <c r="AE256" s="14"/>
      <c r="AF256" s="14"/>
      <c r="AG256" s="134"/>
      <c r="AH256" s="7"/>
      <c r="AI256" s="7"/>
      <c r="AJ256" s="7"/>
      <c r="AK256" s="12"/>
      <c r="AL256" s="7"/>
      <c r="AM256" s="7"/>
    </row>
    <row r="257" spans="1:39" ht="13.5">
      <c r="A257" s="14"/>
      <c r="B257" s="148" t="s">
        <v>139</v>
      </c>
      <c r="C257" s="568">
        <f t="shared" si="87"/>
        <v>0.17399999999999999</v>
      </c>
      <c r="D257" s="569"/>
      <c r="F257" s="14"/>
      <c r="G257" s="14"/>
      <c r="H257" s="14"/>
      <c r="I257" s="14"/>
      <c r="J257" s="14"/>
      <c r="K257" s="14"/>
      <c r="L257" s="14"/>
      <c r="M257" s="14"/>
      <c r="N257" s="14"/>
      <c r="O257" s="14"/>
      <c r="P257" s="14"/>
      <c r="Q257" s="14"/>
      <c r="R257" s="14"/>
      <c r="T257" s="14"/>
      <c r="U257" s="14"/>
      <c r="W257" s="14"/>
      <c r="X257" s="14"/>
      <c r="AB257" s="14"/>
      <c r="AC257" s="14"/>
      <c r="AD257" s="14"/>
      <c r="AE257" s="14"/>
      <c r="AF257" s="14"/>
      <c r="AG257" s="134"/>
      <c r="AH257" s="7"/>
      <c r="AI257" s="7"/>
      <c r="AJ257" s="7"/>
      <c r="AK257" s="12"/>
      <c r="AL257" s="7"/>
      <c r="AM257" s="7"/>
    </row>
    <row r="258" spans="1:39" ht="13.5">
      <c r="A258" s="14"/>
      <c r="B258" s="149" t="s">
        <v>160</v>
      </c>
      <c r="C258" s="358">
        <f t="shared" ref="C258:C267" si="88">IF(D121="","Off",D121)</f>
        <v>28</v>
      </c>
      <c r="D258" s="358"/>
      <c r="F258" s="14"/>
      <c r="G258" s="14"/>
      <c r="H258" s="14"/>
      <c r="I258" s="14"/>
      <c r="J258" s="14"/>
      <c r="K258" s="14"/>
      <c r="L258" s="14"/>
      <c r="M258" s="14"/>
      <c r="N258" s="14"/>
      <c r="O258" s="14"/>
      <c r="P258" s="14"/>
      <c r="Q258" s="14"/>
      <c r="R258" s="14"/>
      <c r="T258" s="14"/>
      <c r="U258" s="14"/>
      <c r="W258" s="14"/>
      <c r="X258" s="14"/>
      <c r="AB258" s="14"/>
      <c r="AC258" s="14"/>
      <c r="AD258" s="14"/>
      <c r="AE258" s="14"/>
      <c r="AF258" s="14"/>
      <c r="AG258" s="134"/>
      <c r="AH258" s="7"/>
      <c r="AI258" s="7"/>
      <c r="AJ258" s="7"/>
      <c r="AK258" s="12"/>
      <c r="AL258" s="7"/>
      <c r="AM258" s="7"/>
    </row>
    <row r="259" spans="1:39" ht="13.5">
      <c r="A259" s="14"/>
      <c r="B259" s="149" t="s">
        <v>161</v>
      </c>
      <c r="C259" s="158">
        <f t="shared" si="88"/>
        <v>28</v>
      </c>
      <c r="D259" s="158"/>
      <c r="F259" s="14"/>
      <c r="G259" s="14"/>
      <c r="H259" s="14"/>
      <c r="I259" s="14"/>
      <c r="J259" s="14"/>
      <c r="K259" s="14"/>
      <c r="L259" s="14"/>
      <c r="M259" s="14"/>
      <c r="N259" s="14"/>
      <c r="O259" s="14"/>
      <c r="P259" s="14"/>
      <c r="Q259" s="14"/>
      <c r="R259" s="14"/>
      <c r="T259" s="14"/>
      <c r="U259" s="14"/>
      <c r="W259" s="14"/>
      <c r="X259" s="14"/>
      <c r="AB259" s="14"/>
      <c r="AC259" s="14"/>
      <c r="AD259" s="14"/>
      <c r="AE259" s="14"/>
      <c r="AF259" s="14"/>
      <c r="AG259" s="134"/>
      <c r="AH259" s="7"/>
      <c r="AI259" s="7"/>
      <c r="AJ259" s="7"/>
      <c r="AK259" s="12"/>
      <c r="AL259" s="7"/>
      <c r="AM259" s="7"/>
    </row>
    <row r="260" spans="1:39" ht="13.5">
      <c r="A260" s="14"/>
      <c r="B260" s="149" t="s">
        <v>162</v>
      </c>
      <c r="C260" s="158" t="str">
        <f t="shared" si="88"/>
        <v>Off</v>
      </c>
      <c r="D260" s="158"/>
      <c r="F260" s="14"/>
      <c r="G260" s="14"/>
      <c r="H260" s="14"/>
      <c r="I260" s="14"/>
      <c r="J260" s="14"/>
      <c r="K260" s="14"/>
      <c r="L260" s="14"/>
      <c r="M260" s="14"/>
      <c r="N260" s="14"/>
      <c r="O260" s="14"/>
      <c r="P260" s="14"/>
      <c r="Q260" s="14"/>
      <c r="R260" s="14"/>
      <c r="T260" s="14"/>
      <c r="U260" s="14"/>
      <c r="W260" s="14"/>
      <c r="X260" s="14"/>
      <c r="AB260" s="14"/>
      <c r="AC260" s="14"/>
      <c r="AD260" s="14"/>
      <c r="AE260" s="14"/>
      <c r="AF260" s="14"/>
      <c r="AG260" s="134"/>
      <c r="AH260" s="7"/>
      <c r="AI260" s="7"/>
      <c r="AJ260" s="7"/>
      <c r="AK260" s="12"/>
      <c r="AL260" s="7"/>
      <c r="AM260" s="7"/>
    </row>
    <row r="261" spans="1:39" ht="13.5">
      <c r="A261" s="14"/>
      <c r="B261" s="149" t="s">
        <v>163</v>
      </c>
      <c r="C261" s="158" t="str">
        <f t="shared" si="88"/>
        <v>Off</v>
      </c>
      <c r="D261" s="158"/>
      <c r="F261" s="14"/>
      <c r="G261" s="14"/>
      <c r="H261" s="14"/>
      <c r="I261" s="14"/>
      <c r="J261" s="14"/>
      <c r="K261" s="14"/>
      <c r="L261" s="14"/>
      <c r="M261" s="14"/>
      <c r="N261" s="14"/>
      <c r="O261" s="14"/>
      <c r="P261" s="14"/>
      <c r="Q261" s="14"/>
      <c r="R261" s="14"/>
      <c r="T261" s="14"/>
      <c r="U261" s="14"/>
      <c r="W261" s="14"/>
      <c r="X261" s="14"/>
      <c r="AB261" s="14"/>
      <c r="AC261" s="14"/>
      <c r="AD261" s="14"/>
      <c r="AE261" s="14"/>
      <c r="AF261" s="14"/>
      <c r="AG261" s="134"/>
      <c r="AH261" s="7"/>
      <c r="AI261" s="7"/>
      <c r="AJ261" s="7"/>
      <c r="AK261" s="12"/>
      <c r="AL261" s="7"/>
      <c r="AM261" s="7"/>
    </row>
    <row r="262" spans="1:39" ht="13.5">
      <c r="A262" s="14"/>
      <c r="B262" s="149" t="s">
        <v>164</v>
      </c>
      <c r="C262" s="158">
        <f t="shared" si="88"/>
        <v>428</v>
      </c>
      <c r="D262" s="158"/>
      <c r="E262" s="14"/>
      <c r="F262" s="14"/>
      <c r="G262" s="14"/>
      <c r="H262" s="14"/>
      <c r="I262" s="14"/>
      <c r="J262" s="14"/>
      <c r="K262" s="14"/>
      <c r="L262" s="14"/>
      <c r="M262" s="14"/>
      <c r="N262" s="14"/>
      <c r="O262" s="14"/>
      <c r="P262" s="14"/>
      <c r="Q262" s="14"/>
      <c r="R262" s="14"/>
      <c r="T262" s="14"/>
      <c r="U262" s="14"/>
      <c r="W262" s="14"/>
      <c r="X262" s="14"/>
      <c r="AB262" s="14"/>
      <c r="AC262" s="14"/>
      <c r="AD262" s="14"/>
      <c r="AE262" s="14"/>
      <c r="AF262" s="14"/>
      <c r="AG262" s="134"/>
      <c r="AH262" s="7"/>
      <c r="AI262" s="7"/>
      <c r="AJ262" s="7"/>
      <c r="AK262" s="12"/>
      <c r="AL262" s="7"/>
      <c r="AM262" s="7"/>
    </row>
    <row r="263" spans="1:39" ht="13.5">
      <c r="A263" s="14"/>
      <c r="B263" s="149" t="s">
        <v>165</v>
      </c>
      <c r="C263" s="158">
        <f t="shared" si="88"/>
        <v>428</v>
      </c>
      <c r="D263" s="158"/>
      <c r="E263" s="14"/>
      <c r="F263" s="14"/>
      <c r="G263" s="14"/>
      <c r="H263" s="14"/>
      <c r="I263" s="14"/>
      <c r="J263" s="14"/>
      <c r="K263" s="14"/>
      <c r="L263" s="14"/>
      <c r="M263" s="14"/>
      <c r="N263" s="14"/>
      <c r="O263" s="14"/>
      <c r="P263" s="14"/>
      <c r="Q263" s="14"/>
      <c r="R263" s="14"/>
      <c r="T263" s="14"/>
      <c r="U263" s="14"/>
      <c r="W263" s="14"/>
      <c r="X263" s="14"/>
      <c r="AB263" s="14"/>
      <c r="AC263" s="14"/>
      <c r="AD263" s="14"/>
      <c r="AE263" s="14"/>
      <c r="AF263" s="14"/>
      <c r="AG263" s="134"/>
      <c r="AH263" s="7"/>
      <c r="AI263" s="7"/>
      <c r="AJ263" s="7"/>
      <c r="AK263" s="12"/>
      <c r="AL263" s="7"/>
      <c r="AM263" s="7"/>
    </row>
    <row r="264" spans="1:39" ht="13.5">
      <c r="A264" s="14"/>
      <c r="B264" s="149" t="s">
        <v>166</v>
      </c>
      <c r="C264" s="158">
        <f t="shared" si="88"/>
        <v>4528</v>
      </c>
      <c r="D264" s="158"/>
      <c r="E264" s="14"/>
      <c r="F264" s="14"/>
      <c r="G264" s="14"/>
      <c r="H264" s="14"/>
      <c r="I264" s="14"/>
      <c r="J264" s="14"/>
      <c r="K264" s="14"/>
      <c r="L264" s="14"/>
      <c r="M264" s="14"/>
      <c r="N264" s="14"/>
      <c r="O264" s="14"/>
      <c r="P264" s="14"/>
      <c r="Q264" s="14"/>
      <c r="R264" s="14"/>
      <c r="T264" s="14"/>
      <c r="U264" s="14"/>
      <c r="W264" s="14"/>
      <c r="X264" s="14"/>
      <c r="AB264" s="14"/>
      <c r="AC264" s="14"/>
      <c r="AD264" s="14"/>
      <c r="AE264" s="14"/>
      <c r="AF264" s="14"/>
      <c r="AG264" s="134"/>
      <c r="AH264" s="7"/>
      <c r="AI264" s="7"/>
      <c r="AJ264" s="7"/>
      <c r="AK264" s="12"/>
      <c r="AL264" s="7"/>
      <c r="AM264" s="7"/>
    </row>
    <row r="265" spans="1:39" ht="13.5">
      <c r="A265" s="14"/>
      <c r="B265" s="149" t="s">
        <v>167</v>
      </c>
      <c r="C265" s="158">
        <f t="shared" si="88"/>
        <v>4528</v>
      </c>
      <c r="D265" s="158"/>
      <c r="E265" s="14"/>
      <c r="F265" s="14"/>
      <c r="G265" s="14"/>
      <c r="H265" s="14"/>
      <c r="I265" s="14"/>
      <c r="J265" s="14"/>
      <c r="K265" s="14"/>
      <c r="L265" s="14"/>
      <c r="M265" s="14"/>
      <c r="N265" s="14"/>
      <c r="O265" s="14"/>
      <c r="P265" s="14"/>
      <c r="Q265" s="14"/>
      <c r="R265" s="14"/>
      <c r="T265" s="14"/>
      <c r="U265" s="14"/>
      <c r="W265" s="14"/>
      <c r="X265" s="14"/>
      <c r="AB265" s="14"/>
      <c r="AC265" s="14"/>
      <c r="AD265" s="14"/>
      <c r="AE265" s="14"/>
      <c r="AF265" s="14"/>
      <c r="AG265" s="134"/>
      <c r="AH265" s="7"/>
      <c r="AI265" s="7"/>
      <c r="AJ265" s="7"/>
      <c r="AK265" s="12"/>
      <c r="AL265" s="7"/>
      <c r="AM265" s="7"/>
    </row>
    <row r="266" spans="1:39" ht="13.5">
      <c r="A266" s="14"/>
      <c r="B266" s="149" t="s">
        <v>168</v>
      </c>
      <c r="C266" s="158" t="str">
        <f t="shared" si="88"/>
        <v>Off</v>
      </c>
      <c r="D266" s="158"/>
      <c r="E266" s="14"/>
      <c r="F266" s="14"/>
      <c r="G266" s="14"/>
      <c r="H266" s="14"/>
      <c r="I266" s="14"/>
      <c r="J266" s="14"/>
      <c r="K266" s="14"/>
      <c r="L266" s="14"/>
      <c r="M266" s="14"/>
      <c r="N266" s="14"/>
      <c r="O266" s="14"/>
      <c r="P266" s="14"/>
      <c r="Q266" s="14"/>
      <c r="R266" s="14"/>
      <c r="T266" s="14"/>
      <c r="U266" s="14"/>
      <c r="W266" s="14"/>
      <c r="X266" s="14"/>
      <c r="AB266" s="14"/>
      <c r="AC266" s="14"/>
      <c r="AD266" s="14"/>
      <c r="AE266" s="14"/>
      <c r="AF266" s="14"/>
      <c r="AG266" s="134"/>
      <c r="AH266" s="7"/>
      <c r="AI266" s="7"/>
      <c r="AJ266" s="7"/>
      <c r="AK266" s="12"/>
      <c r="AL266" s="7"/>
      <c r="AM266" s="7"/>
    </row>
    <row r="267" spans="1:39" ht="13.5">
      <c r="A267" s="14"/>
      <c r="B267" s="149" t="s">
        <v>169</v>
      </c>
      <c r="C267" s="158" t="str">
        <f t="shared" si="88"/>
        <v>Off</v>
      </c>
      <c r="D267" s="158"/>
      <c r="E267" s="14"/>
      <c r="F267" s="14"/>
      <c r="G267" s="14"/>
      <c r="H267" s="14"/>
      <c r="I267" s="14"/>
      <c r="J267" s="14"/>
      <c r="K267" s="14"/>
      <c r="L267" s="14"/>
      <c r="M267" s="14"/>
      <c r="N267" s="14"/>
      <c r="O267" s="14"/>
      <c r="P267" s="14"/>
      <c r="Q267" s="14"/>
      <c r="R267" s="14"/>
      <c r="T267" s="14"/>
      <c r="U267" s="14"/>
      <c r="W267" s="14"/>
      <c r="X267" s="14"/>
      <c r="AB267" s="14"/>
      <c r="AC267" s="14"/>
      <c r="AD267" s="14"/>
      <c r="AE267" s="14"/>
      <c r="AF267" s="14"/>
      <c r="AG267" s="134"/>
      <c r="AH267" s="7"/>
      <c r="AI267" s="7"/>
      <c r="AJ267" s="7"/>
      <c r="AK267" s="12"/>
      <c r="AL267" s="7"/>
      <c r="AM267" s="7"/>
    </row>
    <row r="268" spans="1:39" ht="13.5">
      <c r="A268" s="14"/>
      <c r="B268" s="150" t="s">
        <v>140</v>
      </c>
      <c r="C268" s="556">
        <f>IF(C135="","Off",ROUND(C135,Rnd_Ph_Rev))</f>
        <v>4.4649999999999999</v>
      </c>
      <c r="D268" s="151"/>
      <c r="E268" s="14"/>
      <c r="F268" s="14"/>
      <c r="G268" s="14"/>
      <c r="H268" s="14"/>
      <c r="I268" s="14"/>
      <c r="J268" s="14"/>
      <c r="K268" s="14"/>
      <c r="L268" s="14"/>
      <c r="M268" s="14"/>
      <c r="N268" s="14"/>
      <c r="O268" s="14"/>
      <c r="P268" s="14"/>
      <c r="Q268" s="14"/>
      <c r="R268" s="14"/>
      <c r="T268" s="14"/>
      <c r="U268" s="14"/>
      <c r="W268" s="14"/>
      <c r="X268" s="14"/>
      <c r="AB268" s="14"/>
      <c r="AC268" s="14"/>
      <c r="AD268" s="14"/>
      <c r="AE268" s="14"/>
      <c r="AF268" s="14"/>
      <c r="AG268" s="134"/>
      <c r="AH268" s="7"/>
      <c r="AI268" s="7"/>
      <c r="AJ268" s="7"/>
      <c r="AK268" s="12"/>
      <c r="AL268" s="7"/>
      <c r="AM268" s="7"/>
    </row>
    <row r="269" spans="1:39" ht="13.5">
      <c r="A269" s="14"/>
      <c r="B269" s="150" t="s">
        <v>141</v>
      </c>
      <c r="C269" s="556">
        <f>IF(C136="","Off",ROUND(C136,Rnd_Ph_Rev))</f>
        <v>0.92</v>
      </c>
      <c r="D269" s="151"/>
      <c r="E269" s="14"/>
      <c r="F269" s="14"/>
      <c r="G269" s="14"/>
      <c r="H269" s="14"/>
      <c r="I269" s="14"/>
      <c r="J269" s="14"/>
      <c r="K269" s="14"/>
      <c r="L269" s="14"/>
      <c r="M269" s="14"/>
      <c r="N269" s="14"/>
      <c r="O269" s="14"/>
      <c r="P269" s="14"/>
      <c r="Q269" s="14"/>
      <c r="R269" s="14"/>
      <c r="T269" s="14"/>
      <c r="U269" s="14"/>
      <c r="W269" s="14"/>
      <c r="X269" s="14"/>
      <c r="AB269" s="14"/>
      <c r="AC269" s="14"/>
      <c r="AD269" s="14"/>
      <c r="AE269" s="14"/>
      <c r="AF269" s="14"/>
      <c r="AG269" s="134"/>
      <c r="AH269" s="7"/>
      <c r="AI269" s="7"/>
      <c r="AJ269" s="7"/>
      <c r="AK269" s="12"/>
      <c r="AL269" s="7"/>
      <c r="AM269" s="7"/>
    </row>
    <row r="270" spans="1:39" ht="13.5">
      <c r="A270" s="14"/>
      <c r="B270" s="150" t="s">
        <v>142</v>
      </c>
      <c r="C270" s="556">
        <f>IF(C137="","Off",ROUND(C137,Rnd_Ph_Rev))</f>
        <v>0.86499999999999999</v>
      </c>
      <c r="D270" s="151"/>
      <c r="E270" s="14"/>
      <c r="F270" s="14"/>
      <c r="G270" s="14"/>
      <c r="H270" s="14"/>
      <c r="I270" s="14"/>
      <c r="J270" s="14"/>
      <c r="K270" s="14"/>
      <c r="L270" s="14"/>
      <c r="M270" s="14"/>
      <c r="N270" s="14"/>
      <c r="O270" s="14"/>
      <c r="P270" s="14"/>
      <c r="Q270" s="14"/>
      <c r="R270" s="14"/>
      <c r="T270" s="14"/>
      <c r="U270" s="14"/>
      <c r="W270" s="14"/>
      <c r="X270" s="14"/>
      <c r="AB270" s="14"/>
      <c r="AC270" s="14"/>
      <c r="AD270" s="14"/>
      <c r="AE270" s="14"/>
      <c r="AF270" s="14"/>
      <c r="AG270" s="134"/>
      <c r="AH270" s="7"/>
      <c r="AI270" s="7"/>
      <c r="AJ270" s="7"/>
      <c r="AK270" s="12"/>
      <c r="AL270" s="7"/>
      <c r="AM270" s="7"/>
    </row>
    <row r="271" spans="1:39" ht="13.5">
      <c r="A271" s="14"/>
      <c r="B271" s="150" t="s">
        <v>143</v>
      </c>
      <c r="C271" s="556">
        <f>IF(C138="","Off",ROUND(C138,Rnd_Ph_Rev))</f>
        <v>0.185</v>
      </c>
      <c r="D271" s="151"/>
      <c r="E271" s="14"/>
      <c r="F271" s="14"/>
      <c r="G271" s="14"/>
      <c r="H271" s="14"/>
      <c r="I271" s="14"/>
      <c r="J271" s="14"/>
      <c r="K271" s="14"/>
      <c r="L271" s="14"/>
      <c r="M271" s="14"/>
      <c r="N271" s="14"/>
      <c r="O271" s="14"/>
      <c r="P271" s="14"/>
      <c r="Q271" s="14"/>
      <c r="R271" s="14"/>
      <c r="T271" s="14"/>
      <c r="U271" s="14"/>
      <c r="W271" s="14"/>
      <c r="X271" s="14"/>
      <c r="AB271" s="14"/>
      <c r="AC271" s="14"/>
      <c r="AD271" s="14"/>
      <c r="AE271" s="14"/>
      <c r="AF271" s="14"/>
      <c r="AG271" s="134"/>
      <c r="AH271" s="7"/>
      <c r="AI271" s="7"/>
      <c r="AJ271" s="7"/>
      <c r="AK271" s="12"/>
      <c r="AL271" s="7"/>
      <c r="AM271" s="7"/>
    </row>
    <row r="272" spans="1:39" ht="13.5">
      <c r="A272" s="14"/>
      <c r="B272" s="150" t="s">
        <v>144</v>
      </c>
      <c r="C272" s="556">
        <f>IF(C139="","Off",ROUND(C139,Rnd_Ph_Rev))</f>
        <v>0.17399999999999999</v>
      </c>
      <c r="D272" s="151"/>
      <c r="E272" s="14"/>
      <c r="F272" s="14"/>
      <c r="G272" s="14"/>
      <c r="H272" s="14"/>
      <c r="I272" s="14"/>
      <c r="J272" s="14"/>
      <c r="K272" s="14"/>
      <c r="L272" s="14"/>
      <c r="M272" s="14"/>
      <c r="N272" s="14"/>
      <c r="O272" s="14"/>
      <c r="P272" s="14"/>
      <c r="Q272" s="14"/>
      <c r="R272" s="14"/>
      <c r="T272" s="14"/>
      <c r="U272" s="14"/>
      <c r="W272" s="14"/>
      <c r="X272" s="14"/>
      <c r="AB272" s="14"/>
      <c r="AC272" s="14"/>
      <c r="AD272" s="14"/>
      <c r="AE272" s="14"/>
      <c r="AF272" s="14"/>
      <c r="AG272" s="134"/>
      <c r="AH272" s="7"/>
      <c r="AI272" s="7"/>
      <c r="AJ272" s="7"/>
      <c r="AK272" s="12"/>
      <c r="AL272" s="7"/>
      <c r="AM272" s="7"/>
    </row>
    <row r="273" spans="1:39" ht="13.5">
      <c r="A273" s="14"/>
      <c r="B273" s="150" t="s">
        <v>170</v>
      </c>
      <c r="C273" s="151">
        <f>IF(D135="","Off",D135)</f>
        <v>528</v>
      </c>
      <c r="D273" s="159"/>
      <c r="E273" s="14"/>
      <c r="F273" s="14"/>
      <c r="G273" s="14"/>
      <c r="H273" s="14"/>
      <c r="I273" s="14"/>
      <c r="J273" s="14"/>
      <c r="K273" s="14"/>
      <c r="L273" s="14"/>
      <c r="M273" s="14"/>
      <c r="N273" s="14"/>
      <c r="O273" s="14"/>
      <c r="P273" s="14"/>
      <c r="Q273" s="14"/>
      <c r="R273" s="14"/>
      <c r="T273" s="14"/>
      <c r="U273" s="14"/>
      <c r="W273" s="14"/>
      <c r="X273" s="14"/>
      <c r="AB273" s="14"/>
      <c r="AC273" s="14"/>
      <c r="AD273" s="14"/>
      <c r="AE273" s="14"/>
      <c r="AF273" s="14"/>
      <c r="AG273" s="134"/>
      <c r="AH273" s="7"/>
      <c r="AI273" s="7"/>
      <c r="AJ273" s="7"/>
      <c r="AK273" s="12"/>
      <c r="AL273" s="7"/>
      <c r="AM273" s="7"/>
    </row>
    <row r="274" spans="1:39" ht="13.5">
      <c r="A274" s="14"/>
      <c r="B274" s="150" t="s">
        <v>171</v>
      </c>
      <c r="C274" s="151">
        <f>IF(D136="","Off",D136)</f>
        <v>528</v>
      </c>
      <c r="D274" s="159"/>
      <c r="E274" s="14"/>
      <c r="F274" s="14"/>
      <c r="G274" s="14"/>
      <c r="H274" s="14"/>
      <c r="I274" s="14"/>
      <c r="J274" s="14"/>
      <c r="K274" s="14"/>
      <c r="L274" s="14"/>
      <c r="M274" s="14"/>
      <c r="N274" s="14"/>
      <c r="O274" s="14"/>
      <c r="P274" s="14"/>
      <c r="Q274" s="14"/>
      <c r="R274" s="14"/>
      <c r="T274" s="14"/>
      <c r="U274" s="14"/>
      <c r="W274" s="14"/>
      <c r="X274" s="14"/>
      <c r="AB274" s="14"/>
      <c r="AC274" s="14"/>
      <c r="AD274" s="14"/>
      <c r="AE274" s="14"/>
      <c r="AF274" s="14"/>
      <c r="AG274" s="134"/>
      <c r="AH274" s="7"/>
      <c r="AI274" s="7"/>
      <c r="AJ274" s="7"/>
      <c r="AK274" s="12"/>
      <c r="AL274" s="7"/>
      <c r="AM274" s="7"/>
    </row>
    <row r="275" spans="1:39" ht="13.5">
      <c r="A275" s="14"/>
      <c r="B275" s="150" t="s">
        <v>172</v>
      </c>
      <c r="C275" s="151">
        <f>IF(D137="","Off",D137)</f>
        <v>1128</v>
      </c>
      <c r="D275" s="159"/>
      <c r="E275" s="14"/>
      <c r="F275" s="14"/>
      <c r="G275" s="14"/>
      <c r="H275" s="14"/>
      <c r="I275" s="14"/>
      <c r="J275" s="14"/>
      <c r="K275" s="14"/>
      <c r="L275" s="14"/>
      <c r="M275" s="14"/>
      <c r="N275" s="14"/>
      <c r="O275" s="14"/>
      <c r="P275" s="14"/>
      <c r="Q275" s="14"/>
      <c r="R275" s="14"/>
      <c r="T275" s="14"/>
      <c r="U275" s="14"/>
      <c r="W275" s="14"/>
      <c r="X275" s="14"/>
      <c r="AB275" s="14"/>
      <c r="AC275" s="14"/>
      <c r="AD275" s="14"/>
      <c r="AE275" s="14"/>
      <c r="AF275" s="14"/>
      <c r="AG275" s="134"/>
      <c r="AH275" s="7"/>
      <c r="AI275" s="7"/>
      <c r="AJ275" s="7"/>
      <c r="AK275" s="12"/>
      <c r="AL275" s="7"/>
      <c r="AM275" s="7"/>
    </row>
    <row r="276" spans="1:39" ht="13.5">
      <c r="A276" s="14"/>
      <c r="B276" s="150" t="s">
        <v>173</v>
      </c>
      <c r="C276" s="151">
        <f>IF(D138="","Off",D138)</f>
        <v>1128</v>
      </c>
      <c r="D276" s="364"/>
      <c r="E276" s="14"/>
      <c r="F276" s="14"/>
      <c r="G276" s="14"/>
      <c r="H276" s="14"/>
      <c r="I276" s="14"/>
      <c r="J276" s="14"/>
      <c r="K276" s="14"/>
      <c r="L276" s="14"/>
      <c r="M276" s="14"/>
      <c r="N276" s="14"/>
      <c r="O276" s="14"/>
      <c r="P276" s="14"/>
      <c r="Q276" s="14"/>
      <c r="R276" s="14"/>
      <c r="T276" s="14"/>
      <c r="U276" s="14"/>
      <c r="W276" s="14"/>
      <c r="X276" s="14"/>
      <c r="AB276" s="14"/>
      <c r="AC276" s="14"/>
      <c r="AD276" s="14"/>
      <c r="AE276" s="14"/>
      <c r="AF276" s="14"/>
      <c r="AG276" s="134"/>
      <c r="AH276" s="7"/>
      <c r="AI276" s="7"/>
      <c r="AJ276" s="7"/>
      <c r="AK276" s="12"/>
      <c r="AL276" s="7"/>
      <c r="AM276" s="7"/>
    </row>
    <row r="277" spans="1:39" ht="13.5">
      <c r="A277" s="14"/>
      <c r="B277" s="148" t="s">
        <v>145</v>
      </c>
      <c r="C277" s="557">
        <f t="shared" ref="C277:C287" si="89">IF(I121="","Off",ROUND(I121,Rnd_E_Fwd))</f>
        <v>2.3170000000000002</v>
      </c>
      <c r="D277" s="478"/>
      <c r="E277" s="14"/>
      <c r="F277" s="14"/>
      <c r="G277" s="14"/>
      <c r="H277" s="14"/>
      <c r="I277" s="14"/>
      <c r="J277" s="14"/>
      <c r="K277" s="14"/>
      <c r="L277" s="14"/>
      <c r="M277" s="14"/>
      <c r="N277" s="14"/>
      <c r="O277" s="14"/>
      <c r="P277" s="14"/>
      <c r="Q277" s="14"/>
      <c r="R277" s="14"/>
      <c r="T277" s="14"/>
      <c r="U277" s="14"/>
      <c r="W277" s="14"/>
      <c r="X277" s="14"/>
      <c r="AB277" s="14"/>
      <c r="AC277" s="14"/>
      <c r="AD277" s="14"/>
      <c r="AE277" s="14"/>
      <c r="AF277" s="14"/>
      <c r="AG277" s="134"/>
      <c r="AH277" s="7"/>
      <c r="AI277" s="7"/>
      <c r="AJ277" s="7"/>
      <c r="AK277" s="12"/>
      <c r="AL277" s="7"/>
      <c r="AM277" s="7"/>
    </row>
    <row r="278" spans="1:39" ht="13.5">
      <c r="A278" s="14"/>
      <c r="B278" s="148" t="s">
        <v>146</v>
      </c>
      <c r="C278" s="557">
        <f t="shared" si="89"/>
        <v>0.95</v>
      </c>
      <c r="D278" s="479"/>
      <c r="E278" s="14"/>
      <c r="F278" s="14"/>
      <c r="G278" s="14"/>
      <c r="H278" s="14"/>
      <c r="I278" s="14"/>
      <c r="J278" s="14"/>
      <c r="K278" s="14"/>
      <c r="L278" s="14"/>
      <c r="M278" s="14"/>
      <c r="N278" s="14"/>
      <c r="O278" s="14"/>
      <c r="P278" s="14"/>
      <c r="Q278" s="14"/>
      <c r="R278" s="14"/>
      <c r="T278" s="14"/>
      <c r="U278" s="14"/>
      <c r="W278" s="14"/>
      <c r="X278" s="14"/>
      <c r="AB278" s="14"/>
      <c r="AC278" s="14"/>
      <c r="AD278" s="14"/>
      <c r="AE278" s="14"/>
      <c r="AF278" s="14"/>
      <c r="AG278" s="134"/>
      <c r="AH278" s="7"/>
      <c r="AI278" s="7"/>
      <c r="AJ278" s="7"/>
      <c r="AK278" s="12"/>
      <c r="AL278" s="7"/>
      <c r="AM278" s="7"/>
    </row>
    <row r="279" spans="1:39" ht="13.5">
      <c r="A279" s="14"/>
      <c r="B279" s="148" t="s">
        <v>147</v>
      </c>
      <c r="C279" s="557" t="str">
        <f t="shared" si="89"/>
        <v>Off</v>
      </c>
      <c r="D279" s="357"/>
      <c r="E279" s="14"/>
      <c r="F279" s="14"/>
      <c r="G279" s="14"/>
      <c r="H279" s="14"/>
      <c r="I279" s="14"/>
      <c r="J279" s="14"/>
      <c r="K279" s="14"/>
      <c r="L279" s="14"/>
      <c r="M279" s="14"/>
      <c r="N279" s="14"/>
      <c r="O279" s="14"/>
      <c r="P279" s="14"/>
      <c r="Q279" s="14"/>
      <c r="R279" s="14"/>
      <c r="T279" s="14"/>
      <c r="U279" s="14"/>
      <c r="W279" s="14"/>
      <c r="X279" s="14"/>
      <c r="AB279" s="14"/>
      <c r="AC279" s="14"/>
      <c r="AD279" s="14"/>
      <c r="AE279" s="14"/>
      <c r="AF279" s="14"/>
      <c r="AG279" s="134"/>
      <c r="AH279" s="7"/>
      <c r="AI279" s="7"/>
      <c r="AJ279" s="7"/>
      <c r="AK279" s="12"/>
      <c r="AL279" s="7"/>
      <c r="AM279" s="7"/>
    </row>
    <row r="280" spans="1:39" ht="13.5">
      <c r="A280" s="14"/>
      <c r="B280" s="148" t="s">
        <v>148</v>
      </c>
      <c r="C280" s="557" t="str">
        <f t="shared" si="89"/>
        <v>Off</v>
      </c>
      <c r="D280" s="480"/>
      <c r="E280" s="14"/>
      <c r="F280" s="14"/>
      <c r="G280" s="14"/>
      <c r="H280" s="14"/>
      <c r="I280" s="14"/>
      <c r="J280" s="14"/>
      <c r="K280" s="14"/>
      <c r="L280" s="14"/>
      <c r="M280" s="14"/>
      <c r="N280" s="14"/>
      <c r="O280" s="14"/>
      <c r="P280" s="14"/>
      <c r="Q280" s="14"/>
      <c r="R280" s="14"/>
      <c r="T280" s="14"/>
      <c r="U280" s="14"/>
      <c r="W280" s="14"/>
      <c r="X280" s="14"/>
      <c r="AB280" s="14"/>
      <c r="AC280" s="14"/>
      <c r="AD280" s="14"/>
      <c r="AE280" s="14"/>
      <c r="AF280" s="14"/>
      <c r="AG280" s="134"/>
      <c r="AH280" s="7"/>
      <c r="AI280" s="7"/>
      <c r="AJ280" s="7"/>
      <c r="AK280" s="12"/>
      <c r="AL280" s="7"/>
      <c r="AM280" s="7"/>
    </row>
    <row r="281" spans="1:39" ht="13.5">
      <c r="A281" s="14"/>
      <c r="B281" s="148" t="s">
        <v>149</v>
      </c>
      <c r="C281" s="557">
        <f t="shared" si="89"/>
        <v>0.89900000000000002</v>
      </c>
      <c r="D281" s="481"/>
      <c r="E281" s="14"/>
      <c r="F281" s="14"/>
      <c r="G281" s="14"/>
      <c r="H281" s="14"/>
      <c r="I281" s="14"/>
      <c r="J281" s="14"/>
      <c r="K281" s="14"/>
      <c r="L281" s="14"/>
      <c r="M281" s="14"/>
      <c r="N281" s="14"/>
      <c r="O281" s="14"/>
      <c r="P281" s="14"/>
      <c r="Q281" s="14"/>
      <c r="R281" s="14"/>
      <c r="T281" s="14"/>
      <c r="U281" s="14"/>
      <c r="W281" s="14"/>
      <c r="X281" s="14"/>
      <c r="AB281" s="14"/>
      <c r="AC281" s="14"/>
      <c r="AD281" s="14"/>
      <c r="AE281" s="14"/>
      <c r="AF281" s="14"/>
      <c r="AG281" s="134"/>
      <c r="AH281" s="7"/>
      <c r="AI281" s="7"/>
      <c r="AJ281" s="7"/>
      <c r="AK281" s="12"/>
      <c r="AL281" s="7"/>
      <c r="AM281" s="7"/>
    </row>
    <row r="282" spans="1:39" ht="13.5">
      <c r="A282" s="14"/>
      <c r="B282" s="148" t="s">
        <v>150</v>
      </c>
      <c r="C282" s="557">
        <f t="shared" si="89"/>
        <v>0.68500000000000005</v>
      </c>
      <c r="D282" s="363"/>
      <c r="E282" s="14"/>
      <c r="F282" s="14"/>
      <c r="G282" s="14"/>
      <c r="H282" s="14"/>
      <c r="I282" s="14"/>
      <c r="J282" s="14"/>
      <c r="K282" s="14"/>
      <c r="L282" s="14"/>
      <c r="M282" s="14"/>
      <c r="N282" s="14"/>
      <c r="O282" s="14"/>
      <c r="P282" s="14"/>
      <c r="Q282" s="14"/>
      <c r="R282" s="14"/>
      <c r="T282" s="14"/>
      <c r="U282" s="14"/>
      <c r="W282" s="14"/>
      <c r="X282" s="14"/>
      <c r="AB282" s="14"/>
      <c r="AC282" s="14"/>
      <c r="AD282" s="14"/>
      <c r="AE282" s="14"/>
      <c r="AF282" s="14"/>
      <c r="AG282" s="134"/>
      <c r="AH282" s="7"/>
      <c r="AI282" s="7"/>
      <c r="AJ282" s="7"/>
      <c r="AK282" s="12"/>
      <c r="AL282" s="7"/>
      <c r="AM282" s="7"/>
    </row>
    <row r="283" spans="1:39" ht="13.5">
      <c r="A283" s="14"/>
      <c r="B283" s="148" t="s">
        <v>151</v>
      </c>
      <c r="C283" s="557">
        <f t="shared" si="89"/>
        <v>0.64400000000000002</v>
      </c>
      <c r="D283" s="360"/>
      <c r="E283" s="14"/>
      <c r="F283" s="14"/>
      <c r="G283" s="14"/>
      <c r="H283" s="14"/>
      <c r="I283" s="14"/>
      <c r="J283" s="14"/>
      <c r="K283" s="14"/>
      <c r="L283" s="14"/>
      <c r="M283" s="14"/>
      <c r="N283" s="14"/>
      <c r="O283" s="14"/>
      <c r="P283" s="14"/>
      <c r="Q283" s="14"/>
      <c r="R283" s="14"/>
      <c r="T283" s="14"/>
      <c r="U283" s="14"/>
      <c r="W283" s="14"/>
      <c r="X283" s="14"/>
      <c r="AB283" s="14"/>
      <c r="AC283" s="14"/>
      <c r="AD283" s="14"/>
      <c r="AE283" s="14"/>
      <c r="AF283" s="14"/>
      <c r="AG283" s="134"/>
      <c r="AH283" s="7"/>
      <c r="AI283" s="7"/>
      <c r="AJ283" s="7"/>
      <c r="AK283" s="12"/>
      <c r="AL283" s="7"/>
      <c r="AM283" s="7"/>
    </row>
    <row r="284" spans="1:39" ht="13.5">
      <c r="A284" s="14"/>
      <c r="B284" s="148" t="s">
        <v>152</v>
      </c>
      <c r="C284" s="557">
        <f t="shared" si="89"/>
        <v>0.371</v>
      </c>
      <c r="D284" s="361"/>
      <c r="E284" s="14"/>
      <c r="F284" s="14"/>
      <c r="G284" s="14"/>
      <c r="H284" s="14"/>
      <c r="I284" s="14"/>
      <c r="J284" s="14"/>
      <c r="K284" s="14"/>
      <c r="L284" s="14"/>
      <c r="M284" s="14"/>
      <c r="N284" s="14"/>
      <c r="O284" s="14"/>
      <c r="P284" s="14"/>
      <c r="Q284" s="14"/>
      <c r="R284" s="14"/>
      <c r="T284" s="14"/>
      <c r="U284" s="14"/>
      <c r="W284" s="14"/>
      <c r="X284" s="14"/>
      <c r="AB284" s="14"/>
      <c r="AC284" s="14"/>
      <c r="AD284" s="14"/>
      <c r="AE284" s="14"/>
      <c r="AF284" s="14"/>
      <c r="AG284" s="134"/>
      <c r="AH284" s="7"/>
      <c r="AI284" s="7"/>
      <c r="AJ284" s="7"/>
      <c r="AK284" s="12"/>
      <c r="AL284" s="7"/>
      <c r="AM284" s="7"/>
    </row>
    <row r="285" spans="1:39" ht="13.5">
      <c r="A285" s="14"/>
      <c r="B285" s="148" t="s">
        <v>153</v>
      </c>
      <c r="C285" s="557" t="str">
        <f t="shared" si="89"/>
        <v>Off</v>
      </c>
      <c r="D285" s="362"/>
      <c r="E285" s="14"/>
      <c r="F285" s="14"/>
      <c r="G285" s="14"/>
      <c r="H285" s="14"/>
      <c r="I285" s="14"/>
      <c r="J285" s="14"/>
      <c r="K285" s="14"/>
      <c r="L285" s="14"/>
      <c r="M285" s="14"/>
      <c r="N285" s="14"/>
      <c r="O285" s="14"/>
      <c r="P285" s="14"/>
      <c r="Q285" s="14"/>
      <c r="R285" s="14"/>
      <c r="T285" s="14"/>
      <c r="U285" s="14"/>
      <c r="W285" s="14"/>
      <c r="X285" s="14"/>
      <c r="AB285" s="14"/>
      <c r="AC285" s="14"/>
      <c r="AD285" s="14"/>
      <c r="AE285" s="14"/>
      <c r="AF285" s="14"/>
      <c r="AG285" s="134"/>
      <c r="AH285" s="7"/>
      <c r="AI285" s="7"/>
      <c r="AJ285" s="7"/>
      <c r="AK285" s="12"/>
      <c r="AL285" s="7"/>
      <c r="AM285" s="7"/>
    </row>
    <row r="286" spans="1:39" ht="13.5">
      <c r="A286" s="14"/>
      <c r="B286" s="148" t="s">
        <v>154</v>
      </c>
      <c r="C286" s="557" t="str">
        <f t="shared" si="89"/>
        <v>Off</v>
      </c>
      <c r="D286" s="362"/>
      <c r="E286" s="14"/>
      <c r="F286" s="14"/>
      <c r="G286" s="14"/>
      <c r="H286" s="14"/>
      <c r="I286" s="14"/>
      <c r="J286" s="14"/>
      <c r="K286" s="14"/>
      <c r="L286" s="14"/>
      <c r="M286" s="14"/>
      <c r="N286" s="14"/>
      <c r="O286" s="14"/>
      <c r="P286" s="14"/>
      <c r="Q286" s="14"/>
      <c r="R286" s="14"/>
      <c r="T286" s="14"/>
      <c r="U286" s="14"/>
      <c r="W286" s="14"/>
      <c r="X286" s="14"/>
      <c r="AB286" s="14"/>
      <c r="AC286" s="14"/>
      <c r="AD286" s="14"/>
      <c r="AE286" s="14"/>
      <c r="AF286" s="14"/>
      <c r="AG286" s="134"/>
      <c r="AH286" s="7"/>
      <c r="AI286" s="7"/>
      <c r="AJ286" s="7"/>
      <c r="AK286" s="12"/>
      <c r="AL286" s="7"/>
      <c r="AM286" s="7"/>
    </row>
    <row r="287" spans="1:39" ht="13.5">
      <c r="A287" s="14"/>
      <c r="B287" s="148" t="s">
        <v>205</v>
      </c>
      <c r="C287" s="557">
        <f t="shared" si="89"/>
        <v>0.34899999999999998</v>
      </c>
      <c r="D287" s="359"/>
      <c r="E287" s="14"/>
      <c r="F287" s="14"/>
      <c r="G287" s="14"/>
      <c r="H287" s="14"/>
      <c r="I287" s="14"/>
      <c r="J287" s="14"/>
      <c r="K287" s="14"/>
      <c r="L287" s="14"/>
      <c r="M287" s="14"/>
      <c r="N287" s="14"/>
      <c r="O287" s="14"/>
      <c r="P287" s="14"/>
      <c r="Q287" s="14"/>
      <c r="R287" s="14"/>
      <c r="T287" s="14"/>
      <c r="U287" s="14"/>
      <c r="W287" s="14"/>
      <c r="X287" s="14"/>
      <c r="AB287" s="14"/>
      <c r="AC287" s="14"/>
      <c r="AD287" s="14"/>
      <c r="AE287" s="14"/>
      <c r="AF287" s="14"/>
      <c r="AG287" s="134"/>
      <c r="AH287" s="7"/>
      <c r="AI287" s="7"/>
      <c r="AJ287" s="7"/>
      <c r="AK287" s="12"/>
      <c r="AL287" s="7"/>
      <c r="AM287" s="7"/>
    </row>
    <row r="288" spans="1:39" ht="13.5">
      <c r="A288" s="14"/>
      <c r="B288" s="149" t="s">
        <v>178</v>
      </c>
      <c r="C288" s="158">
        <f t="shared" ref="C288:C297" si="90">IF(J121="","Off",J121)</f>
        <v>28</v>
      </c>
      <c r="D288" s="358"/>
      <c r="E288" s="14"/>
      <c r="F288" s="14"/>
      <c r="G288" s="14"/>
      <c r="H288" s="14"/>
      <c r="I288" s="14"/>
      <c r="J288" s="14"/>
      <c r="K288" s="14"/>
      <c r="L288" s="14"/>
      <c r="M288" s="14"/>
      <c r="N288" s="14"/>
      <c r="O288" s="14"/>
      <c r="P288" s="14"/>
      <c r="Q288" s="14"/>
      <c r="R288" s="14"/>
      <c r="T288" s="14"/>
      <c r="U288" s="14"/>
      <c r="W288" s="14"/>
      <c r="X288" s="14"/>
      <c r="AB288" s="14"/>
      <c r="AC288" s="14"/>
      <c r="AD288" s="14"/>
      <c r="AE288" s="14"/>
      <c r="AF288" s="14"/>
      <c r="AG288" s="134"/>
      <c r="AH288" s="7"/>
      <c r="AI288" s="7"/>
      <c r="AJ288" s="7"/>
      <c r="AK288" s="12"/>
      <c r="AL288" s="7"/>
      <c r="AM288" s="7"/>
    </row>
    <row r="289" spans="1:39" ht="13.5">
      <c r="A289" s="14"/>
      <c r="B289" s="149" t="s">
        <v>179</v>
      </c>
      <c r="C289" s="158">
        <f t="shared" si="90"/>
        <v>28</v>
      </c>
      <c r="D289" s="158"/>
      <c r="E289" s="14"/>
      <c r="F289" s="14"/>
      <c r="G289" s="14"/>
      <c r="H289" s="14"/>
      <c r="I289" s="14"/>
      <c r="J289" s="14"/>
      <c r="K289" s="14"/>
      <c r="L289" s="14"/>
      <c r="M289" s="14"/>
      <c r="N289" s="14"/>
      <c r="O289" s="14"/>
      <c r="P289" s="14"/>
      <c r="Q289" s="14"/>
      <c r="R289" s="14"/>
      <c r="T289" s="14"/>
      <c r="U289" s="14"/>
      <c r="W289" s="14"/>
      <c r="X289" s="14"/>
      <c r="AB289" s="14"/>
      <c r="AC289" s="14"/>
      <c r="AD289" s="14"/>
      <c r="AE289" s="14"/>
      <c r="AF289" s="14"/>
      <c r="AG289" s="134"/>
      <c r="AH289" s="7"/>
      <c r="AI289" s="7"/>
      <c r="AJ289" s="7"/>
      <c r="AK289" s="12"/>
      <c r="AL289" s="7"/>
      <c r="AM289" s="7"/>
    </row>
    <row r="290" spans="1:39" ht="13.5">
      <c r="A290" s="14"/>
      <c r="B290" s="149" t="s">
        <v>180</v>
      </c>
      <c r="C290" s="158" t="str">
        <f t="shared" si="90"/>
        <v>Off</v>
      </c>
      <c r="D290" s="158"/>
      <c r="E290" s="14"/>
      <c r="F290" s="14"/>
      <c r="G290" s="14"/>
      <c r="H290" s="14"/>
      <c r="I290" s="14"/>
      <c r="J290" s="14"/>
      <c r="K290" s="14"/>
      <c r="L290" s="14"/>
      <c r="M290" s="14"/>
      <c r="N290" s="14"/>
      <c r="O290" s="14"/>
      <c r="P290" s="14"/>
      <c r="Q290" s="14"/>
      <c r="R290" s="14"/>
      <c r="T290" s="14"/>
      <c r="U290" s="14"/>
      <c r="W290" s="14"/>
      <c r="X290" s="14"/>
      <c r="AB290" s="14"/>
      <c r="AC290" s="14"/>
      <c r="AD290" s="14"/>
      <c r="AE290" s="14"/>
      <c r="AF290" s="14"/>
      <c r="AG290" s="134"/>
      <c r="AH290" s="7"/>
      <c r="AI290" s="7"/>
      <c r="AJ290" s="7"/>
      <c r="AK290" s="12"/>
      <c r="AL290" s="7"/>
      <c r="AM290" s="7"/>
    </row>
    <row r="291" spans="1:39" ht="13.5">
      <c r="A291" s="14"/>
      <c r="B291" s="149" t="s">
        <v>181</v>
      </c>
      <c r="C291" s="158" t="str">
        <f t="shared" si="90"/>
        <v>Off</v>
      </c>
      <c r="D291" s="158"/>
      <c r="E291" s="14"/>
      <c r="F291" s="14"/>
      <c r="G291" s="14"/>
      <c r="H291" s="14"/>
      <c r="I291" s="14"/>
      <c r="J291" s="14"/>
      <c r="K291" s="14"/>
      <c r="L291" s="14"/>
      <c r="M291" s="14"/>
      <c r="N291" s="14"/>
      <c r="O291" s="14"/>
      <c r="P291" s="14"/>
      <c r="Q291" s="14"/>
      <c r="R291" s="14"/>
      <c r="T291" s="14"/>
      <c r="U291" s="14"/>
      <c r="W291" s="14"/>
      <c r="X291" s="14"/>
      <c r="AB291" s="14"/>
      <c r="AC291" s="14"/>
      <c r="AD291" s="14"/>
      <c r="AE291" s="14"/>
      <c r="AF291" s="14"/>
      <c r="AG291" s="134"/>
      <c r="AH291" s="7"/>
      <c r="AI291" s="7"/>
      <c r="AJ291" s="7"/>
      <c r="AK291" s="12"/>
      <c r="AL291" s="7"/>
      <c r="AM291" s="7"/>
    </row>
    <row r="292" spans="1:39" ht="13.5">
      <c r="A292" s="14"/>
      <c r="B292" s="149" t="s">
        <v>182</v>
      </c>
      <c r="C292" s="158">
        <f t="shared" si="90"/>
        <v>428</v>
      </c>
      <c r="D292" s="158"/>
      <c r="E292" s="14"/>
      <c r="F292" s="14"/>
      <c r="G292" s="14"/>
      <c r="H292" s="14"/>
      <c r="I292" s="14"/>
      <c r="J292" s="14"/>
      <c r="K292" s="14"/>
      <c r="L292" s="14"/>
      <c r="M292" s="14"/>
      <c r="N292" s="14"/>
      <c r="O292" s="14"/>
      <c r="P292" s="14"/>
      <c r="Q292" s="14"/>
      <c r="R292" s="14"/>
      <c r="T292" s="14"/>
      <c r="U292" s="14"/>
      <c r="W292" s="14"/>
      <c r="X292" s="14"/>
      <c r="AB292" s="14"/>
      <c r="AC292" s="14"/>
      <c r="AD292" s="14"/>
      <c r="AE292" s="14"/>
      <c r="AF292" s="14"/>
      <c r="AG292" s="134"/>
      <c r="AH292" s="7"/>
      <c r="AI292" s="7"/>
      <c r="AJ292" s="7"/>
      <c r="AK292" s="12"/>
      <c r="AL292" s="7"/>
      <c r="AM292" s="7"/>
    </row>
    <row r="293" spans="1:39" ht="13.5">
      <c r="A293" s="14"/>
      <c r="B293" s="149" t="s">
        <v>183</v>
      </c>
      <c r="C293" s="158">
        <f t="shared" si="90"/>
        <v>428</v>
      </c>
      <c r="D293" s="158"/>
      <c r="E293" s="14"/>
      <c r="F293" s="14"/>
      <c r="G293" s="14"/>
      <c r="H293" s="14"/>
      <c r="I293" s="14"/>
      <c r="J293" s="14"/>
      <c r="K293" s="14"/>
      <c r="L293" s="14"/>
      <c r="M293" s="14"/>
      <c r="N293" s="14"/>
      <c r="O293" s="14"/>
      <c r="P293" s="14"/>
      <c r="Q293" s="14"/>
      <c r="R293" s="14"/>
      <c r="T293" s="14"/>
      <c r="U293" s="14"/>
      <c r="W293" s="14"/>
      <c r="X293" s="14"/>
      <c r="AB293" s="14"/>
      <c r="AC293" s="14"/>
      <c r="AD293" s="14"/>
      <c r="AE293" s="14"/>
      <c r="AF293" s="14"/>
      <c r="AG293" s="134"/>
      <c r="AH293" s="7"/>
      <c r="AI293" s="7"/>
      <c r="AJ293" s="7"/>
      <c r="AK293" s="12"/>
      <c r="AL293" s="7"/>
      <c r="AM293" s="7"/>
    </row>
    <row r="294" spans="1:39" ht="13.5">
      <c r="A294" s="14"/>
      <c r="B294" s="149" t="s">
        <v>184</v>
      </c>
      <c r="C294" s="158">
        <f t="shared" si="90"/>
        <v>4528</v>
      </c>
      <c r="D294" s="158"/>
      <c r="E294" s="14"/>
      <c r="F294" s="14"/>
      <c r="G294" s="14"/>
      <c r="H294" s="14"/>
      <c r="I294" s="14"/>
      <c r="J294" s="14"/>
      <c r="K294" s="14"/>
      <c r="L294" s="14"/>
      <c r="M294" s="14"/>
      <c r="N294" s="14"/>
      <c r="O294" s="14"/>
      <c r="P294" s="14"/>
      <c r="Q294" s="14"/>
      <c r="R294" s="14"/>
      <c r="T294" s="14"/>
      <c r="U294" s="14"/>
      <c r="W294" s="14"/>
      <c r="X294" s="14"/>
      <c r="AB294" s="14"/>
      <c r="AC294" s="14"/>
      <c r="AD294" s="14"/>
      <c r="AE294" s="14"/>
      <c r="AF294" s="14"/>
      <c r="AG294" s="134"/>
      <c r="AH294" s="7"/>
      <c r="AI294" s="7"/>
      <c r="AJ294" s="7"/>
      <c r="AK294" s="12"/>
      <c r="AL294" s="7"/>
      <c r="AM294" s="7"/>
    </row>
    <row r="295" spans="1:39" ht="13.5">
      <c r="A295" s="14"/>
      <c r="B295" s="149" t="s">
        <v>185</v>
      </c>
      <c r="C295" s="158">
        <f t="shared" si="90"/>
        <v>4528</v>
      </c>
      <c r="D295" s="158"/>
      <c r="E295" s="14"/>
      <c r="F295" s="14"/>
      <c r="G295" s="14"/>
      <c r="H295" s="14"/>
      <c r="I295" s="14"/>
      <c r="J295" s="14"/>
      <c r="K295" s="14"/>
      <c r="L295" s="14"/>
      <c r="M295" s="14"/>
      <c r="N295" s="14"/>
      <c r="O295" s="14"/>
      <c r="P295" s="14"/>
      <c r="Q295" s="14"/>
      <c r="R295" s="14"/>
      <c r="T295" s="14"/>
      <c r="U295" s="14"/>
      <c r="W295" s="14"/>
      <c r="X295" s="14"/>
      <c r="AB295" s="14"/>
      <c r="AC295" s="14"/>
      <c r="AD295" s="14"/>
      <c r="AE295" s="14"/>
      <c r="AF295" s="14"/>
      <c r="AG295" s="134"/>
      <c r="AH295" s="7"/>
      <c r="AI295" s="7"/>
      <c r="AJ295" s="7"/>
      <c r="AK295" s="12"/>
      <c r="AL295" s="7"/>
      <c r="AM295" s="7"/>
    </row>
    <row r="296" spans="1:39" ht="13.5">
      <c r="A296" s="14"/>
      <c r="B296" s="149" t="s">
        <v>186</v>
      </c>
      <c r="C296" s="158" t="str">
        <f t="shared" si="90"/>
        <v>Off</v>
      </c>
      <c r="D296" s="158"/>
      <c r="E296" s="14"/>
      <c r="F296" s="14"/>
      <c r="G296" s="14"/>
      <c r="H296" s="14"/>
      <c r="I296" s="14"/>
      <c r="J296" s="14"/>
      <c r="K296" s="14"/>
      <c r="L296" s="14"/>
      <c r="M296" s="14"/>
      <c r="N296" s="14"/>
      <c r="O296" s="14"/>
      <c r="P296" s="14"/>
      <c r="Q296" s="14"/>
      <c r="R296" s="14"/>
      <c r="T296" s="14"/>
      <c r="U296" s="14"/>
      <c r="W296" s="14"/>
      <c r="X296" s="14"/>
      <c r="AB296" s="14"/>
      <c r="AC296" s="14"/>
      <c r="AD296" s="14"/>
      <c r="AE296" s="14"/>
      <c r="AF296" s="14"/>
      <c r="AG296" s="134"/>
      <c r="AH296" s="7"/>
      <c r="AI296" s="7"/>
      <c r="AJ296" s="7"/>
      <c r="AK296" s="12"/>
      <c r="AL296" s="7"/>
      <c r="AM296" s="7"/>
    </row>
    <row r="297" spans="1:39" ht="13.5">
      <c r="A297" s="14"/>
      <c r="B297" s="149" t="s">
        <v>187</v>
      </c>
      <c r="C297" s="158" t="str">
        <f t="shared" si="90"/>
        <v>Off</v>
      </c>
      <c r="D297" s="158"/>
      <c r="E297" s="14"/>
      <c r="F297" s="14"/>
      <c r="G297" s="14"/>
      <c r="H297" s="14"/>
      <c r="I297" s="14"/>
      <c r="J297" s="14"/>
      <c r="K297" s="14"/>
      <c r="L297" s="14"/>
      <c r="M297" s="14"/>
      <c r="N297" s="14"/>
      <c r="O297" s="14"/>
      <c r="P297" s="14"/>
      <c r="Q297" s="14"/>
      <c r="R297" s="14"/>
      <c r="T297" s="14"/>
      <c r="U297" s="14"/>
      <c r="W297" s="14"/>
      <c r="X297" s="14"/>
      <c r="AB297" s="14"/>
      <c r="AC297" s="14"/>
      <c r="AD297" s="14"/>
      <c r="AE297" s="14"/>
      <c r="AF297" s="14"/>
      <c r="AG297" s="134"/>
      <c r="AH297" s="7"/>
      <c r="AI297" s="7"/>
      <c r="AJ297" s="7"/>
      <c r="AK297" s="12"/>
      <c r="AL297" s="7"/>
      <c r="AM297" s="7"/>
    </row>
    <row r="298" spans="1:39" ht="13.5">
      <c r="A298" s="14"/>
      <c r="B298" s="150" t="s">
        <v>155</v>
      </c>
      <c r="C298" s="558">
        <f>IF(I135="","Off",ROUND(I135,Rnd_E_Rev))</f>
        <v>6</v>
      </c>
      <c r="D298" s="160"/>
      <c r="E298" s="14"/>
      <c r="F298" s="14"/>
      <c r="G298" s="14"/>
      <c r="H298" s="14"/>
      <c r="I298" s="14"/>
      <c r="J298" s="14"/>
      <c r="K298" s="14"/>
      <c r="L298" s="14"/>
      <c r="M298" s="14"/>
      <c r="N298" s="14"/>
      <c r="O298" s="14"/>
      <c r="P298" s="14"/>
      <c r="Q298" s="14"/>
      <c r="R298" s="14"/>
      <c r="T298" s="14"/>
      <c r="U298" s="14"/>
      <c r="W298" s="14"/>
      <c r="X298" s="14"/>
      <c r="AB298" s="14"/>
      <c r="AC298" s="14"/>
      <c r="AD298" s="14"/>
      <c r="AE298" s="14"/>
      <c r="AF298" s="14"/>
      <c r="AG298" s="134"/>
      <c r="AH298" s="7"/>
      <c r="AI298" s="7"/>
      <c r="AJ298" s="7"/>
      <c r="AK298" s="12"/>
      <c r="AL298" s="7"/>
      <c r="AM298" s="7"/>
    </row>
    <row r="299" spans="1:39" ht="13.5">
      <c r="A299" s="14"/>
      <c r="B299" s="150" t="s">
        <v>156</v>
      </c>
      <c r="C299" s="558">
        <f>IF(I136="","Off",ROUND(I136,Rnd_E_Rev))</f>
        <v>1.385</v>
      </c>
      <c r="D299" s="160"/>
      <c r="E299" s="14"/>
      <c r="F299" s="14"/>
      <c r="G299" s="14"/>
      <c r="H299" s="14"/>
      <c r="I299" s="14"/>
      <c r="J299" s="14"/>
      <c r="K299" s="14"/>
      <c r="L299" s="14"/>
      <c r="M299" s="14"/>
      <c r="N299" s="14"/>
      <c r="O299" s="14"/>
      <c r="P299" s="14"/>
      <c r="Q299" s="14"/>
      <c r="R299" s="14"/>
      <c r="T299" s="14"/>
      <c r="U299" s="14"/>
      <c r="W299" s="14"/>
      <c r="X299" s="14"/>
      <c r="AB299" s="14"/>
      <c r="AC299" s="14"/>
      <c r="AD299" s="14"/>
      <c r="AE299" s="14"/>
      <c r="AF299" s="14"/>
      <c r="AG299" s="134"/>
      <c r="AH299" s="7"/>
      <c r="AI299" s="7"/>
      <c r="AJ299" s="7"/>
      <c r="AK299" s="12"/>
      <c r="AL299" s="7"/>
      <c r="AM299" s="7"/>
    </row>
    <row r="300" spans="1:39" ht="13.5">
      <c r="A300" s="14"/>
      <c r="B300" s="150" t="s">
        <v>157</v>
      </c>
      <c r="C300" s="558">
        <f>IF(I137="","Off",ROUND(I137,Rnd_E_Rev))</f>
        <v>1.3029999999999999</v>
      </c>
      <c r="D300" s="160"/>
      <c r="E300" s="14"/>
      <c r="F300" s="14"/>
      <c r="G300" s="14"/>
      <c r="H300" s="14"/>
      <c r="I300" s="14"/>
      <c r="J300" s="14"/>
      <c r="K300" s="14"/>
      <c r="L300" s="14"/>
      <c r="M300" s="14"/>
      <c r="N300" s="14"/>
      <c r="O300" s="14"/>
      <c r="P300" s="14"/>
      <c r="Q300" s="14"/>
      <c r="R300" s="14"/>
      <c r="T300" s="14"/>
      <c r="U300" s="14"/>
      <c r="W300" s="14"/>
      <c r="X300" s="14"/>
      <c r="AB300" s="14"/>
      <c r="AC300" s="14"/>
      <c r="AD300" s="14"/>
      <c r="AE300" s="14"/>
      <c r="AF300" s="14"/>
      <c r="AG300" s="134"/>
      <c r="AH300" s="7"/>
      <c r="AI300" s="7"/>
      <c r="AJ300" s="7"/>
      <c r="AK300" s="12"/>
      <c r="AL300" s="7"/>
      <c r="AM300" s="7"/>
    </row>
    <row r="301" spans="1:39" ht="13.5">
      <c r="A301" s="14"/>
      <c r="B301" s="150" t="s">
        <v>158</v>
      </c>
      <c r="C301" s="558">
        <f>IF(I138="","Off",ROUND(I138,Rnd_E_Rev))</f>
        <v>0.371</v>
      </c>
      <c r="D301" s="160"/>
      <c r="E301" s="14"/>
      <c r="F301" s="14"/>
      <c r="G301" s="14"/>
      <c r="H301" s="14"/>
      <c r="I301" s="14"/>
      <c r="J301" s="14"/>
      <c r="K301" s="14"/>
      <c r="L301" s="14"/>
      <c r="M301" s="14"/>
      <c r="N301" s="14"/>
      <c r="O301" s="14"/>
      <c r="P301" s="14"/>
      <c r="Q301" s="14"/>
      <c r="R301" s="14"/>
      <c r="T301" s="14"/>
      <c r="U301" s="14"/>
      <c r="W301" s="14"/>
      <c r="X301" s="14"/>
      <c r="AB301" s="14"/>
      <c r="AC301" s="14"/>
      <c r="AD301" s="14"/>
      <c r="AE301" s="14"/>
      <c r="AF301" s="14"/>
      <c r="AG301" s="134"/>
      <c r="AH301" s="7"/>
      <c r="AI301" s="7"/>
      <c r="AJ301" s="7"/>
      <c r="AK301" s="12"/>
      <c r="AL301" s="7"/>
      <c r="AM301" s="7"/>
    </row>
    <row r="302" spans="1:39" ht="13.5">
      <c r="A302" s="14"/>
      <c r="B302" s="150" t="s">
        <v>159</v>
      </c>
      <c r="C302" s="558">
        <f>IF(I139="","Off",ROUND(I139,Rnd_E_Rev))</f>
        <v>0.34899999999999998</v>
      </c>
      <c r="D302" s="160"/>
      <c r="E302" s="14"/>
      <c r="F302" s="14"/>
      <c r="G302" s="14"/>
      <c r="H302" s="14"/>
      <c r="I302" s="14"/>
      <c r="J302" s="14"/>
      <c r="K302" s="14"/>
      <c r="L302" s="14"/>
      <c r="M302" s="14"/>
      <c r="N302" s="14"/>
      <c r="O302" s="14"/>
      <c r="P302" s="14"/>
      <c r="Q302" s="14"/>
      <c r="R302" s="14"/>
      <c r="T302" s="14"/>
      <c r="U302" s="14"/>
      <c r="W302" s="14"/>
      <c r="X302" s="14"/>
      <c r="AB302" s="14"/>
      <c r="AC302" s="14"/>
      <c r="AD302" s="14"/>
      <c r="AE302" s="14"/>
      <c r="AF302" s="14"/>
      <c r="AG302" s="134"/>
      <c r="AH302" s="7"/>
      <c r="AI302" s="7"/>
      <c r="AJ302" s="7"/>
      <c r="AK302" s="12"/>
      <c r="AL302" s="7"/>
      <c r="AM302" s="7"/>
    </row>
    <row r="303" spans="1:39" ht="13.5">
      <c r="A303" s="14"/>
      <c r="B303" s="150" t="s">
        <v>174</v>
      </c>
      <c r="C303" s="159">
        <f>IF(J135="","Off",J135)</f>
        <v>528</v>
      </c>
      <c r="D303" s="159"/>
      <c r="H303" s="14"/>
      <c r="I303" s="14"/>
      <c r="J303" s="14"/>
      <c r="K303" s="14"/>
      <c r="L303" s="14"/>
      <c r="M303" s="14"/>
      <c r="N303" s="14"/>
      <c r="O303" s="14"/>
      <c r="P303" s="14"/>
      <c r="Q303" s="14"/>
      <c r="R303" s="14"/>
      <c r="T303" s="14"/>
      <c r="U303" s="14"/>
      <c r="W303" s="14"/>
      <c r="X303" s="14"/>
      <c r="AB303" s="14"/>
      <c r="AC303" s="14"/>
      <c r="AD303" s="14"/>
      <c r="AE303" s="14"/>
      <c r="AF303" s="14"/>
      <c r="AG303" s="134"/>
      <c r="AH303" s="7"/>
      <c r="AI303" s="7"/>
      <c r="AJ303" s="7"/>
      <c r="AK303" s="12"/>
      <c r="AL303" s="7"/>
      <c r="AM303" s="7"/>
    </row>
    <row r="304" spans="1:39" ht="13.5">
      <c r="A304" s="14"/>
      <c r="B304" s="150" t="s">
        <v>175</v>
      </c>
      <c r="C304" s="159">
        <f>IF(J136="","Off",J136)</f>
        <v>528</v>
      </c>
      <c r="D304" s="159"/>
      <c r="I304" s="14"/>
      <c r="J304" s="14"/>
      <c r="K304" s="14"/>
      <c r="L304" s="14"/>
      <c r="M304" s="14"/>
      <c r="N304" s="14"/>
      <c r="O304" s="14"/>
      <c r="P304" s="14"/>
      <c r="Q304" s="14"/>
      <c r="R304" s="14"/>
      <c r="T304" s="14"/>
      <c r="U304" s="14"/>
      <c r="W304" s="14"/>
      <c r="X304" s="14"/>
      <c r="AB304" s="14"/>
      <c r="AC304" s="14"/>
      <c r="AD304" s="14"/>
      <c r="AE304" s="14"/>
      <c r="AF304" s="14"/>
      <c r="AG304" s="134"/>
      <c r="AH304" s="7"/>
      <c r="AI304" s="7"/>
      <c r="AJ304" s="7"/>
      <c r="AK304" s="12"/>
      <c r="AL304" s="7"/>
      <c r="AM304" s="7"/>
    </row>
    <row r="305" spans="1:39" ht="13.5">
      <c r="A305" s="14"/>
      <c r="B305" s="150" t="s">
        <v>176</v>
      </c>
      <c r="C305" s="159">
        <f>IF(J137="","Off",J137)</f>
        <v>1128</v>
      </c>
      <c r="D305" s="159"/>
      <c r="I305" s="14"/>
      <c r="J305" s="14"/>
      <c r="K305" s="14"/>
      <c r="L305" s="14"/>
      <c r="M305" s="14"/>
      <c r="N305" s="14"/>
      <c r="O305" s="14"/>
      <c r="P305" s="14"/>
      <c r="Q305" s="14"/>
      <c r="R305" s="14"/>
      <c r="T305" s="14"/>
      <c r="U305" s="14"/>
      <c r="W305" s="14"/>
      <c r="X305" s="14"/>
      <c r="AB305" s="14"/>
      <c r="AC305" s="14"/>
      <c r="AD305" s="14"/>
      <c r="AE305" s="14"/>
      <c r="AF305" s="14"/>
      <c r="AG305" s="134"/>
      <c r="AH305" s="7"/>
      <c r="AI305" s="7"/>
      <c r="AJ305" s="7"/>
      <c r="AK305" s="12"/>
      <c r="AL305" s="7"/>
      <c r="AM305" s="7"/>
    </row>
    <row r="306" spans="1:39" ht="13.5">
      <c r="A306" s="14"/>
      <c r="B306" s="150" t="s">
        <v>177</v>
      </c>
      <c r="C306" s="159">
        <f>IF(J138="","Off",J138)</f>
        <v>1128</v>
      </c>
      <c r="D306" s="159"/>
      <c r="H306" s="14"/>
      <c r="I306" s="14"/>
      <c r="J306" s="14"/>
      <c r="K306" s="14"/>
      <c r="L306" s="14"/>
      <c r="M306" s="14"/>
      <c r="N306" s="14"/>
      <c r="O306" s="14"/>
      <c r="P306" s="14"/>
      <c r="Q306" s="14"/>
      <c r="R306" s="14"/>
      <c r="T306" s="14"/>
      <c r="U306" s="14"/>
      <c r="W306" s="14"/>
      <c r="X306" s="14"/>
      <c r="AB306" s="14"/>
      <c r="AC306" s="14"/>
      <c r="AD306" s="14"/>
      <c r="AE306" s="14"/>
      <c r="AF306" s="14"/>
      <c r="AG306" s="134"/>
      <c r="AH306" s="7"/>
      <c r="AI306" s="7"/>
      <c r="AJ306" s="7"/>
      <c r="AK306" s="12"/>
      <c r="AL306" s="7"/>
      <c r="AM306" s="7"/>
    </row>
    <row r="307" spans="1:39" ht="13.5">
      <c r="A307" s="14"/>
      <c r="B307" s="152" t="s">
        <v>690</v>
      </c>
      <c r="C307" s="325">
        <f>IF(TestVZ1E&lt;0.002,"OFF",ROUND($C$315/D$37*(1+Delta_I),2))</f>
        <v>0.42</v>
      </c>
      <c r="D307" s="325" t="s">
        <v>694</v>
      </c>
      <c r="H307" s="14"/>
      <c r="I307" s="14"/>
      <c r="J307" s="14"/>
      <c r="K307" s="14"/>
      <c r="L307" s="14"/>
      <c r="M307" s="14"/>
      <c r="N307" s="14"/>
      <c r="O307" s="14"/>
      <c r="P307" s="14"/>
      <c r="Q307" s="14"/>
      <c r="R307" s="14"/>
      <c r="T307" s="14"/>
      <c r="U307" s="14"/>
      <c r="W307" s="14"/>
      <c r="X307" s="14"/>
      <c r="AB307" s="14"/>
      <c r="AC307" s="14"/>
      <c r="AD307" s="14"/>
      <c r="AE307" s="14"/>
      <c r="AF307" s="14"/>
      <c r="AG307" s="134"/>
      <c r="AH307" s="7"/>
      <c r="AI307" s="7"/>
      <c r="AJ307" s="7"/>
      <c r="AK307" s="12"/>
      <c r="AL307" s="7"/>
      <c r="AM307" s="7"/>
    </row>
    <row r="308" spans="1:39" ht="13.5">
      <c r="A308" s="14"/>
      <c r="B308" s="152" t="s">
        <v>691</v>
      </c>
      <c r="C308" s="325">
        <f>IF(TestVZ2E&lt;0.002,"OFF",ROUND($C$315/J$37*(1+Delta_I),2))</f>
        <v>0.27</v>
      </c>
      <c r="D308" s="325" t="s">
        <v>720</v>
      </c>
      <c r="H308" s="14"/>
      <c r="I308" s="14"/>
      <c r="J308" s="14"/>
      <c r="K308" s="14"/>
      <c r="L308" s="14"/>
      <c r="M308" s="14"/>
      <c r="N308" s="14"/>
      <c r="O308" s="14"/>
      <c r="P308" s="14"/>
      <c r="Q308" s="14"/>
      <c r="R308" s="14"/>
      <c r="T308" s="14"/>
      <c r="U308" s="14"/>
      <c r="W308" s="14"/>
      <c r="X308" s="14"/>
      <c r="AB308" s="14"/>
      <c r="AC308" s="14"/>
      <c r="AD308" s="14"/>
      <c r="AE308" s="14"/>
      <c r="AF308" s="14"/>
      <c r="AG308" s="134"/>
      <c r="AH308" s="7"/>
      <c r="AI308" s="7"/>
      <c r="AJ308" s="7"/>
      <c r="AK308" s="12"/>
      <c r="AL308" s="7"/>
      <c r="AM308" s="7"/>
    </row>
    <row r="309" spans="1:39" ht="13.5">
      <c r="A309" s="14"/>
      <c r="B309" s="152" t="s">
        <v>692</v>
      </c>
      <c r="C309" s="325">
        <f>IF(TestVZ3E&lt;0.002,"OFF",ROUND($C$315/M$37*(1+Delta_I),2))</f>
        <v>0.27</v>
      </c>
      <c r="D309" s="325"/>
      <c r="H309" s="14"/>
      <c r="I309" s="14"/>
      <c r="J309" s="14"/>
      <c r="K309" s="14"/>
      <c r="L309" s="14"/>
      <c r="M309" s="14"/>
      <c r="N309" s="14"/>
      <c r="O309" s="14"/>
      <c r="P309" s="14"/>
      <c r="Q309" s="14"/>
      <c r="R309" s="14"/>
      <c r="T309" s="14"/>
      <c r="U309" s="14"/>
      <c r="W309" s="14"/>
      <c r="X309" s="14"/>
      <c r="AB309" s="14"/>
      <c r="AC309" s="14"/>
      <c r="AD309" s="14"/>
      <c r="AE309" s="14"/>
      <c r="AF309" s="14"/>
      <c r="AG309" s="134"/>
      <c r="AH309" s="7"/>
      <c r="AI309" s="7"/>
      <c r="AJ309" s="7"/>
      <c r="AK309" s="12"/>
      <c r="AL309" s="7"/>
      <c r="AM309" s="7"/>
    </row>
    <row r="310" spans="1:39" ht="13.5">
      <c r="A310" s="14"/>
      <c r="B310" s="152" t="s">
        <v>693</v>
      </c>
      <c r="C310" s="325">
        <f>IF(TestVZ4E&lt;0.002,"OFF",ROUND($C$315/P$37*(1+Delta_I),2))</f>
        <v>1.2</v>
      </c>
      <c r="D310" s="325"/>
      <c r="H310" s="14"/>
      <c r="I310" s="14"/>
      <c r="J310" s="14"/>
      <c r="K310" s="14"/>
      <c r="L310" s="14"/>
      <c r="M310" s="14"/>
      <c r="N310" s="14"/>
      <c r="O310" s="14"/>
      <c r="P310" s="14"/>
      <c r="Q310" s="14"/>
      <c r="R310" s="14"/>
      <c r="T310" s="14"/>
      <c r="U310" s="14"/>
      <c r="W310" s="14"/>
      <c r="X310" s="14"/>
      <c r="AB310" s="14"/>
      <c r="AC310" s="14"/>
      <c r="AD310" s="14"/>
      <c r="AE310" s="14"/>
      <c r="AF310" s="14"/>
      <c r="AG310" s="134"/>
      <c r="AH310" s="7"/>
      <c r="AI310" s="7"/>
      <c r="AJ310" s="7"/>
      <c r="AK310" s="12"/>
      <c r="AL310" s="7"/>
      <c r="AM310" s="7"/>
    </row>
    <row r="311" spans="1:39" ht="13.5">
      <c r="A311" s="14"/>
      <c r="B311" s="420" t="s">
        <v>617</v>
      </c>
      <c r="C311" s="419">
        <f>Vh_e</f>
        <v>63.51</v>
      </c>
      <c r="D311" s="420"/>
      <c r="H311" s="14"/>
      <c r="I311" s="14"/>
      <c r="J311" s="14"/>
      <c r="K311" s="14"/>
      <c r="L311" s="14"/>
      <c r="M311" s="14"/>
      <c r="N311" s="14"/>
      <c r="O311" s="14"/>
      <c r="P311" s="14"/>
      <c r="Q311" s="14"/>
      <c r="R311" s="14"/>
      <c r="T311" s="14"/>
      <c r="U311" s="14"/>
      <c r="W311" s="14"/>
      <c r="X311" s="14"/>
      <c r="AB311" s="14"/>
      <c r="AC311" s="14"/>
      <c r="AD311" s="14"/>
      <c r="AE311" s="14"/>
      <c r="AF311" s="14"/>
      <c r="AG311" s="134"/>
      <c r="AH311" s="7"/>
      <c r="AI311" s="7"/>
      <c r="AJ311" s="7"/>
      <c r="AK311" s="12"/>
      <c r="AL311" s="7"/>
      <c r="AM311" s="7"/>
    </row>
    <row r="312" spans="1:39" ht="13.5">
      <c r="A312" s="14"/>
      <c r="B312" s="420" t="s">
        <v>618</v>
      </c>
      <c r="C312" s="421">
        <f>Vh_e_Ang</f>
        <v>120</v>
      </c>
      <c r="D312" s="420"/>
      <c r="H312" s="14"/>
      <c r="I312" s="14"/>
      <c r="J312" s="14"/>
      <c r="K312" s="14"/>
      <c r="L312" s="14"/>
      <c r="M312" s="14"/>
      <c r="N312" s="14"/>
      <c r="O312" s="14"/>
      <c r="P312" s="14"/>
      <c r="Q312" s="14"/>
      <c r="R312" s="14"/>
      <c r="T312" s="14"/>
      <c r="U312" s="14"/>
      <c r="W312" s="14"/>
      <c r="X312" s="14"/>
      <c r="AB312" s="14"/>
      <c r="AC312" s="14"/>
      <c r="AD312" s="14"/>
      <c r="AE312" s="14"/>
      <c r="AF312" s="14"/>
      <c r="AG312" s="134"/>
      <c r="AH312" s="7"/>
      <c r="AI312" s="7"/>
      <c r="AJ312" s="7"/>
      <c r="AK312" s="12"/>
      <c r="AL312" s="7"/>
      <c r="AM312" s="7"/>
    </row>
    <row r="313" spans="1:39" ht="13.5">
      <c r="A313" s="14"/>
      <c r="B313" s="418" t="s">
        <v>619</v>
      </c>
      <c r="C313" s="422">
        <f>Rev_Vh_e</f>
        <v>63.510392609699778</v>
      </c>
      <c r="D313" s="418"/>
      <c r="H313" s="14"/>
      <c r="I313" s="14"/>
      <c r="J313" s="14"/>
      <c r="K313" s="14"/>
      <c r="L313" s="14"/>
      <c r="M313" s="14"/>
      <c r="N313" s="14"/>
      <c r="O313" s="14"/>
      <c r="P313" s="14"/>
      <c r="Q313" s="14"/>
      <c r="R313" s="14"/>
      <c r="T313" s="14"/>
      <c r="U313" s="14"/>
      <c r="W313" s="14"/>
      <c r="X313" s="14"/>
      <c r="AB313" s="14"/>
      <c r="AC313" s="14"/>
      <c r="AD313" s="14"/>
      <c r="AE313" s="14"/>
      <c r="AF313" s="14"/>
      <c r="AG313" s="134"/>
      <c r="AH313" s="7"/>
      <c r="AI313" s="7"/>
      <c r="AJ313" s="7"/>
      <c r="AK313" s="12"/>
      <c r="AL313" s="7"/>
      <c r="AM313" s="7"/>
    </row>
    <row r="314" spans="1:39" ht="13.5">
      <c r="A314" s="14"/>
      <c r="B314" s="418" t="s">
        <v>620</v>
      </c>
      <c r="C314" s="423">
        <f>Rev_Vh_e_Ang</f>
        <v>120</v>
      </c>
      <c r="D314" s="418"/>
      <c r="H314" s="14"/>
      <c r="I314" s="14"/>
      <c r="J314" s="14"/>
      <c r="K314" s="14"/>
      <c r="L314" s="14"/>
      <c r="M314" s="14"/>
      <c r="N314" s="14"/>
      <c r="O314" s="14"/>
      <c r="P314" s="14"/>
      <c r="Q314" s="14"/>
      <c r="R314" s="14"/>
      <c r="T314" s="14"/>
      <c r="U314" s="14"/>
      <c r="W314" s="14"/>
      <c r="X314" s="14"/>
      <c r="AB314" s="14"/>
      <c r="AC314" s="14"/>
      <c r="AD314" s="14"/>
      <c r="AE314" s="14"/>
      <c r="AF314" s="14"/>
      <c r="AG314" s="134"/>
      <c r="AH314" s="7"/>
      <c r="AI314" s="7"/>
      <c r="AJ314" s="7"/>
      <c r="AK314" s="12"/>
      <c r="AL314" s="7"/>
      <c r="AM314" s="7"/>
    </row>
    <row r="315" spans="1:39" ht="13.5">
      <c r="A315" s="14"/>
      <c r="B315" s="420" t="s">
        <v>689</v>
      </c>
      <c r="C315" s="421">
        <f>AQ78</f>
        <v>26.400000000000002</v>
      </c>
      <c r="D315" s="420"/>
      <c r="H315" s="14"/>
      <c r="I315" s="14"/>
      <c r="J315" s="14"/>
      <c r="K315" s="14"/>
      <c r="L315" s="14"/>
      <c r="M315" s="14"/>
      <c r="N315" s="14"/>
      <c r="O315" s="14"/>
      <c r="P315" s="14"/>
      <c r="Q315" s="14"/>
      <c r="R315" s="14"/>
      <c r="T315" s="14"/>
      <c r="U315" s="14"/>
      <c r="W315" s="14"/>
      <c r="X315" s="14"/>
      <c r="AB315" s="14"/>
      <c r="AC315" s="14"/>
      <c r="AD315" s="14"/>
      <c r="AE315" s="14"/>
      <c r="AF315" s="14"/>
      <c r="AG315" s="134"/>
      <c r="AH315" s="7"/>
      <c r="AI315" s="7"/>
      <c r="AJ315" s="7"/>
      <c r="AK315" s="12"/>
      <c r="AL315" s="7"/>
      <c r="AM315" s="7"/>
    </row>
    <row r="316" spans="1:39" ht="13.5">
      <c r="A316" s="14"/>
      <c r="B316" s="147" t="s">
        <v>1001</v>
      </c>
      <c r="C316" s="161">
        <f>IF(Em_OC=Settings!$AA$22,"No Test",D160)</f>
        <v>1028</v>
      </c>
      <c r="D316" s="161">
        <f>IF(MAX(C160:C163)&gt;15,2,3)</f>
        <v>3</v>
      </c>
      <c r="H316" s="14"/>
      <c r="I316" s="14"/>
      <c r="J316" s="14"/>
      <c r="K316" s="14"/>
      <c r="L316" s="14"/>
      <c r="M316" s="14"/>
      <c r="N316" s="14"/>
      <c r="O316" s="14"/>
      <c r="P316" s="14"/>
      <c r="Q316" s="14"/>
      <c r="R316" s="14"/>
      <c r="T316" s="14"/>
      <c r="U316" s="14"/>
      <c r="W316" s="14"/>
      <c r="X316" s="14"/>
      <c r="AB316" s="14"/>
      <c r="AC316" s="14"/>
      <c r="AD316" s="14"/>
      <c r="AE316" s="14"/>
      <c r="AF316" s="14"/>
      <c r="AG316" s="134"/>
      <c r="AH316" s="7"/>
      <c r="AI316" s="7"/>
      <c r="AJ316" s="7"/>
      <c r="AK316" s="12"/>
      <c r="AL316" s="7"/>
      <c r="AM316" s="7"/>
    </row>
    <row r="317" spans="1:39" ht="13.5">
      <c r="A317" s="14"/>
      <c r="B317" s="147" t="s">
        <v>194</v>
      </c>
      <c r="C317" s="261">
        <f>IF(Em_OC=Settings!$AA$22,"No Test",ROUND(C160,$D$316))</f>
        <v>15</v>
      </c>
      <c r="D317" s="156"/>
      <c r="H317" s="14"/>
      <c r="I317" s="14"/>
      <c r="J317" s="14"/>
      <c r="K317" s="14"/>
      <c r="L317" s="14"/>
      <c r="M317" s="14"/>
      <c r="N317" s="14"/>
      <c r="O317" s="14"/>
      <c r="P317" s="14"/>
      <c r="Q317" s="14"/>
      <c r="R317" s="14"/>
      <c r="T317" s="14"/>
      <c r="U317" s="14"/>
      <c r="W317" s="14"/>
      <c r="X317" s="14"/>
      <c r="AB317" s="14"/>
      <c r="AC317" s="14"/>
      <c r="AD317" s="14"/>
      <c r="AE317" s="14"/>
      <c r="AF317" s="14"/>
      <c r="AG317" s="134"/>
      <c r="AH317" s="7"/>
      <c r="AI317" s="7"/>
      <c r="AJ317" s="7"/>
      <c r="AK317" s="12"/>
      <c r="AL317" s="7"/>
      <c r="AM317" s="7"/>
    </row>
    <row r="318" spans="1:39" ht="13.5">
      <c r="A318" s="14"/>
      <c r="B318" s="147" t="s">
        <v>195</v>
      </c>
      <c r="C318" s="261">
        <f>IF(Em_OC=Settings!$AA$22,"No Test",ROUND(C161,$D$316))</f>
        <v>7.5</v>
      </c>
      <c r="D318" s="156"/>
      <c r="H318" s="14"/>
      <c r="I318" s="14"/>
      <c r="J318" s="14"/>
      <c r="K318" s="14"/>
      <c r="L318" s="14"/>
      <c r="M318" s="14"/>
      <c r="N318" s="14"/>
      <c r="O318" s="14"/>
      <c r="P318" s="14"/>
      <c r="Q318" s="14"/>
      <c r="R318" s="14"/>
      <c r="T318" s="14"/>
      <c r="U318" s="14"/>
      <c r="W318" s="14"/>
      <c r="X318" s="14"/>
      <c r="AB318" s="14"/>
      <c r="AC318" s="14"/>
      <c r="AD318" s="14"/>
      <c r="AE318" s="14"/>
      <c r="AF318" s="14"/>
      <c r="AG318" s="134"/>
      <c r="AH318" s="7"/>
      <c r="AI318" s="7"/>
      <c r="AJ318" s="7"/>
      <c r="AK318" s="12"/>
      <c r="AL318" s="7"/>
      <c r="AM318" s="7"/>
    </row>
    <row r="319" spans="1:39" ht="13.5">
      <c r="A319" s="14"/>
      <c r="B319" s="147" t="s">
        <v>196</v>
      </c>
      <c r="C319" s="261">
        <f>IF(Em_OC=Settings!$AA$22,"No Test",ROUND(C162,$D$316))</f>
        <v>3.15</v>
      </c>
      <c r="D319" s="156"/>
      <c r="H319" s="14"/>
      <c r="I319" s="14"/>
      <c r="J319" s="14"/>
      <c r="K319" s="14"/>
      <c r="L319" s="14"/>
      <c r="M319" s="14"/>
      <c r="N319" s="14"/>
      <c r="O319" s="14"/>
      <c r="P319" s="14"/>
      <c r="Q319" s="14"/>
      <c r="R319" s="14"/>
      <c r="T319" s="14"/>
      <c r="U319" s="14"/>
      <c r="W319" s="14"/>
      <c r="X319" s="14"/>
      <c r="AB319" s="14"/>
      <c r="AC319" s="14"/>
      <c r="AD319" s="14"/>
      <c r="AE319" s="14"/>
      <c r="AF319" s="14"/>
      <c r="AG319" s="134"/>
      <c r="AH319" s="7"/>
      <c r="AI319" s="7"/>
      <c r="AJ319" s="7"/>
      <c r="AK319" s="12"/>
      <c r="AL319" s="7"/>
      <c r="AM319" s="7"/>
    </row>
    <row r="320" spans="1:39" ht="13.5">
      <c r="A320" s="14"/>
      <c r="B320" s="147" t="s">
        <v>197</v>
      </c>
      <c r="C320" s="261">
        <f>IF(Em_OC=Settings!$AA$22,"No Test",ROUND(C163,$D$316))</f>
        <v>2.85</v>
      </c>
      <c r="D320" s="156"/>
      <c r="H320" s="14"/>
      <c r="I320" s="14"/>
      <c r="J320" s="14"/>
      <c r="K320" s="14"/>
      <c r="L320" s="14"/>
      <c r="M320" s="14"/>
      <c r="N320" s="14"/>
      <c r="O320" s="14"/>
      <c r="P320" s="14"/>
      <c r="Q320" s="14"/>
      <c r="R320" s="14"/>
      <c r="T320" s="14"/>
      <c r="U320" s="14"/>
      <c r="W320" s="14"/>
      <c r="X320" s="14"/>
      <c r="AB320" s="14"/>
      <c r="AC320" s="14"/>
      <c r="AD320" s="14"/>
      <c r="AE320" s="14"/>
      <c r="AF320" s="14"/>
      <c r="AG320" s="134"/>
      <c r="AH320" s="7"/>
      <c r="AI320" s="7"/>
      <c r="AJ320" s="7"/>
      <c r="AK320" s="12"/>
      <c r="AL320" s="7"/>
      <c r="AM320" s="7"/>
    </row>
    <row r="321" spans="1:39" ht="13.5">
      <c r="A321" s="14"/>
      <c r="B321" s="147" t="s">
        <v>1002</v>
      </c>
      <c r="C321" s="161">
        <f>IF(Em_EF=Settings!$AA$22,"No Test",D164)</f>
        <v>1028</v>
      </c>
      <c r="D321" s="161">
        <f>IF(MAX(C164:C167)&gt;15,2,3)</f>
        <v>3</v>
      </c>
      <c r="J321" s="14"/>
      <c r="K321" s="14"/>
      <c r="L321" s="14"/>
      <c r="M321" s="14"/>
      <c r="N321" s="14"/>
      <c r="O321" s="14"/>
      <c r="P321" s="14"/>
      <c r="Q321" s="14"/>
      <c r="R321" s="14"/>
      <c r="T321" s="14"/>
      <c r="U321" s="14"/>
      <c r="W321" s="14"/>
      <c r="X321" s="14"/>
      <c r="AB321" s="14"/>
      <c r="AC321" s="14"/>
      <c r="AD321" s="14"/>
      <c r="AE321" s="14"/>
      <c r="AF321" s="14"/>
      <c r="AG321" s="134"/>
      <c r="AH321" s="7"/>
      <c r="AI321" s="7"/>
      <c r="AJ321" s="7"/>
      <c r="AK321" s="12"/>
      <c r="AL321" s="7"/>
      <c r="AM321" s="7"/>
    </row>
    <row r="322" spans="1:39" ht="13.5">
      <c r="A322" s="14"/>
      <c r="B322" s="147" t="s">
        <v>190</v>
      </c>
      <c r="C322" s="261">
        <f>IF(Em_EF=Settings!$AA$22,"No Test",ROUND(C164,$D$321))</f>
        <v>3.3330000000000002</v>
      </c>
      <c r="D322" s="156"/>
      <c r="J322" s="14"/>
      <c r="K322" s="14"/>
      <c r="L322" s="14"/>
      <c r="M322" s="14"/>
      <c r="N322" s="14"/>
      <c r="O322" s="14"/>
      <c r="P322" s="14"/>
      <c r="Q322" s="14"/>
      <c r="R322" s="14"/>
      <c r="T322" s="14"/>
      <c r="U322" s="14"/>
      <c r="W322" s="14"/>
      <c r="X322" s="14"/>
      <c r="AB322" s="14"/>
      <c r="AC322" s="14"/>
      <c r="AD322" s="14"/>
      <c r="AE322" s="14"/>
      <c r="AF322" s="14"/>
      <c r="AG322" s="134"/>
      <c r="AH322" s="7"/>
      <c r="AI322" s="7"/>
      <c r="AJ322" s="7"/>
      <c r="AK322" s="12"/>
      <c r="AL322" s="7"/>
      <c r="AM322" s="7"/>
    </row>
    <row r="323" spans="1:39" ht="13.5">
      <c r="A323" s="14"/>
      <c r="B323" s="147" t="s">
        <v>191</v>
      </c>
      <c r="C323" s="261">
        <f>IF(Em_EF=Settings!$AA$22,"No Test",ROUND(C165,$D$321))</f>
        <v>1.667</v>
      </c>
      <c r="D323" s="156"/>
      <c r="H323" s="14"/>
      <c r="J323" s="14"/>
      <c r="K323" s="14"/>
      <c r="L323" s="14"/>
      <c r="M323" s="14"/>
      <c r="N323" s="14"/>
      <c r="O323" s="14"/>
      <c r="P323" s="14"/>
      <c r="Q323" s="14"/>
      <c r="R323" s="14"/>
      <c r="T323" s="14"/>
      <c r="U323" s="14"/>
      <c r="W323" s="14"/>
      <c r="X323" s="14"/>
      <c r="AB323" s="14"/>
      <c r="AC323" s="14"/>
      <c r="AD323" s="14"/>
      <c r="AE323" s="14"/>
      <c r="AF323" s="14"/>
      <c r="AG323" s="134"/>
      <c r="AH323" s="7"/>
      <c r="AI323" s="7"/>
      <c r="AJ323" s="7"/>
      <c r="AK323" s="12"/>
      <c r="AL323" s="7"/>
      <c r="AM323" s="7"/>
    </row>
    <row r="324" spans="1:39" ht="13.5">
      <c r="A324" s="14"/>
      <c r="B324" s="147" t="s">
        <v>192</v>
      </c>
      <c r="C324" s="261">
        <f>IF(Em_EF=Settings!$AA$22,"No Test",ROUND(C166,$D$321))</f>
        <v>0.7</v>
      </c>
      <c r="D324" s="156"/>
      <c r="H324" s="14"/>
      <c r="J324" s="14"/>
      <c r="K324" s="14"/>
      <c r="L324" s="14"/>
      <c r="M324" s="14"/>
      <c r="N324" s="14"/>
      <c r="O324" s="14"/>
      <c r="P324" s="14"/>
      <c r="Q324" s="14"/>
      <c r="R324" s="14"/>
      <c r="T324" s="14"/>
      <c r="U324" s="14"/>
      <c r="W324" s="14"/>
      <c r="X324" s="14"/>
      <c r="AB324" s="14"/>
      <c r="AC324" s="14"/>
      <c r="AD324" s="14"/>
      <c r="AE324" s="14"/>
      <c r="AF324" s="14"/>
      <c r="AG324" s="134"/>
      <c r="AH324" s="7"/>
      <c r="AI324" s="7"/>
      <c r="AJ324" s="7"/>
      <c r="AK324" s="12"/>
      <c r="AL324" s="7"/>
      <c r="AM324" s="7"/>
    </row>
    <row r="325" spans="1:39" ht="13.5">
      <c r="A325" s="14"/>
      <c r="B325" s="147" t="s">
        <v>193</v>
      </c>
      <c r="C325" s="261">
        <f>IF(Em_EF=Settings!$AA$22,"No Test",ROUND(C167,$D$321))</f>
        <v>0.63300000000000001</v>
      </c>
      <c r="D325" s="156"/>
      <c r="H325" s="14"/>
      <c r="J325" s="14"/>
      <c r="K325" s="14"/>
      <c r="L325" s="14"/>
      <c r="M325" s="14"/>
      <c r="N325" s="14"/>
      <c r="O325" s="14"/>
      <c r="P325" s="14"/>
      <c r="Q325" s="14"/>
      <c r="R325" s="14"/>
      <c r="T325" s="14"/>
      <c r="U325" s="14"/>
      <c r="W325" s="14"/>
      <c r="X325" s="14"/>
      <c r="AB325" s="14"/>
      <c r="AC325" s="14"/>
      <c r="AD325" s="14"/>
      <c r="AE325" s="14"/>
      <c r="AF325" s="14"/>
      <c r="AG325" s="134"/>
      <c r="AH325" s="7"/>
      <c r="AI325" s="7"/>
      <c r="AJ325" s="7"/>
      <c r="AK325" s="12"/>
      <c r="AL325" s="7"/>
      <c r="AM325" s="7"/>
    </row>
    <row r="326" spans="1:39" ht="13.5">
      <c r="A326" s="14"/>
      <c r="B326" s="164" t="s">
        <v>198</v>
      </c>
      <c r="C326" s="163">
        <f>S51</f>
        <v>0</v>
      </c>
      <c r="D326" s="163"/>
      <c r="H326" s="14"/>
      <c r="J326" s="14"/>
      <c r="K326" s="14"/>
      <c r="L326" s="14"/>
      <c r="M326" s="14"/>
      <c r="N326" s="14"/>
      <c r="O326" s="14"/>
      <c r="P326" s="14"/>
      <c r="Q326" s="14"/>
      <c r="R326" s="14"/>
      <c r="T326" s="14"/>
      <c r="U326" s="14"/>
      <c r="W326" s="14"/>
      <c r="X326" s="14"/>
      <c r="AB326" s="14"/>
      <c r="AC326" s="14"/>
      <c r="AD326" s="14"/>
      <c r="AE326" s="14"/>
      <c r="AF326" s="14"/>
      <c r="AG326" s="134"/>
      <c r="AH326" s="7"/>
      <c r="AI326" s="7"/>
      <c r="AJ326" s="7"/>
      <c r="AK326" s="12"/>
      <c r="AL326" s="7"/>
      <c r="AM326" s="7"/>
    </row>
    <row r="327" spans="1:39" ht="13.5">
      <c r="A327" s="14"/>
      <c r="B327" s="152" t="s">
        <v>114</v>
      </c>
      <c r="C327" s="214" t="str">
        <f t="shared" ref="C327:C334" si="91">IF(I160="","No Test",I160)</f>
        <v>No Test</v>
      </c>
      <c r="D327" s="214"/>
      <c r="H327" s="14"/>
      <c r="J327" s="14"/>
      <c r="K327" s="14"/>
      <c r="L327" s="14"/>
      <c r="M327" s="14"/>
      <c r="N327" s="14"/>
      <c r="O327" s="14"/>
      <c r="P327" s="14"/>
      <c r="Q327" s="14"/>
      <c r="R327" s="14"/>
      <c r="T327" s="14"/>
      <c r="U327" s="14"/>
      <c r="W327" s="14"/>
      <c r="X327" s="14"/>
      <c r="AB327" s="14"/>
      <c r="AC327" s="14"/>
      <c r="AD327" s="14"/>
      <c r="AE327" s="14"/>
      <c r="AF327" s="14"/>
      <c r="AG327" s="134"/>
      <c r="AH327" s="7"/>
      <c r="AI327" s="7"/>
      <c r="AJ327" s="7"/>
      <c r="AK327" s="12"/>
      <c r="AL327" s="7"/>
      <c r="AM327" s="7"/>
    </row>
    <row r="328" spans="1:39" ht="13.5">
      <c r="A328" s="14"/>
      <c r="B328" s="152" t="s">
        <v>115</v>
      </c>
      <c r="C328" s="214" t="str">
        <f t="shared" si="91"/>
        <v>No Test</v>
      </c>
      <c r="D328" s="214"/>
      <c r="H328" s="14"/>
      <c r="J328" s="14"/>
      <c r="K328" s="14"/>
      <c r="L328" s="14"/>
      <c r="M328" s="14"/>
      <c r="N328" s="14"/>
      <c r="O328" s="14"/>
      <c r="P328" s="14"/>
      <c r="Q328" s="14"/>
      <c r="R328" s="14"/>
      <c r="T328" s="14"/>
      <c r="U328" s="14"/>
      <c r="W328" s="14"/>
      <c r="X328" s="14"/>
      <c r="AB328" s="14"/>
      <c r="AC328" s="14"/>
      <c r="AD328" s="14"/>
      <c r="AE328" s="14"/>
      <c r="AF328" s="14"/>
      <c r="AG328" s="134"/>
      <c r="AH328" s="7"/>
      <c r="AI328" s="7"/>
      <c r="AJ328" s="7"/>
      <c r="AK328" s="12"/>
      <c r="AL328" s="7"/>
      <c r="AM328" s="7"/>
    </row>
    <row r="329" spans="1:39" ht="13.5">
      <c r="A329" s="14"/>
      <c r="B329" s="152" t="s">
        <v>116</v>
      </c>
      <c r="C329" s="214" t="str">
        <f t="shared" si="91"/>
        <v>No Test</v>
      </c>
      <c r="D329" s="214"/>
      <c r="H329" s="14"/>
      <c r="J329" s="14"/>
      <c r="K329" s="14"/>
      <c r="L329" s="14"/>
      <c r="M329" s="14"/>
      <c r="N329" s="14"/>
      <c r="O329" s="14"/>
      <c r="P329" s="14"/>
      <c r="Q329" s="14"/>
      <c r="R329" s="14"/>
      <c r="T329" s="14"/>
      <c r="U329" s="14"/>
      <c r="W329" s="14"/>
      <c r="X329" s="14"/>
      <c r="AB329" s="14"/>
      <c r="AC329" s="14"/>
      <c r="AD329" s="14"/>
      <c r="AE329" s="14"/>
      <c r="AF329" s="14"/>
      <c r="AG329" s="134"/>
      <c r="AH329" s="7"/>
      <c r="AI329" s="7"/>
      <c r="AJ329" s="7"/>
      <c r="AK329" s="12"/>
      <c r="AL329" s="7"/>
      <c r="AM329" s="7"/>
    </row>
    <row r="330" spans="1:39" ht="13.5">
      <c r="A330" s="14"/>
      <c r="B330" s="152" t="s">
        <v>117</v>
      </c>
      <c r="C330" s="214" t="str">
        <f t="shared" si="91"/>
        <v>No Test</v>
      </c>
      <c r="D330" s="214"/>
      <c r="H330" s="14"/>
      <c r="J330" s="14"/>
      <c r="K330" s="14"/>
      <c r="L330" s="14"/>
      <c r="M330" s="14"/>
      <c r="N330" s="14"/>
      <c r="O330" s="14"/>
      <c r="P330" s="14"/>
      <c r="Q330" s="14"/>
      <c r="R330" s="14"/>
      <c r="T330" s="14"/>
      <c r="U330" s="14"/>
      <c r="W330" s="14"/>
      <c r="X330" s="14"/>
      <c r="AB330" s="14"/>
      <c r="AC330" s="14"/>
      <c r="AD330" s="14"/>
      <c r="AE330" s="14"/>
      <c r="AF330" s="14"/>
      <c r="AG330" s="134"/>
      <c r="AH330" s="7"/>
      <c r="AI330" s="7"/>
      <c r="AJ330" s="7"/>
      <c r="AK330" s="12"/>
      <c r="AL330" s="7"/>
      <c r="AM330" s="7"/>
    </row>
    <row r="331" spans="1:39" ht="13.5">
      <c r="A331" s="14"/>
      <c r="B331" s="152" t="s">
        <v>118</v>
      </c>
      <c r="C331" s="214" t="str">
        <f t="shared" si="91"/>
        <v>No Test</v>
      </c>
      <c r="D331" s="214"/>
      <c r="H331" s="14"/>
      <c r="J331" s="14"/>
      <c r="K331" s="14"/>
      <c r="L331" s="14"/>
      <c r="M331" s="14"/>
      <c r="N331" s="14"/>
      <c r="O331" s="14"/>
      <c r="P331" s="14"/>
      <c r="Q331" s="14"/>
      <c r="R331" s="14"/>
      <c r="T331" s="14"/>
      <c r="U331" s="14"/>
      <c r="W331" s="14"/>
      <c r="X331" s="14"/>
      <c r="AB331" s="14"/>
      <c r="AC331" s="14"/>
      <c r="AD331" s="14"/>
      <c r="AE331" s="14"/>
      <c r="AF331" s="14"/>
      <c r="AG331" s="134"/>
      <c r="AH331" s="7"/>
      <c r="AI331" s="7"/>
      <c r="AJ331" s="7"/>
      <c r="AK331" s="12"/>
      <c r="AL331" s="7"/>
      <c r="AM331" s="7"/>
    </row>
    <row r="332" spans="1:39" ht="13.5">
      <c r="B332" s="152" t="s">
        <v>119</v>
      </c>
      <c r="C332" s="214" t="str">
        <f t="shared" si="91"/>
        <v>No Test</v>
      </c>
      <c r="D332" s="214"/>
    </row>
    <row r="333" spans="1:39" ht="13.5">
      <c r="B333" s="152" t="s">
        <v>120</v>
      </c>
      <c r="C333" s="214" t="str">
        <f t="shared" si="91"/>
        <v>No Test</v>
      </c>
      <c r="D333" s="214"/>
    </row>
    <row r="334" spans="1:39" ht="13.5">
      <c r="B334" s="152" t="s">
        <v>121</v>
      </c>
      <c r="C334" s="214" t="str">
        <f t="shared" si="91"/>
        <v>No Test</v>
      </c>
      <c r="D334" s="214"/>
    </row>
    <row r="335" spans="1:39" ht="13.5">
      <c r="B335" s="152" t="s">
        <v>122</v>
      </c>
      <c r="C335" s="214" t="str">
        <f t="shared" ref="C335:C341" si="92">IF(J160="","No Test",J160)</f>
        <v>No Test</v>
      </c>
      <c r="D335" s="214"/>
    </row>
    <row r="336" spans="1:39" ht="13.5">
      <c r="B336" s="152" t="s">
        <v>123</v>
      </c>
      <c r="C336" s="214" t="str">
        <f t="shared" si="92"/>
        <v>No Test</v>
      </c>
      <c r="D336" s="214"/>
    </row>
    <row r="337" spans="2:4" ht="13.5">
      <c r="B337" s="152" t="s">
        <v>124</v>
      </c>
      <c r="C337" s="214" t="str">
        <f t="shared" si="92"/>
        <v>No Test</v>
      </c>
      <c r="D337" s="214"/>
    </row>
    <row r="338" spans="2:4" ht="13.5">
      <c r="B338" s="152" t="s">
        <v>125</v>
      </c>
      <c r="C338" s="214" t="str">
        <f t="shared" si="92"/>
        <v>No Test</v>
      </c>
      <c r="D338" s="214"/>
    </row>
    <row r="339" spans="2:4" ht="13.5">
      <c r="B339" s="152" t="s">
        <v>126</v>
      </c>
      <c r="C339" s="214" t="str">
        <f t="shared" si="92"/>
        <v>No Test</v>
      </c>
      <c r="D339" s="214"/>
    </row>
    <row r="340" spans="2:4" ht="13.5">
      <c r="B340" s="152" t="s">
        <v>127</v>
      </c>
      <c r="C340" s="214" t="str">
        <f t="shared" si="92"/>
        <v>No Test</v>
      </c>
      <c r="D340" s="214"/>
    </row>
    <row r="341" spans="2:4" ht="13.5">
      <c r="B341" s="152" t="s">
        <v>128</v>
      </c>
      <c r="C341" s="214" t="str">
        <f t="shared" si="92"/>
        <v>No Test</v>
      </c>
      <c r="D341" s="214"/>
    </row>
    <row r="342" spans="2:4">
      <c r="B342" s="152" t="s">
        <v>222</v>
      </c>
      <c r="C342" s="315">
        <f>D9</f>
        <v>5</v>
      </c>
      <c r="D342" s="753" t="s">
        <v>242</v>
      </c>
    </row>
    <row r="343" spans="2:4">
      <c r="B343" s="152" t="s">
        <v>226</v>
      </c>
      <c r="C343" s="216">
        <f>D10</f>
        <v>52</v>
      </c>
      <c r="D343" s="152"/>
    </row>
    <row r="344" spans="2:4">
      <c r="B344" s="325" t="s">
        <v>947</v>
      </c>
      <c r="C344" s="752">
        <f>AU22</f>
        <v>38.850768655079897</v>
      </c>
      <c r="D344" s="325"/>
    </row>
    <row r="345" spans="2:4">
      <c r="B345" s="325" t="s">
        <v>946</v>
      </c>
      <c r="C345" s="326">
        <f>_Ang1</f>
        <v>42.007465331025529</v>
      </c>
      <c r="D345" s="325"/>
    </row>
    <row r="346" spans="2:4">
      <c r="B346" s="152" t="s">
        <v>234</v>
      </c>
      <c r="C346" s="128">
        <f>VALUE(SUBSTITUTE(D8,"A",""))</f>
        <v>3.7730870712401101</v>
      </c>
      <c r="D346" s="152"/>
    </row>
    <row r="347" spans="2:4">
      <c r="B347" s="325" t="s">
        <v>954</v>
      </c>
      <c r="C347" s="325">
        <f>IF(346:346&gt;15,2,3)</f>
        <v>3</v>
      </c>
      <c r="D347" s="325"/>
    </row>
    <row r="348" spans="2:4">
      <c r="B348" s="325" t="s">
        <v>446</v>
      </c>
      <c r="C348" s="326">
        <f t="shared" ref="C348:C358" si="93">IF(D13="","OFF",C13)</f>
        <v>-25</v>
      </c>
      <c r="D348" s="325"/>
    </row>
    <row r="349" spans="2:4">
      <c r="B349" s="325" t="s">
        <v>447</v>
      </c>
      <c r="C349" s="326">
        <f t="shared" si="93"/>
        <v>-12.5</v>
      </c>
      <c r="D349" s="325"/>
    </row>
    <row r="350" spans="2:4">
      <c r="B350" s="325" t="s">
        <v>448</v>
      </c>
      <c r="C350" s="326">
        <f t="shared" si="93"/>
        <v>0</v>
      </c>
      <c r="D350" s="325"/>
    </row>
    <row r="351" spans="2:4">
      <c r="B351" s="325" t="s">
        <v>449</v>
      </c>
      <c r="C351" s="326">
        <f t="shared" si="93"/>
        <v>10.035971563435497</v>
      </c>
      <c r="D351" s="325"/>
    </row>
    <row r="352" spans="2:4">
      <c r="B352" s="325" t="s">
        <v>450</v>
      </c>
      <c r="C352" s="326">
        <f t="shared" si="93"/>
        <v>18.67136398158295</v>
      </c>
      <c r="D352" s="325"/>
    </row>
    <row r="353" spans="2:4">
      <c r="B353" s="325" t="s">
        <v>451</v>
      </c>
      <c r="C353" s="326">
        <f t="shared" si="93"/>
        <v>25.870234814212917</v>
      </c>
      <c r="D353" s="325"/>
    </row>
    <row r="354" spans="2:4">
      <c r="B354" s="325" t="s">
        <v>452</v>
      </c>
      <c r="C354" s="326">
        <f t="shared" si="93"/>
        <v>36.032072301425075</v>
      </c>
      <c r="D354" s="325"/>
    </row>
    <row r="355" spans="2:4">
      <c r="B355" s="325" t="s">
        <v>453</v>
      </c>
      <c r="C355" s="326">
        <f t="shared" si="93"/>
        <v>55.496088416038084</v>
      </c>
      <c r="D355" s="325"/>
    </row>
    <row r="356" spans="2:4">
      <c r="B356" s="325" t="s">
        <v>454</v>
      </c>
      <c r="C356" s="326">
        <f t="shared" si="93"/>
        <v>90</v>
      </c>
      <c r="D356" s="325"/>
    </row>
    <row r="357" spans="2:4">
      <c r="B357" s="325" t="s">
        <v>455</v>
      </c>
      <c r="C357" s="326">
        <f t="shared" si="93"/>
        <v>102.5</v>
      </c>
      <c r="D357" s="325"/>
    </row>
    <row r="358" spans="2:4">
      <c r="B358" s="325" t="s">
        <v>456</v>
      </c>
      <c r="C358" s="326">
        <f t="shared" si="93"/>
        <v>115</v>
      </c>
      <c r="D358" s="325"/>
    </row>
    <row r="359" spans="2:4">
      <c r="B359" s="325" t="s">
        <v>457</v>
      </c>
      <c r="C359" s="327">
        <f t="shared" ref="C359:C369" si="94">IF(D13="","OFF",D13)</f>
        <v>26.678488664108809</v>
      </c>
      <c r="D359" s="325"/>
    </row>
    <row r="360" spans="2:4">
      <c r="B360" s="325" t="s">
        <v>458</v>
      </c>
      <c r="C360" s="327">
        <f t="shared" si="94"/>
        <v>26.298212546199846</v>
      </c>
      <c r="D360" s="325"/>
    </row>
    <row r="361" spans="2:4">
      <c r="B361" s="325" t="s">
        <v>459</v>
      </c>
      <c r="C361" s="327">
        <f t="shared" si="94"/>
        <v>27.2</v>
      </c>
      <c r="D361" s="325"/>
    </row>
    <row r="362" spans="2:4">
      <c r="B362" s="325" t="s">
        <v>460</v>
      </c>
      <c r="C362" s="327">
        <f t="shared" si="94"/>
        <v>28.997744448805637</v>
      </c>
      <c r="D362" s="325"/>
    </row>
    <row r="363" spans="2:4">
      <c r="B363" s="325" t="s">
        <v>461</v>
      </c>
      <c r="C363" s="327">
        <f t="shared" si="94"/>
        <v>31.569566863407253</v>
      </c>
      <c r="D363" s="325"/>
    </row>
    <row r="364" spans="2:4">
      <c r="B364" s="325" t="s">
        <v>462</v>
      </c>
      <c r="C364" s="327">
        <f t="shared" si="94"/>
        <v>34.743993818712177</v>
      </c>
      <c r="D364" s="325"/>
    </row>
    <row r="365" spans="2:4">
      <c r="B365" s="325" t="s">
        <v>463</v>
      </c>
      <c r="C365" s="327">
        <f t="shared" si="94"/>
        <v>25.771880511516247</v>
      </c>
      <c r="D365" s="325"/>
    </row>
    <row r="366" spans="2:4">
      <c r="B366" s="325" t="s">
        <v>464</v>
      </c>
      <c r="C366" s="327">
        <f t="shared" si="94"/>
        <v>18.39610437769279</v>
      </c>
      <c r="D366" s="325"/>
    </row>
    <row r="367" spans="2:4">
      <c r="B367" s="325" t="s">
        <v>465</v>
      </c>
      <c r="C367" s="327">
        <f t="shared" si="94"/>
        <v>15.16</v>
      </c>
      <c r="D367" s="325"/>
    </row>
    <row r="368" spans="2:4">
      <c r="B368" s="325" t="s">
        <v>466</v>
      </c>
      <c r="C368" s="327">
        <f t="shared" si="94"/>
        <v>15.52807743700796</v>
      </c>
      <c r="D368" s="325"/>
    </row>
    <row r="369" spans="2:4">
      <c r="B369" s="325" t="s">
        <v>467</v>
      </c>
      <c r="C369" s="327">
        <f t="shared" si="94"/>
        <v>16.727209251471372</v>
      </c>
      <c r="D369" s="325"/>
    </row>
    <row r="370" spans="2:4">
      <c r="B370" s="152" t="s">
        <v>551</v>
      </c>
      <c r="C370" s="315">
        <f>IF(Settings!AB6="GRZ100xxx",C342+3,C342)</f>
        <v>5</v>
      </c>
      <c r="D370" s="152"/>
    </row>
    <row r="371" spans="2:4">
      <c r="B371" s="152" t="s">
        <v>230</v>
      </c>
      <c r="C371" s="110">
        <f>D32</f>
        <v>20.311510255522307</v>
      </c>
      <c r="D371" s="152"/>
    </row>
    <row r="372" spans="2:4">
      <c r="B372" s="152" t="s">
        <v>238</v>
      </c>
      <c r="C372" s="128">
        <f>D30</f>
        <v>1.5298861473743419</v>
      </c>
      <c r="D372" s="152"/>
    </row>
    <row r="373" spans="2:4">
      <c r="B373" s="325" t="s">
        <v>958</v>
      </c>
      <c r="C373" s="325">
        <f>IF(372:372&gt;15,2,3)</f>
        <v>3</v>
      </c>
      <c r="D373" s="325"/>
    </row>
    <row r="374" spans="2:4">
      <c r="B374" s="325" t="s">
        <v>490</v>
      </c>
      <c r="C374" s="326">
        <f>IF(OR(Settings!C$103="Off",D35=""),"OFF",C35)</f>
        <v>-25</v>
      </c>
      <c r="D374" s="325"/>
    </row>
    <row r="375" spans="2:4">
      <c r="B375" s="325" t="s">
        <v>491</v>
      </c>
      <c r="C375" s="326">
        <f>IF(OR(Settings!C$103="Off",D36=""),"OFF",C36)</f>
        <v>-12.5</v>
      </c>
      <c r="D375" s="325"/>
    </row>
    <row r="376" spans="2:4">
      <c r="B376" s="325" t="s">
        <v>492</v>
      </c>
      <c r="C376" s="326">
        <f>IF(OR(Settings!C$103="Off",D37=""),"OFF",C37)</f>
        <v>0</v>
      </c>
      <c r="D376" s="325"/>
    </row>
    <row r="377" spans="2:4">
      <c r="B377" s="325" t="s">
        <v>493</v>
      </c>
      <c r="C377" s="326">
        <f>IF(OR(Settings!C$103="Off",D38=""),"OFF",C38)</f>
        <v>5</v>
      </c>
      <c r="D377" s="325"/>
    </row>
    <row r="378" spans="2:4">
      <c r="B378" s="325" t="s">
        <v>494</v>
      </c>
      <c r="C378" s="326">
        <f>IF(OR(Settings!C$103="Off",D39=""),"OFF",C39)</f>
        <v>10</v>
      </c>
      <c r="D378" s="325"/>
    </row>
    <row r="379" spans="2:4">
      <c r="B379" s="325" t="s">
        <v>495</v>
      </c>
      <c r="C379" s="326">
        <f>IF(OR(Settings!C$103="Off",D40=""),"OFF",C40)</f>
        <v>11.923710961991974</v>
      </c>
      <c r="D379" s="325"/>
    </row>
    <row r="380" spans="2:4">
      <c r="B380" s="325" t="s">
        <v>496</v>
      </c>
      <c r="C380" s="326">
        <f>IF(OR(Settings!C$103="Off",D41=""),"OFF",C41)</f>
        <v>17.612614698164872</v>
      </c>
      <c r="D380" s="325"/>
    </row>
    <row r="381" spans="2:4">
      <c r="B381" s="325" t="s">
        <v>497</v>
      </c>
      <c r="C381" s="326">
        <f>IF(OR(Settings!C$103="Off",D42=""),"OFF",C42)</f>
        <v>32.412364445780845</v>
      </c>
      <c r="D381" s="325"/>
    </row>
    <row r="382" spans="2:4">
      <c r="B382" s="325" t="s">
        <v>498</v>
      </c>
      <c r="C382" s="326">
        <f>IF(OR(Settings!C$103="Off",D43=""),"OFF",C43)</f>
        <v>90</v>
      </c>
      <c r="D382" s="325"/>
    </row>
    <row r="383" spans="2:4">
      <c r="B383" s="325" t="s">
        <v>499</v>
      </c>
      <c r="C383" s="326">
        <f>IF(OR(Settings!C$103="Off",D44=""),"OFF",C44)</f>
        <v>102.5</v>
      </c>
      <c r="D383" s="325"/>
    </row>
    <row r="384" spans="2:4">
      <c r="B384" s="325" t="s">
        <v>500</v>
      </c>
      <c r="C384" s="326">
        <f>IF(OR(Settings!C$103="Off",D45=""),"OFF",C45)</f>
        <v>115</v>
      </c>
      <c r="D384" s="325"/>
    </row>
    <row r="385" spans="2:4">
      <c r="B385" s="325" t="s">
        <v>501</v>
      </c>
      <c r="C385" s="327">
        <f t="shared" ref="C385:C395" si="95">IF(D35="","OFF",D35)</f>
        <v>63.851823971819236</v>
      </c>
      <c r="D385" s="325"/>
    </row>
    <row r="386" spans="2:4">
      <c r="B386" s="325" t="s">
        <v>502</v>
      </c>
      <c r="C386" s="327">
        <f t="shared" si="95"/>
        <v>62.941677821970949</v>
      </c>
      <c r="D386" s="325"/>
    </row>
    <row r="387" spans="2:4">
      <c r="B387" s="325" t="s">
        <v>503</v>
      </c>
      <c r="C387" s="327">
        <f t="shared" si="95"/>
        <v>65.099999999999994</v>
      </c>
      <c r="D387" s="325"/>
    </row>
    <row r="388" spans="2:4">
      <c r="B388" s="325" t="s">
        <v>504</v>
      </c>
      <c r="C388" s="327">
        <f t="shared" si="95"/>
        <v>66.917383302241333</v>
      </c>
      <c r="D388" s="325"/>
    </row>
    <row r="389" spans="2:4">
      <c r="B389" s="325" t="s">
        <v>505</v>
      </c>
      <c r="C389" s="327">
        <f t="shared" si="95"/>
        <v>69.382357948200521</v>
      </c>
      <c r="D389" s="325"/>
    </row>
    <row r="390" spans="2:4">
      <c r="B390" s="325" t="s">
        <v>506</v>
      </c>
      <c r="C390" s="327">
        <f t="shared" si="95"/>
        <v>70.526077276119125</v>
      </c>
      <c r="D390" s="325"/>
    </row>
    <row r="391" spans="2:4">
      <c r="B391" s="325" t="s">
        <v>507</v>
      </c>
      <c r="C391" s="327">
        <f t="shared" si="95"/>
        <v>48.265402921336388</v>
      </c>
      <c r="D391" s="325"/>
    </row>
    <row r="392" spans="2:4">
      <c r="B392" s="325" t="s">
        <v>508</v>
      </c>
      <c r="C392" s="327">
        <f t="shared" si="95"/>
        <v>27.246060496942857</v>
      </c>
      <c r="D392" s="325"/>
    </row>
    <row r="393" spans="2:4">
      <c r="B393" s="325" t="s">
        <v>509</v>
      </c>
      <c r="C393" s="327">
        <f t="shared" si="95"/>
        <v>14.604133333333333</v>
      </c>
      <c r="D393" s="325"/>
    </row>
    <row r="394" spans="2:4">
      <c r="B394" s="325" t="s">
        <v>510</v>
      </c>
      <c r="C394" s="327">
        <f t="shared" si="95"/>
        <v>14.958714597651001</v>
      </c>
      <c r="D394" s="325"/>
    </row>
    <row r="395" spans="2:4">
      <c r="B395" s="325" t="s">
        <v>511</v>
      </c>
      <c r="C395" s="327">
        <f t="shared" si="95"/>
        <v>16.11387824558409</v>
      </c>
      <c r="D395" s="325"/>
    </row>
    <row r="396" spans="2:4">
      <c r="B396" s="147" t="s">
        <v>223</v>
      </c>
      <c r="C396" s="313">
        <f>G9</f>
        <v>5</v>
      </c>
      <c r="D396" s="147" t="s">
        <v>244</v>
      </c>
    </row>
    <row r="397" spans="2:4">
      <c r="B397" s="147" t="s">
        <v>227</v>
      </c>
      <c r="C397" s="215">
        <f>G10</f>
        <v>96.057055961459994</v>
      </c>
      <c r="D397" s="147"/>
    </row>
    <row r="398" spans="2:4">
      <c r="B398" s="350" t="s">
        <v>949</v>
      </c>
      <c r="C398" s="405">
        <f>AW22</f>
        <v>56.036789032619481</v>
      </c>
      <c r="D398" s="350"/>
    </row>
    <row r="399" spans="2:4">
      <c r="B399" s="350" t="s">
        <v>948</v>
      </c>
      <c r="C399" s="355">
        <f>Ang1B</f>
        <v>58.991315304058041</v>
      </c>
      <c r="D399" s="350"/>
    </row>
    <row r="400" spans="2:4">
      <c r="B400" s="147" t="s">
        <v>235</v>
      </c>
      <c r="C400" s="127">
        <f>VALUE(SUBSTITUTE(G8,"A",""))</f>
        <v>5.7</v>
      </c>
      <c r="D400" s="147"/>
    </row>
    <row r="401" spans="2:4">
      <c r="B401" s="350" t="s">
        <v>955</v>
      </c>
      <c r="C401" s="350">
        <f>IF(400:400&gt;15,2,3)</f>
        <v>3</v>
      </c>
      <c r="D401" s="350"/>
    </row>
    <row r="402" spans="2:4">
      <c r="B402" s="147" t="s">
        <v>614</v>
      </c>
      <c r="C402" s="313">
        <f>T_1B*1000+30</f>
        <v>30</v>
      </c>
      <c r="D402" s="147" t="s">
        <v>718</v>
      </c>
    </row>
    <row r="403" spans="2:4">
      <c r="B403" s="350" t="s">
        <v>557</v>
      </c>
      <c r="C403" s="355" t="str">
        <f>IF(OR(Settings!D$103="Off",G13=""),"OFF",F13)</f>
        <v>OFF</v>
      </c>
      <c r="D403" s="350"/>
    </row>
    <row r="404" spans="2:4">
      <c r="B404" s="350" t="s">
        <v>558</v>
      </c>
      <c r="C404" s="355" t="str">
        <f>IF(OR(Settings!D$103="Off",G14=""),"OFF",F14)</f>
        <v>OFF</v>
      </c>
      <c r="D404" s="350"/>
    </row>
    <row r="405" spans="2:4">
      <c r="B405" s="350" t="s">
        <v>559</v>
      </c>
      <c r="C405" s="355" t="str">
        <f>IF(OR(Settings!D$103="Off",G15=""),"OFF",F15)</f>
        <v>OFF</v>
      </c>
      <c r="D405" s="350"/>
    </row>
    <row r="406" spans="2:4">
      <c r="B406" s="350" t="s">
        <v>560</v>
      </c>
      <c r="C406" s="355" t="str">
        <f>IF(OR(Settings!D$103="Off",G16=""),"OFF",F16)</f>
        <v>OFF</v>
      </c>
      <c r="D406" s="350"/>
    </row>
    <row r="407" spans="2:4">
      <c r="B407" s="350" t="s">
        <v>561</v>
      </c>
      <c r="C407" s="355" t="str">
        <f>IF(OR(Settings!D$103="Off",G17=""),"OFF",F17)</f>
        <v>OFF</v>
      </c>
      <c r="D407" s="350"/>
    </row>
    <row r="408" spans="2:4">
      <c r="B408" s="350" t="s">
        <v>562</v>
      </c>
      <c r="C408" s="355" t="str">
        <f>IF(OR(Settings!D$103="Off",G18=""),"OFF",F18)</f>
        <v>OFF</v>
      </c>
      <c r="D408" s="350"/>
    </row>
    <row r="409" spans="2:4">
      <c r="B409" s="350" t="s">
        <v>563</v>
      </c>
      <c r="C409" s="355" t="str">
        <f>IF(OR(Settings!D$103="Off",G19=""),"OFF",F19)</f>
        <v>OFF</v>
      </c>
      <c r="D409" s="350"/>
    </row>
    <row r="410" spans="2:4">
      <c r="B410" s="350" t="s">
        <v>564</v>
      </c>
      <c r="C410" s="355" t="str">
        <f>IF(OR(Settings!D$103="Off",G20=""),"OFF",F20)</f>
        <v>OFF</v>
      </c>
      <c r="D410" s="350"/>
    </row>
    <row r="411" spans="2:4">
      <c r="B411" s="350" t="s">
        <v>565</v>
      </c>
      <c r="C411" s="355" t="str">
        <f>IF(OR(Settings!D$103="Off",G21=""),"OFF",F21)</f>
        <v>OFF</v>
      </c>
      <c r="D411" s="350"/>
    </row>
    <row r="412" spans="2:4">
      <c r="B412" s="350" t="s">
        <v>566</v>
      </c>
      <c r="C412" s="355" t="str">
        <f>IF(OR(Settings!D$103="Off",G22=""),"OFF",F22)</f>
        <v>OFF</v>
      </c>
      <c r="D412" s="350"/>
    </row>
    <row r="413" spans="2:4">
      <c r="B413" s="350" t="s">
        <v>567</v>
      </c>
      <c r="C413" s="355" t="str">
        <f>IF(OR(Settings!D$103="Off",G23=""),"OFF",F23)</f>
        <v>OFF</v>
      </c>
      <c r="D413" s="350"/>
    </row>
    <row r="414" spans="2:4">
      <c r="B414" s="350" t="s">
        <v>568</v>
      </c>
      <c r="C414" s="354">
        <f>G13</f>
        <v>20.597362571554594</v>
      </c>
      <c r="D414" s="350"/>
    </row>
    <row r="415" spans="2:4">
      <c r="B415" s="350" t="s">
        <v>569</v>
      </c>
      <c r="C415" s="354">
        <f>IF(G14="","OFF",G14)</f>
        <v>20.30376703934547</v>
      </c>
      <c r="D415" s="350"/>
    </row>
    <row r="416" spans="2:4">
      <c r="B416" s="350" t="s">
        <v>570</v>
      </c>
      <c r="C416" s="354">
        <f t="shared" ref="C416:C422" si="96">G15</f>
        <v>21</v>
      </c>
      <c r="D416" s="350"/>
    </row>
    <row r="417" spans="2:4">
      <c r="B417" s="350" t="s">
        <v>571</v>
      </c>
      <c r="C417" s="354">
        <f t="shared" si="96"/>
        <v>22.973551902883308</v>
      </c>
      <c r="D417" s="350"/>
    </row>
    <row r="418" spans="2:4">
      <c r="B418" s="350" t="s">
        <v>572</v>
      </c>
      <c r="C418" s="354">
        <f t="shared" si="96"/>
        <v>26.877149679328252</v>
      </c>
      <c r="D418" s="350"/>
    </row>
    <row r="419" spans="2:4">
      <c r="B419" s="350" t="s">
        <v>573</v>
      </c>
      <c r="C419" s="354">
        <f t="shared" si="96"/>
        <v>32.019018653819998</v>
      </c>
      <c r="D419" s="350"/>
    </row>
    <row r="420" spans="2:4">
      <c r="B420" s="350" t="s">
        <v>574</v>
      </c>
      <c r="C420" s="354">
        <f t="shared" si="96"/>
        <v>25.96825588019156</v>
      </c>
      <c r="D420" s="350"/>
    </row>
    <row r="421" spans="2:4">
      <c r="B421" s="350" t="s">
        <v>575</v>
      </c>
      <c r="C421" s="354">
        <f t="shared" si="96"/>
        <v>20.147028993217258</v>
      </c>
      <c r="D421" s="350"/>
    </row>
    <row r="422" spans="2:4">
      <c r="B422" s="350" t="s">
        <v>576</v>
      </c>
      <c r="C422" s="354">
        <f t="shared" si="96"/>
        <v>18.68</v>
      </c>
      <c r="D422" s="350"/>
    </row>
    <row r="423" spans="2:4">
      <c r="B423" s="350" t="s">
        <v>577</v>
      </c>
      <c r="C423" s="354">
        <f>IF(G22="","OFF",G22)</f>
        <v>19.133541327395033</v>
      </c>
      <c r="D423" s="350"/>
    </row>
    <row r="424" spans="2:4">
      <c r="B424" s="350" t="s">
        <v>578</v>
      </c>
      <c r="C424" s="354">
        <f>G23</f>
        <v>20.611099526219345</v>
      </c>
      <c r="D424" s="350"/>
    </row>
    <row r="425" spans="2:4">
      <c r="B425" s="147" t="s">
        <v>556</v>
      </c>
      <c r="C425" s="353">
        <f>IF(Settings!AB6="GRZ100xxx",C396+3,C396)</f>
        <v>5</v>
      </c>
      <c r="D425" s="331"/>
    </row>
    <row r="426" spans="2:4">
      <c r="B426" s="147" t="s">
        <v>231</v>
      </c>
      <c r="C426" s="124">
        <f>G32</f>
        <v>63.510392609699778</v>
      </c>
      <c r="D426" s="147"/>
    </row>
    <row r="427" spans="2:4">
      <c r="B427" s="147" t="s">
        <v>240</v>
      </c>
      <c r="C427" s="127">
        <f>VALUE(SUBSTITUTE(G30,"A",""))</f>
        <v>2.1781982803670901</v>
      </c>
      <c r="D427" s="147"/>
    </row>
    <row r="428" spans="2:4">
      <c r="B428" s="350" t="s">
        <v>959</v>
      </c>
      <c r="C428" s="350">
        <f>IF(427:427&gt;15,2,3)</f>
        <v>3</v>
      </c>
      <c r="D428" s="350"/>
    </row>
    <row r="429" spans="2:4">
      <c r="B429" s="350" t="s">
        <v>579</v>
      </c>
      <c r="C429" s="355" t="str">
        <f>IF(OR(Settings!D$103="Off",G35=""),"OFF",F35)</f>
        <v>OFF</v>
      </c>
      <c r="D429" s="350"/>
    </row>
    <row r="430" spans="2:4">
      <c r="B430" s="350" t="s">
        <v>580</v>
      </c>
      <c r="C430" s="355" t="str">
        <f>IF(OR(Settings!D$103="Off",G36=""),"OFF",F36)</f>
        <v>OFF</v>
      </c>
      <c r="D430" s="350"/>
    </row>
    <row r="431" spans="2:4">
      <c r="B431" s="350" t="s">
        <v>581</v>
      </c>
      <c r="C431" s="355" t="str">
        <f>IF(OR(Settings!D$103="Off",G37=""),"OFF",F37)</f>
        <v>OFF</v>
      </c>
      <c r="D431" s="350"/>
    </row>
    <row r="432" spans="2:4">
      <c r="B432" s="350" t="s">
        <v>582</v>
      </c>
      <c r="C432" s="355" t="str">
        <f>IF(OR(Settings!D$103="Off",G38=""),"OFF",F38)</f>
        <v>OFF</v>
      </c>
      <c r="D432" s="350"/>
    </row>
    <row r="433" spans="2:4">
      <c r="B433" s="350" t="s">
        <v>583</v>
      </c>
      <c r="C433" s="355" t="str">
        <f>IF(OR(Settings!D$103="Off",G39=""),"OFF",F39)</f>
        <v>OFF</v>
      </c>
      <c r="D433" s="350"/>
    </row>
    <row r="434" spans="2:4">
      <c r="B434" s="350" t="s">
        <v>584</v>
      </c>
      <c r="C434" s="355" t="str">
        <f>IF(OR(Settings!D$103="Off",G40=""),"OFF",F40)</f>
        <v>OFF</v>
      </c>
      <c r="D434" s="350"/>
    </row>
    <row r="435" spans="2:4">
      <c r="B435" s="350" t="s">
        <v>585</v>
      </c>
      <c r="C435" s="355" t="str">
        <f>IF(OR(Settings!D$103="Off",G41=""),"OFF",F41)</f>
        <v>OFF</v>
      </c>
      <c r="D435" s="350"/>
    </row>
    <row r="436" spans="2:4">
      <c r="B436" s="350" t="s">
        <v>586</v>
      </c>
      <c r="C436" s="355" t="str">
        <f>IF(OR(Settings!D$103="Off",G42=""),"OFF",F42)</f>
        <v>OFF</v>
      </c>
      <c r="D436" s="350"/>
    </row>
    <row r="437" spans="2:4">
      <c r="B437" s="350" t="s">
        <v>587</v>
      </c>
      <c r="C437" s="355" t="str">
        <f>IF(OR(Settings!D$103="Off",G43=""),"OFF",F43)</f>
        <v>OFF</v>
      </c>
      <c r="D437" s="350"/>
    </row>
    <row r="438" spans="2:4">
      <c r="B438" s="350" t="s">
        <v>588</v>
      </c>
      <c r="C438" s="355" t="str">
        <f>IF(OR(Settings!D$103="Off",G44=""),"OFF",F44)</f>
        <v>OFF</v>
      </c>
      <c r="D438" s="350"/>
    </row>
    <row r="439" spans="2:4">
      <c r="B439" s="350" t="s">
        <v>589</v>
      </c>
      <c r="C439" s="355" t="str">
        <f>IF(OR(Settings!D$103="Off",G45=""),"OFF",F45)</f>
        <v>OFF</v>
      </c>
      <c r="D439" s="350"/>
    </row>
    <row r="440" spans="2:4">
      <c r="B440" s="350" t="s">
        <v>590</v>
      </c>
      <c r="C440" s="354">
        <f>G35</f>
        <v>32.073036004277867</v>
      </c>
      <c r="D440" s="350"/>
    </row>
    <row r="441" spans="2:4">
      <c r="B441" s="350" t="s">
        <v>591</v>
      </c>
      <c r="C441" s="354">
        <f>IF(G36="","OFF",G36)</f>
        <v>32.073036004277867</v>
      </c>
      <c r="D441" s="350"/>
    </row>
    <row r="442" spans="2:4">
      <c r="B442" s="350" t="s">
        <v>592</v>
      </c>
      <c r="C442" s="354">
        <f t="shared" ref="C442:C448" si="97">G37</f>
        <v>32.073036004277867</v>
      </c>
      <c r="D442" s="350"/>
    </row>
    <row r="443" spans="2:4">
      <c r="B443" s="350" t="s">
        <v>593</v>
      </c>
      <c r="C443" s="354">
        <f t="shared" si="97"/>
        <v>32.073036004277867</v>
      </c>
      <c r="D443" s="350"/>
    </row>
    <row r="444" spans="2:4">
      <c r="B444" s="350" t="s">
        <v>594</v>
      </c>
      <c r="C444" s="354">
        <f t="shared" si="97"/>
        <v>32.073036004277867</v>
      </c>
      <c r="D444" s="350"/>
    </row>
    <row r="445" spans="2:4">
      <c r="B445" s="350" t="s">
        <v>595</v>
      </c>
      <c r="C445" s="354">
        <f t="shared" si="97"/>
        <v>32.073036004277867</v>
      </c>
      <c r="D445" s="350"/>
    </row>
    <row r="446" spans="2:4">
      <c r="B446" s="350" t="s">
        <v>596</v>
      </c>
      <c r="C446" s="354">
        <f t="shared" si="97"/>
        <v>32.073036004277867</v>
      </c>
      <c r="D446" s="350"/>
    </row>
    <row r="447" spans="2:4">
      <c r="B447" s="350" t="s">
        <v>597</v>
      </c>
      <c r="C447" s="354">
        <f t="shared" si="97"/>
        <v>32.073036004277867</v>
      </c>
      <c r="D447" s="350"/>
    </row>
    <row r="448" spans="2:4">
      <c r="B448" s="350" t="s">
        <v>598</v>
      </c>
      <c r="C448" s="354">
        <f t="shared" si="97"/>
        <v>32.073036004277867</v>
      </c>
      <c r="D448" s="350"/>
    </row>
    <row r="449" spans="2:4">
      <c r="B449" s="350" t="s">
        <v>599</v>
      </c>
      <c r="C449" s="354">
        <f>IF(G44="","OFF",G44)</f>
        <v>32.073036004277867</v>
      </c>
      <c r="D449" s="350"/>
    </row>
    <row r="450" spans="2:4">
      <c r="B450" s="350" t="s">
        <v>600</v>
      </c>
      <c r="C450" s="354">
        <f>G45</f>
        <v>32.073036004277867</v>
      </c>
      <c r="D450" s="350"/>
    </row>
    <row r="451" spans="2:4">
      <c r="B451" s="149" t="s">
        <v>224</v>
      </c>
      <c r="C451" s="316">
        <f>J9</f>
        <v>25</v>
      </c>
      <c r="D451" s="149" t="s">
        <v>243</v>
      </c>
    </row>
    <row r="452" spans="2:4">
      <c r="B452" s="149" t="s">
        <v>228</v>
      </c>
      <c r="C452" s="253">
        <f>IF(Settings!E103="Off",0.001,J10)</f>
        <v>110.00000000000001</v>
      </c>
      <c r="D452" s="149"/>
    </row>
    <row r="453" spans="2:4">
      <c r="B453" s="434" t="s">
        <v>951</v>
      </c>
      <c r="C453" s="750">
        <f>I5</f>
        <v>62.115877399345649</v>
      </c>
      <c r="D453" s="434"/>
    </row>
    <row r="454" spans="2:4">
      <c r="B454" s="434" t="s">
        <v>950</v>
      </c>
      <c r="C454" s="750">
        <f>_Ang2</f>
        <v>62.305949802943552</v>
      </c>
      <c r="D454" s="434"/>
    </row>
    <row r="455" spans="2:4">
      <c r="B455" s="149" t="s">
        <v>236</v>
      </c>
      <c r="C455" s="221">
        <f>VALUE(SUBSTITUTE(J8,"A",""))</f>
        <v>5.7237464522232697</v>
      </c>
      <c r="D455" s="149"/>
    </row>
    <row r="456" spans="2:4">
      <c r="B456" s="434" t="s">
        <v>956</v>
      </c>
      <c r="C456" s="434">
        <f>IF(455:455&gt;15,2,3)</f>
        <v>3</v>
      </c>
      <c r="D456" s="434"/>
    </row>
    <row r="457" spans="2:4">
      <c r="B457" s="434" t="s">
        <v>835</v>
      </c>
      <c r="C457" s="435">
        <f>IF(OR(Settings!E$103="Off",J13=""),"OFF",I13)</f>
        <v>-25</v>
      </c>
      <c r="D457" s="434"/>
    </row>
    <row r="458" spans="2:4">
      <c r="B458" s="434" t="s">
        <v>836</v>
      </c>
      <c r="C458" s="435">
        <f>IF(OR(Settings!E$103="Off",J14=""),"OFF",I14)</f>
        <v>-12.5</v>
      </c>
      <c r="D458" s="434"/>
    </row>
    <row r="459" spans="2:4">
      <c r="B459" s="434" t="s">
        <v>837</v>
      </c>
      <c r="C459" s="435">
        <f>IF(OR(Settings!E$103="Off",J15=""),"OFF",I15)</f>
        <v>0</v>
      </c>
      <c r="D459" s="434"/>
    </row>
    <row r="460" spans="2:4">
      <c r="B460" s="434" t="s">
        <v>838</v>
      </c>
      <c r="C460" s="435">
        <f>IF(OR(Settings!E$103="Off",J16=""),"OFF",I16)</f>
        <v>9.3521074681554079</v>
      </c>
      <c r="D460" s="434"/>
    </row>
    <row r="461" spans="2:4">
      <c r="B461" s="434" t="s">
        <v>839</v>
      </c>
      <c r="C461" s="435">
        <f>IF(OR(Settings!E$103="Off",J17=""),"OFF",I17)</f>
        <v>18.704214936310816</v>
      </c>
      <c r="D461" s="434"/>
    </row>
    <row r="462" spans="2:4">
      <c r="B462" s="434" t="s">
        <v>840</v>
      </c>
      <c r="C462" s="435">
        <f>IF(OR(Settings!E$103="Off",J18=""),"OFF",I18)</f>
        <v>28.056322404466226</v>
      </c>
      <c r="D462" s="434"/>
    </row>
    <row r="463" spans="2:4">
      <c r="B463" s="434" t="s">
        <v>841</v>
      </c>
      <c r="C463" s="435">
        <f>IF(OR(Settings!E$103="Off",J19=""),"OFF",I19)</f>
        <v>48.704214936310819</v>
      </c>
      <c r="D463" s="434"/>
    </row>
    <row r="464" spans="2:4">
      <c r="B464" s="434" t="s">
        <v>842</v>
      </c>
      <c r="C464" s="435">
        <f>IF(OR(Settings!E$103="Off",J20=""),"OFF",I20)</f>
        <v>69.35210746815541</v>
      </c>
      <c r="D464" s="434"/>
    </row>
    <row r="465" spans="2:4">
      <c r="B465" s="434" t="s">
        <v>843</v>
      </c>
      <c r="C465" s="435">
        <f>IF(OR(Settings!E$103="Off",J21=""),"OFF",I21)</f>
        <v>90</v>
      </c>
      <c r="D465" s="434"/>
    </row>
    <row r="466" spans="2:4">
      <c r="B466" s="434" t="s">
        <v>844</v>
      </c>
      <c r="C466" s="435">
        <f>IF(OR(Settings!E$103="Off",J22=""),"OFF",I22)</f>
        <v>102.5</v>
      </c>
      <c r="D466" s="434"/>
    </row>
    <row r="467" spans="2:4">
      <c r="B467" s="434" t="s">
        <v>845</v>
      </c>
      <c r="C467" s="435">
        <f>IF(OR(Settings!E$103="Off",J23=""),"OFF",I23)</f>
        <v>115</v>
      </c>
      <c r="D467" s="434"/>
    </row>
    <row r="468" spans="2:4">
      <c r="B468" s="434" t="s">
        <v>846</v>
      </c>
      <c r="C468" s="265">
        <f t="shared" ref="C468:C478" si="98">IF(J13="","OFF",J13)</f>
        <v>33.348110830136008</v>
      </c>
      <c r="D468" s="434"/>
    </row>
    <row r="469" spans="2:4">
      <c r="B469" s="434" t="s">
        <v>847</v>
      </c>
      <c r="C469" s="265">
        <f t="shared" si="98"/>
        <v>32.872765682749808</v>
      </c>
      <c r="D469" s="434"/>
    </row>
    <row r="470" spans="2:4">
      <c r="B470" s="434" t="s">
        <v>848</v>
      </c>
      <c r="C470" s="265">
        <f t="shared" si="98"/>
        <v>34</v>
      </c>
      <c r="D470" s="434"/>
    </row>
    <row r="471" spans="2:4">
      <c r="B471" s="434" t="s">
        <v>849</v>
      </c>
      <c r="C471" s="265">
        <f t="shared" si="98"/>
        <v>36.048787398789898</v>
      </c>
      <c r="D471" s="434"/>
    </row>
    <row r="472" spans="2:4">
      <c r="B472" s="434" t="s">
        <v>850</v>
      </c>
      <c r="C472" s="265">
        <f t="shared" si="98"/>
        <v>39.477044031764898</v>
      </c>
      <c r="D472" s="434"/>
    </row>
    <row r="473" spans="2:4">
      <c r="B473" s="434" t="s">
        <v>851</v>
      </c>
      <c r="C473" s="265">
        <f t="shared" si="98"/>
        <v>44.94627760754782</v>
      </c>
      <c r="D473" s="434"/>
    </row>
    <row r="474" spans="2:4">
      <c r="B474" s="434" t="s">
        <v>852</v>
      </c>
      <c r="C474" s="265">
        <f t="shared" si="98"/>
        <v>28.137419273357459</v>
      </c>
      <c r="D474" s="434"/>
    </row>
    <row r="475" spans="2:4">
      <c r="B475" s="434" t="s">
        <v>853</v>
      </c>
      <c r="C475" s="265">
        <f t="shared" si="98"/>
        <v>22.591139338379765</v>
      </c>
      <c r="D475" s="434"/>
    </row>
    <row r="476" spans="2:4">
      <c r="B476" s="434" t="s">
        <v>854</v>
      </c>
      <c r="C476" s="265">
        <f t="shared" si="98"/>
        <v>21.14</v>
      </c>
      <c r="D476" s="434"/>
    </row>
    <row r="477" spans="2:4">
      <c r="B477" s="434" t="s">
        <v>855</v>
      </c>
      <c r="C477" s="265">
        <f t="shared" si="98"/>
        <v>21.653268932608725</v>
      </c>
      <c r="D477" s="434"/>
    </row>
    <row r="478" spans="2:4">
      <c r="B478" s="434" t="s">
        <v>856</v>
      </c>
      <c r="C478" s="265">
        <f t="shared" si="98"/>
        <v>23.325409206867075</v>
      </c>
      <c r="D478" s="434"/>
    </row>
    <row r="479" spans="2:4">
      <c r="B479" s="147" t="s">
        <v>552</v>
      </c>
      <c r="C479" s="353">
        <f>IF(Settings!AB6="GRZ100xxx",C451+3,C451)</f>
        <v>25</v>
      </c>
      <c r="D479" s="331"/>
    </row>
    <row r="480" spans="2:4">
      <c r="B480" s="149" t="s">
        <v>232</v>
      </c>
      <c r="C480" s="253">
        <f>IF(Settings!E103="Off",0.001,J32)</f>
        <v>28.52193995381062</v>
      </c>
      <c r="D480" s="149"/>
    </row>
    <row r="481" spans="2:4">
      <c r="B481" s="149" t="s">
        <v>239</v>
      </c>
      <c r="C481" s="221">
        <f>VALUE(SUBSTITUTE(J30,"A",""))</f>
        <v>1.5406009998850201</v>
      </c>
      <c r="D481" s="149"/>
    </row>
    <row r="482" spans="2:4">
      <c r="B482" s="434" t="s">
        <v>960</v>
      </c>
      <c r="C482" s="434">
        <f>IF(481:481&gt;15,2,3)</f>
        <v>3</v>
      </c>
      <c r="D482" s="434"/>
    </row>
    <row r="483" spans="2:4">
      <c r="B483" s="434" t="s">
        <v>813</v>
      </c>
      <c r="C483" s="435">
        <f>IF(OR(Settings!E$103="Off",J35=""),"OFF",I35)</f>
        <v>-25</v>
      </c>
      <c r="D483" s="434"/>
    </row>
    <row r="484" spans="2:4">
      <c r="B484" s="434" t="s">
        <v>814</v>
      </c>
      <c r="C484" s="435">
        <f>IF(OR(Settings!E$103="Off",J36=""),"OFF",I36)</f>
        <v>-12.5</v>
      </c>
      <c r="D484" s="434"/>
    </row>
    <row r="485" spans="2:4">
      <c r="B485" s="434" t="s">
        <v>815</v>
      </c>
      <c r="C485" s="435">
        <f>IF(OR(Settings!E$103="Off",J37=""),"OFF",I37)</f>
        <v>0</v>
      </c>
      <c r="D485" s="434"/>
    </row>
    <row r="486" spans="2:4">
      <c r="B486" s="434" t="s">
        <v>816</v>
      </c>
      <c r="C486" s="435">
        <f>IF(OR(Settings!E$103="Off",J38=""),"OFF",I38)</f>
        <v>4.5</v>
      </c>
      <c r="D486" s="434"/>
    </row>
    <row r="487" spans="2:4">
      <c r="B487" s="434" t="s">
        <v>817</v>
      </c>
      <c r="C487" s="435">
        <f>IF(OR(Settings!E$103="Off",J39=""),"OFF",I39)</f>
        <v>9</v>
      </c>
      <c r="D487" s="434"/>
    </row>
    <row r="488" spans="2:4">
      <c r="B488" s="434" t="s">
        <v>818</v>
      </c>
      <c r="C488" s="435">
        <f>IF(OR(Settings!E$103="Off",J40=""),"OFF",I40)</f>
        <v>10.929909476122836</v>
      </c>
      <c r="D488" s="434"/>
    </row>
    <row r="489" spans="2:4">
      <c r="B489" s="434" t="s">
        <v>819</v>
      </c>
      <c r="C489" s="435">
        <f>IF(OR(Settings!E$103="Off",J41=""),"OFF",I41)</f>
        <v>13</v>
      </c>
      <c r="D489" s="434"/>
    </row>
    <row r="490" spans="2:4">
      <c r="B490" s="434" t="s">
        <v>820</v>
      </c>
      <c r="C490" s="435">
        <f>IF(OR(Settings!E$103="Off",J42=""),"OFF",I42)</f>
        <v>51.5</v>
      </c>
      <c r="D490" s="434"/>
    </row>
    <row r="491" spans="2:4">
      <c r="B491" s="434" t="s">
        <v>821</v>
      </c>
      <c r="C491" s="435">
        <f>IF(OR(Settings!E$103="Off",J43=""),"OFF",I43)</f>
        <v>90</v>
      </c>
      <c r="D491" s="434"/>
    </row>
    <row r="492" spans="2:4">
      <c r="B492" s="434" t="s">
        <v>822</v>
      </c>
      <c r="C492" s="435">
        <f>IF(OR(Settings!E$103="Off",J44=""),"OFF",I44)</f>
        <v>102.5</v>
      </c>
      <c r="D492" s="434"/>
    </row>
    <row r="493" spans="2:4">
      <c r="B493" s="434" t="s">
        <v>823</v>
      </c>
      <c r="C493" s="435">
        <f>IF(OR(Settings!E$103="Off",J45=""),"OFF",I45)</f>
        <v>115</v>
      </c>
      <c r="D493" s="434"/>
    </row>
    <row r="494" spans="2:4">
      <c r="B494" s="434" t="s">
        <v>824</v>
      </c>
      <c r="C494" s="265">
        <f t="shared" ref="C494:C504" si="99">IF(J35="","OFF",J35)</f>
        <v>98.082678912164724</v>
      </c>
      <c r="D494" s="434"/>
    </row>
    <row r="495" spans="2:4">
      <c r="B495" s="434" t="s">
        <v>825</v>
      </c>
      <c r="C495" s="265">
        <f t="shared" si="99"/>
        <v>96.684604949264141</v>
      </c>
      <c r="D495" s="434"/>
    </row>
    <row r="496" spans="2:4">
      <c r="B496" s="434" t="s">
        <v>826</v>
      </c>
      <c r="C496" s="265">
        <f t="shared" si="99"/>
        <v>100</v>
      </c>
      <c r="D496" s="434"/>
    </row>
    <row r="497" spans="2:4">
      <c r="B497" s="434" t="s">
        <v>827</v>
      </c>
      <c r="C497" s="265">
        <f t="shared" si="99"/>
        <v>102.47011567143217</v>
      </c>
      <c r="D497" s="434"/>
    </row>
    <row r="498" spans="2:4">
      <c r="B498" s="434" t="s">
        <v>828</v>
      </c>
      <c r="C498" s="265">
        <f t="shared" si="99"/>
        <v>105.73374518019439</v>
      </c>
      <c r="D498" s="434"/>
    </row>
    <row r="499" spans="2:4">
      <c r="B499" s="434" t="s">
        <v>829</v>
      </c>
      <c r="C499" s="265">
        <f t="shared" si="99"/>
        <v>107.40509217798125</v>
      </c>
      <c r="D499" s="434"/>
    </row>
    <row r="500" spans="2:4">
      <c r="B500" s="434" t="s">
        <v>830</v>
      </c>
      <c r="C500" s="265">
        <f t="shared" si="99"/>
        <v>90.53021212132883</v>
      </c>
      <c r="D500" s="434"/>
    </row>
    <row r="501" spans="2:4">
      <c r="B501" s="434" t="s">
        <v>831</v>
      </c>
      <c r="C501" s="265">
        <f t="shared" si="99"/>
        <v>26.021791989202487</v>
      </c>
      <c r="D501" s="434"/>
    </row>
    <row r="502" spans="2:4">
      <c r="B502" s="434" t="s">
        <v>832</v>
      </c>
      <c r="C502" s="265">
        <f t="shared" si="99"/>
        <v>20.364866666666668</v>
      </c>
      <c r="D502" s="434"/>
    </row>
    <row r="503" spans="2:4">
      <c r="B503" s="434" t="s">
        <v>833</v>
      </c>
      <c r="C503" s="265">
        <f t="shared" si="99"/>
        <v>20.859315738413073</v>
      </c>
      <c r="D503" s="434"/>
    </row>
    <row r="504" spans="2:4">
      <c r="B504" s="434" t="s">
        <v>834</v>
      </c>
      <c r="C504" s="265">
        <f t="shared" si="99"/>
        <v>22.47014420261528</v>
      </c>
      <c r="D504" s="434"/>
    </row>
    <row r="505" spans="2:4">
      <c r="B505" s="153" t="s">
        <v>225</v>
      </c>
      <c r="C505" s="756">
        <f>M9</f>
        <v>230</v>
      </c>
      <c r="D505" s="153" t="s">
        <v>245</v>
      </c>
    </row>
    <row r="506" spans="2:4">
      <c r="B506" s="153" t="s">
        <v>229</v>
      </c>
      <c r="C506" s="757">
        <f>IF(Settings!F103="Off",0.001,M10)</f>
        <v>110.00000000000001</v>
      </c>
      <c r="D506" s="153"/>
    </row>
    <row r="507" spans="2:4">
      <c r="B507" s="328" t="s">
        <v>953</v>
      </c>
      <c r="C507" s="749">
        <f>BA22</f>
        <v>62.115877399345649</v>
      </c>
      <c r="D507" s="328"/>
    </row>
    <row r="508" spans="2:4">
      <c r="B508" s="328" t="s">
        <v>952</v>
      </c>
      <c r="C508" s="749">
        <f>_Ang3</f>
        <v>62.305949802943552</v>
      </c>
      <c r="D508" s="328"/>
    </row>
    <row r="509" spans="2:4">
      <c r="B509" s="153" t="s">
        <v>237</v>
      </c>
      <c r="C509" s="758">
        <f>VALUE(SUBSTITUTE(M8,"A",""))</f>
        <v>3.1025641025641</v>
      </c>
      <c r="D509" s="153"/>
    </row>
    <row r="510" spans="2:4">
      <c r="B510" s="328" t="s">
        <v>957</v>
      </c>
      <c r="C510" s="328">
        <f>IF(509:509&gt;15,2,3)</f>
        <v>3</v>
      </c>
      <c r="D510" s="751"/>
    </row>
    <row r="511" spans="2:4">
      <c r="B511" s="328" t="s">
        <v>468</v>
      </c>
      <c r="C511" s="329">
        <f>IF(OR(Settings!F$103="Off",M13=""),"OFF",L13)</f>
        <v>-25</v>
      </c>
      <c r="D511" s="328"/>
    </row>
    <row r="512" spans="2:4">
      <c r="B512" s="328" t="s">
        <v>469</v>
      </c>
      <c r="C512" s="329">
        <f>IF(OR(Settings!F$103="Off",M14=""),"OFF",L14)</f>
        <v>-12.5</v>
      </c>
      <c r="D512" s="328"/>
    </row>
    <row r="513" spans="2:4">
      <c r="B513" s="328" t="s">
        <v>470</v>
      </c>
      <c r="C513" s="329">
        <f>IF(OR(Settings!F$103="Off",M15=""),"OFF",L15)</f>
        <v>0</v>
      </c>
      <c r="D513" s="328"/>
    </row>
    <row r="514" spans="2:4">
      <c r="B514" s="328" t="s">
        <v>471</v>
      </c>
      <c r="C514" s="329">
        <f>IF(OR(Settings!F$103="Off",M16=""),"OFF",L16)</f>
        <v>10.942844600484717</v>
      </c>
      <c r="D514" s="328"/>
    </row>
    <row r="515" spans="2:4">
      <c r="B515" s="328" t="s">
        <v>472</v>
      </c>
      <c r="C515" s="329">
        <f>IF(OR(Settings!F$103="Off",M17=""),"OFF",L17)</f>
        <v>21.885689200969434</v>
      </c>
      <c r="D515" s="328"/>
    </row>
    <row r="516" spans="2:4">
      <c r="B516" s="328" t="s">
        <v>473</v>
      </c>
      <c r="C516" s="329">
        <f>IF(OR(Settings!F$103="Off",M18=""),"OFF",L18)</f>
        <v>32.828533801454149</v>
      </c>
      <c r="D516" s="328"/>
    </row>
    <row r="517" spans="2:4">
      <c r="B517" s="328" t="s">
        <v>474</v>
      </c>
      <c r="C517" s="329">
        <f>IF(OR(Settings!F$103="Off",M19=""),"OFF",L19)</f>
        <v>51.885689200969438</v>
      </c>
      <c r="D517" s="328"/>
    </row>
    <row r="518" spans="2:4">
      <c r="B518" s="328" t="s">
        <v>475</v>
      </c>
      <c r="C518" s="329">
        <f>IF(OR(Settings!F$103="Off",M20=""),"OFF",L20)</f>
        <v>70.942844600484719</v>
      </c>
      <c r="D518" s="328"/>
    </row>
    <row r="519" spans="2:4">
      <c r="B519" s="328" t="s">
        <v>476</v>
      </c>
      <c r="C519" s="329">
        <f>IF(OR(Settings!F$103="Off",M21=""),"OFF",L21)</f>
        <v>90</v>
      </c>
      <c r="D519" s="328"/>
    </row>
    <row r="520" spans="2:4">
      <c r="B520" s="328" t="s">
        <v>477</v>
      </c>
      <c r="C520" s="329">
        <f>IF(OR(Settings!F$103="Off",M22=""),"OFF",L22)</f>
        <v>102.5</v>
      </c>
      <c r="D520" s="328"/>
    </row>
    <row r="521" spans="2:4">
      <c r="B521" s="328" t="s">
        <v>478</v>
      </c>
      <c r="C521" s="329">
        <f>IF(OR(Settings!F$103="Off",M23=""),"OFF",L23)</f>
        <v>115</v>
      </c>
      <c r="D521" s="328"/>
    </row>
    <row r="522" spans="2:4">
      <c r="B522" s="328" t="s">
        <v>479</v>
      </c>
      <c r="C522" s="330">
        <f t="shared" ref="C522:C532" si="100">IF(M13="","OFF",M13)</f>
        <v>49.041339456082362</v>
      </c>
      <c r="D522" s="328"/>
    </row>
    <row r="523" spans="2:4">
      <c r="B523" s="328" t="s">
        <v>480</v>
      </c>
      <c r="C523" s="330">
        <f t="shared" si="100"/>
        <v>48.342302474632071</v>
      </c>
      <c r="D523" s="328"/>
    </row>
    <row r="524" spans="2:4">
      <c r="B524" s="328" t="s">
        <v>481</v>
      </c>
      <c r="C524" s="330">
        <f t="shared" si="100"/>
        <v>50</v>
      </c>
      <c r="D524" s="328"/>
    </row>
    <row r="525" spans="2:4">
      <c r="B525" s="328" t="s">
        <v>482</v>
      </c>
      <c r="C525" s="330">
        <f t="shared" si="100"/>
        <v>53.708442984482311</v>
      </c>
      <c r="D525" s="328"/>
    </row>
    <row r="526" spans="2:4">
      <c r="B526" s="328" t="s">
        <v>483</v>
      </c>
      <c r="C526" s="330">
        <f t="shared" si="100"/>
        <v>60.38284823367637</v>
      </c>
      <c r="D526" s="328"/>
    </row>
    <row r="527" spans="2:4">
      <c r="B527" s="328" t="s">
        <v>484</v>
      </c>
      <c r="C527" s="330">
        <f t="shared" si="100"/>
        <v>71.938895857750893</v>
      </c>
      <c r="D527" s="328"/>
    </row>
    <row r="528" spans="2:4">
      <c r="B528" s="328" t="s">
        <v>485</v>
      </c>
      <c r="C528" s="330">
        <f t="shared" si="100"/>
        <v>49.569074427745051</v>
      </c>
      <c r="D528" s="328"/>
    </row>
    <row r="529" spans="2:4">
      <c r="B529" s="328" t="s">
        <v>486</v>
      </c>
      <c r="C529" s="330">
        <f t="shared" si="100"/>
        <v>41.261399723395193</v>
      </c>
      <c r="D529" s="328"/>
    </row>
    <row r="530" spans="2:4">
      <c r="B530" s="328" t="s">
        <v>487</v>
      </c>
      <c r="C530" s="330">
        <f t="shared" si="100"/>
        <v>39</v>
      </c>
      <c r="D530" s="328"/>
    </row>
    <row r="531" spans="2:4">
      <c r="B531" s="328" t="s">
        <v>488</v>
      </c>
      <c r="C531" s="330">
        <f t="shared" si="100"/>
        <v>39.946901058265858</v>
      </c>
      <c r="D531" s="328"/>
    </row>
    <row r="532" spans="2:4">
      <c r="B532" s="328" t="s">
        <v>489</v>
      </c>
      <c r="C532" s="330">
        <f t="shared" si="100"/>
        <v>43.031738839537176</v>
      </c>
      <c r="D532" s="328"/>
    </row>
    <row r="533" spans="2:4">
      <c r="B533" s="147" t="s">
        <v>553</v>
      </c>
      <c r="C533" s="353">
        <f>IF(Settings!AB6="GRZ100xxx",C505+3,C505)</f>
        <v>230</v>
      </c>
      <c r="D533" s="331"/>
    </row>
    <row r="534" spans="2:4">
      <c r="B534" s="153" t="s">
        <v>233</v>
      </c>
      <c r="C534" s="757">
        <f>IF(Settings!F103="Off",0.001,M32)</f>
        <v>63.51</v>
      </c>
      <c r="D534" s="153"/>
    </row>
    <row r="535" spans="2:4">
      <c r="B535" s="153" t="s">
        <v>241</v>
      </c>
      <c r="C535" s="758">
        <f>VALUE(SUBSTITUTE(M30,"A",""))</f>
        <v>1.8580053191489401</v>
      </c>
      <c r="D535" s="153"/>
    </row>
    <row r="536" spans="2:4">
      <c r="B536" s="328" t="s">
        <v>961</v>
      </c>
      <c r="C536" s="328">
        <f>IF(535:535&gt;15,2,3)</f>
        <v>3</v>
      </c>
      <c r="D536" s="328"/>
    </row>
    <row r="537" spans="2:4">
      <c r="B537" s="328" t="s">
        <v>512</v>
      </c>
      <c r="C537" s="329">
        <f>IF(OR(Settings!F$103="Off",M35=""),"OFF",L35)</f>
        <v>-25</v>
      </c>
      <c r="D537" s="328"/>
    </row>
    <row r="538" spans="2:4">
      <c r="B538" s="328" t="s">
        <v>513</v>
      </c>
      <c r="C538" s="329">
        <f>IF(OR(Settings!F$103="Off",M36=""),"OFF",L36)</f>
        <v>-12.5</v>
      </c>
      <c r="D538" s="328"/>
    </row>
    <row r="539" spans="2:4">
      <c r="B539" s="328" t="s">
        <v>514</v>
      </c>
      <c r="C539" s="329">
        <f>IF(OR(Settings!F$103="Off",M37=""),"OFF",L37)</f>
        <v>0</v>
      </c>
      <c r="D539" s="328"/>
    </row>
    <row r="540" spans="2:4">
      <c r="B540" s="328" t="s">
        <v>515</v>
      </c>
      <c r="C540" s="329">
        <f>IF(OR(Settings!F$103="Off",M38=""),"OFF",L38)</f>
        <v>7</v>
      </c>
      <c r="D540" s="328"/>
    </row>
    <row r="541" spans="2:4">
      <c r="B541" s="328" t="s">
        <v>516</v>
      </c>
      <c r="C541" s="329">
        <f>IF(OR(Settings!F$103="Off",M39=""),"OFF",L39)</f>
        <v>14</v>
      </c>
      <c r="D541" s="328"/>
    </row>
    <row r="542" spans="2:4">
      <c r="B542" s="328" t="s">
        <v>517</v>
      </c>
      <c r="C542" s="329">
        <f>IF(OR(Settings!F$103="Off",M40=""),"OFF",L40)</f>
        <v>18.859429503917497</v>
      </c>
      <c r="D542" s="328"/>
    </row>
    <row r="543" spans="2:4">
      <c r="B543" s="328" t="s">
        <v>518</v>
      </c>
      <c r="C543" s="329">
        <f>IF(OR(Settings!F$103="Off",M41=""),"OFF",L41)</f>
        <v>24</v>
      </c>
      <c r="D543" s="328"/>
    </row>
    <row r="544" spans="2:4">
      <c r="B544" s="328" t="s">
        <v>519</v>
      </c>
      <c r="C544" s="329">
        <f>IF(OR(Settings!F$103="Off",M42=""),"OFF",L42)</f>
        <v>57</v>
      </c>
      <c r="D544" s="328"/>
    </row>
    <row r="545" spans="2:4">
      <c r="B545" s="328" t="s">
        <v>520</v>
      </c>
      <c r="C545" s="329">
        <f>IF(OR(Settings!F$103="Off",M43=""),"OFF",L43)</f>
        <v>90</v>
      </c>
      <c r="D545" s="328"/>
    </row>
    <row r="546" spans="2:4">
      <c r="B546" s="328" t="s">
        <v>521</v>
      </c>
      <c r="C546" s="329">
        <f>IF(OR(Settings!F$103="Off",M44=""),"OFF",L44)</f>
        <v>102.5</v>
      </c>
      <c r="D546" s="328"/>
    </row>
    <row r="547" spans="2:4">
      <c r="B547" s="328" t="s">
        <v>522</v>
      </c>
      <c r="C547" s="329">
        <f>IF(OR(Settings!F$103="Off",M45=""),"OFF",L45)</f>
        <v>115</v>
      </c>
      <c r="D547" s="328"/>
    </row>
    <row r="548" spans="2:4">
      <c r="B548" s="328" t="s">
        <v>523</v>
      </c>
      <c r="C548" s="330">
        <f t="shared" ref="C548:C558" si="101">IF(M35="","OFF",M35)</f>
        <v>98.082678912164724</v>
      </c>
      <c r="D548" s="328"/>
    </row>
    <row r="549" spans="2:4">
      <c r="B549" s="328" t="s">
        <v>524</v>
      </c>
      <c r="C549" s="330">
        <f t="shared" si="101"/>
        <v>96.684604949264141</v>
      </c>
      <c r="D549" s="328"/>
    </row>
    <row r="550" spans="2:4">
      <c r="B550" s="328" t="s">
        <v>525</v>
      </c>
      <c r="C550" s="330">
        <f t="shared" si="101"/>
        <v>100</v>
      </c>
      <c r="D550" s="328"/>
    </row>
    <row r="551" spans="2:4">
      <c r="B551" s="328" t="s">
        <v>526</v>
      </c>
      <c r="C551" s="330">
        <f t="shared" si="101"/>
        <v>104.17845625023124</v>
      </c>
      <c r="D551" s="328"/>
    </row>
    <row r="552" spans="2:4">
      <c r="B552" s="328" t="s">
        <v>527</v>
      </c>
      <c r="C552" s="330">
        <f t="shared" si="101"/>
        <v>110.43952227515041</v>
      </c>
      <c r="D552" s="328"/>
    </row>
    <row r="553" spans="2:4">
      <c r="B553" s="328" t="s">
        <v>528</v>
      </c>
      <c r="C553" s="330">
        <f t="shared" si="101"/>
        <v>116.3195655435823</v>
      </c>
      <c r="D553" s="328"/>
    </row>
    <row r="554" spans="2:4">
      <c r="B554" s="328" t="s">
        <v>529</v>
      </c>
      <c r="C554" s="330">
        <f t="shared" si="101"/>
        <v>92.443109417591359</v>
      </c>
      <c r="D554" s="328"/>
    </row>
    <row r="555" spans="2:4">
      <c r="B555" s="328" t="s">
        <v>530</v>
      </c>
      <c r="C555" s="330">
        <f t="shared" si="101"/>
        <v>44.832859810631625</v>
      </c>
      <c r="D555" s="328"/>
    </row>
    <row r="556" spans="2:4">
      <c r="B556" s="328" t="s">
        <v>531</v>
      </c>
      <c r="C556" s="330">
        <f t="shared" si="101"/>
        <v>37.6</v>
      </c>
      <c r="D556" s="328"/>
    </row>
    <row r="557" spans="2:4">
      <c r="B557" s="328" t="s">
        <v>532</v>
      </c>
      <c r="C557" s="330">
        <f t="shared" si="101"/>
        <v>38.512909738225552</v>
      </c>
      <c r="D557" s="328"/>
    </row>
    <row r="558" spans="2:4">
      <c r="B558" s="328" t="s">
        <v>533</v>
      </c>
      <c r="C558" s="330">
        <f t="shared" si="101"/>
        <v>41.487009752989685</v>
      </c>
      <c r="D558" s="328"/>
    </row>
    <row r="559" spans="2:4">
      <c r="B559" s="309" t="s">
        <v>356</v>
      </c>
      <c r="C559" s="754">
        <f>P9</f>
        <v>30</v>
      </c>
      <c r="D559" s="755"/>
    </row>
    <row r="560" spans="2:4">
      <c r="B560" s="122" t="s">
        <v>211</v>
      </c>
      <c r="C560" s="124">
        <f>IF(Settings!G103="Off",0.001,P10)</f>
        <v>65.28827264619386</v>
      </c>
      <c r="D560" s="147" t="s">
        <v>359</v>
      </c>
    </row>
    <row r="561" spans="2:4">
      <c r="B561" s="445" t="s">
        <v>943</v>
      </c>
      <c r="C561" s="446">
        <f>AQ22</f>
        <v>43.577767971426383</v>
      </c>
      <c r="D561" s="445" t="s">
        <v>728</v>
      </c>
    </row>
    <row r="562" spans="2:4">
      <c r="B562" s="445" t="s">
        <v>942</v>
      </c>
      <c r="C562" s="549">
        <f>ForwardAng</f>
        <v>48.51253735452979</v>
      </c>
      <c r="D562" s="445"/>
    </row>
    <row r="563" spans="2:4">
      <c r="B563" s="122" t="s">
        <v>212</v>
      </c>
      <c r="C563" s="127">
        <f>VALUE(SUBSTITUTE(P8,"A",""))</f>
        <v>6.6497314732234498</v>
      </c>
      <c r="D563" s="147"/>
    </row>
    <row r="565" spans="2:4">
      <c r="B565" s="445" t="s">
        <v>769</v>
      </c>
      <c r="C565" s="549">
        <f>IF(OR(Settings!G$103="Off",P13="",O13=O14),"OFF",O13)</f>
        <v>125</v>
      </c>
      <c r="D565" s="445" t="s">
        <v>728</v>
      </c>
    </row>
    <row r="566" spans="2:4">
      <c r="B566" s="445" t="s">
        <v>770</v>
      </c>
      <c r="C566" s="549">
        <f>IF(OR(Settings!G$103="Off",P14=""),"OFF",O14)</f>
        <v>128.21900962126432</v>
      </c>
      <c r="D566" s="445"/>
    </row>
    <row r="567" spans="2:4">
      <c r="B567" s="445" t="s">
        <v>771</v>
      </c>
      <c r="C567" s="549">
        <f>IF(OR(Settings!G$103="Off",P15=""),"OFF",O15)</f>
        <v>180</v>
      </c>
      <c r="D567" s="445"/>
    </row>
    <row r="568" spans="2:4">
      <c r="B568" s="445" t="s">
        <v>772</v>
      </c>
      <c r="C568" s="549">
        <f>IF(OR(Settings!G$103="Off",P16=""),"OFF",O16)</f>
        <v>189.91763760020854</v>
      </c>
      <c r="D568" s="445"/>
    </row>
    <row r="569" spans="2:4">
      <c r="B569" s="445" t="s">
        <v>773</v>
      </c>
      <c r="C569" s="549">
        <f>IF(OR(Settings!G$103="Off",P17=""),"OFF",O17)</f>
        <v>199.83527520041707</v>
      </c>
      <c r="D569" s="445"/>
    </row>
    <row r="570" spans="2:4">
      <c r="B570" s="445" t="s">
        <v>774</v>
      </c>
      <c r="C570" s="549">
        <f>IF(OR(Settings!G$103="Off",P18=""),"OFF",O18)</f>
        <v>209.75291280062561</v>
      </c>
      <c r="D570" s="445"/>
    </row>
    <row r="571" spans="2:4">
      <c r="B571" s="445" t="s">
        <v>775</v>
      </c>
      <c r="C571" s="549">
        <f>IF(OR(Settings!G$103="Off",P19=""),"OFF",O19)</f>
        <v>229.83527520041707</v>
      </c>
      <c r="D571" s="445"/>
    </row>
    <row r="572" spans="2:4">
      <c r="B572" s="445" t="s">
        <v>776</v>
      </c>
      <c r="C572" s="549">
        <f>IF(OR(Settings!G$103="Off",P20=""),"OFF",O20)</f>
        <v>249.91763760020854</v>
      </c>
      <c r="D572" s="445"/>
    </row>
    <row r="573" spans="2:4">
      <c r="B573" s="445" t="s">
        <v>777</v>
      </c>
      <c r="C573" s="549">
        <f>IF(OR(Settings!G$103="Off",P21=""),"OFF",O21)</f>
        <v>270</v>
      </c>
      <c r="D573" s="445"/>
    </row>
    <row r="574" spans="2:4">
      <c r="B574" s="445" t="s">
        <v>778</v>
      </c>
      <c r="C574" s="549">
        <f>IF(OR(Settings!G$103="Off",P22=""),"OFF",O22)</f>
        <v>297.5</v>
      </c>
      <c r="D574" s="445"/>
    </row>
    <row r="575" spans="2:4">
      <c r="B575" s="445" t="s">
        <v>779</v>
      </c>
      <c r="C575" s="549">
        <f>IF(OR(Settings!G$103="Off",P23=""),"OFF",O23)</f>
        <v>325</v>
      </c>
      <c r="D575" s="445"/>
    </row>
    <row r="576" spans="2:4">
      <c r="B576" s="445" t="s">
        <v>918</v>
      </c>
      <c r="C576" s="549" t="str">
        <f>IF(OR(Settings!G$103="Off",P24=""),"OFF",O24)</f>
        <v>OFF</v>
      </c>
      <c r="D576" s="445"/>
    </row>
    <row r="577" spans="2:4">
      <c r="B577" s="445" t="s">
        <v>780</v>
      </c>
      <c r="C577" s="550">
        <f t="shared" ref="C577:C588" si="102">IF(P13="","OFF",P13)</f>
        <v>18.506942765623673</v>
      </c>
      <c r="D577" s="445"/>
    </row>
    <row r="578" spans="2:4">
      <c r="B578" s="445" t="s">
        <v>781</v>
      </c>
      <c r="C578" s="550">
        <f t="shared" si="102"/>
        <v>19.296083111549006</v>
      </c>
      <c r="D578" s="445"/>
    </row>
    <row r="579" spans="2:4">
      <c r="B579" s="445" t="s">
        <v>782</v>
      </c>
      <c r="C579" s="550">
        <f t="shared" si="102"/>
        <v>16</v>
      </c>
      <c r="D579" s="445"/>
    </row>
    <row r="580" spans="2:4">
      <c r="B580" s="445" t="s">
        <v>783</v>
      </c>
      <c r="C580" s="550">
        <f t="shared" si="102"/>
        <v>17.041094359679807</v>
      </c>
      <c r="D580" s="445"/>
    </row>
    <row r="581" spans="2:4">
      <c r="B581" s="445" t="s">
        <v>784</v>
      </c>
      <c r="C581" s="550">
        <f t="shared" si="102"/>
        <v>18.829016621872125</v>
      </c>
      <c r="D581" s="445"/>
    </row>
    <row r="582" spans="2:4">
      <c r="B582" s="445" t="s">
        <v>785</v>
      </c>
      <c r="C582" s="550">
        <f t="shared" si="102"/>
        <v>21.762757548731287</v>
      </c>
      <c r="D582" s="445"/>
    </row>
    <row r="583" spans="2:4">
      <c r="B583" s="445" t="s">
        <v>786</v>
      </c>
      <c r="C583" s="550">
        <f t="shared" si="102"/>
        <v>14.132550493790381</v>
      </c>
      <c r="D583" s="445"/>
    </row>
    <row r="584" spans="2:4">
      <c r="B584" s="445" t="s">
        <v>787</v>
      </c>
      <c r="C584" s="550">
        <f t="shared" si="102"/>
        <v>11.499148238135696</v>
      </c>
      <c r="D584" s="445"/>
    </row>
    <row r="585" spans="2:4">
      <c r="B585" s="445" t="s">
        <v>788</v>
      </c>
      <c r="C585" s="550">
        <f t="shared" si="102"/>
        <v>10.8</v>
      </c>
      <c r="D585" s="445"/>
    </row>
    <row r="586" spans="2:4">
      <c r="B586" s="445" t="s">
        <v>789</v>
      </c>
      <c r="C586" s="550">
        <f t="shared" si="102"/>
        <v>12.175725026156499</v>
      </c>
      <c r="D586" s="445"/>
    </row>
    <row r="587" spans="2:4">
      <c r="B587" s="445" t="s">
        <v>790</v>
      </c>
      <c r="C587" s="550">
        <f t="shared" si="102"/>
        <v>18.829225392707848</v>
      </c>
      <c r="D587" s="445"/>
    </row>
    <row r="588" spans="2:4">
      <c r="B588" s="445" t="s">
        <v>919</v>
      </c>
      <c r="C588" s="550" t="str">
        <f t="shared" si="102"/>
        <v>OFF</v>
      </c>
      <c r="D588" s="445"/>
    </row>
    <row r="589" spans="2:4">
      <c r="B589" s="476" t="s">
        <v>554</v>
      </c>
      <c r="C589" s="776">
        <f>IF(Settings!AB6="GRZ100xxx",C559+3,C559)</f>
        <v>30</v>
      </c>
      <c r="D589" s="476" t="s">
        <v>889</v>
      </c>
    </row>
    <row r="590" spans="2:4">
      <c r="B590" s="418" t="s">
        <v>791</v>
      </c>
      <c r="C590" s="423">
        <f>IF(OR(Settings!G$103="Off",P35=""),"OFF",O35)</f>
        <v>155</v>
      </c>
      <c r="D590" s="418"/>
    </row>
    <row r="591" spans="2:4">
      <c r="B591" s="418" t="s">
        <v>792</v>
      </c>
      <c r="C591" s="423">
        <f>IF(OR(Settings!G$103="Off",P36=""),"OFF",O36)</f>
        <v>167.5</v>
      </c>
      <c r="D591" s="418"/>
    </row>
    <row r="592" spans="2:4">
      <c r="B592" s="418" t="s">
        <v>793</v>
      </c>
      <c r="C592" s="423">
        <f>IF(OR(Settings!G$103="Off",P37=""),"OFF",O37)</f>
        <v>180</v>
      </c>
      <c r="D592" s="418"/>
    </row>
    <row r="593" spans="2:4">
      <c r="B593" s="418" t="s">
        <v>794</v>
      </c>
      <c r="C593" s="423">
        <f>IF(OR(Settings!G$103="Off",P38=""),"OFF",O38)</f>
        <v>192</v>
      </c>
      <c r="D593" s="418"/>
    </row>
    <row r="594" spans="2:4">
      <c r="B594" s="418" t="s">
        <v>795</v>
      </c>
      <c r="C594" s="423">
        <f>IF(OR(Settings!G$103="Off",P39=""),"OFF",O39)</f>
        <v>204</v>
      </c>
      <c r="D594" s="418"/>
    </row>
    <row r="595" spans="2:4">
      <c r="B595" s="418" t="s">
        <v>796</v>
      </c>
      <c r="C595" s="423">
        <f>IF(OR(Settings!G$103="Off",P40=""),"OFF",O40)</f>
        <v>206.26504615177132</v>
      </c>
      <c r="D595" s="418"/>
    </row>
    <row r="596" spans="2:4">
      <c r="B596" s="418" t="s">
        <v>797</v>
      </c>
      <c r="C596" s="423">
        <f>IF(OR(Settings!G$103="Off",P41=""),"OFF",O41)</f>
        <v>208</v>
      </c>
      <c r="D596" s="418"/>
    </row>
    <row r="597" spans="2:4">
      <c r="B597" s="418" t="s">
        <v>798</v>
      </c>
      <c r="C597" s="423">
        <f>IF(OR(Settings!G$103="Off",P42=""),"OFF",O42)</f>
        <v>239</v>
      </c>
      <c r="D597" s="418"/>
    </row>
    <row r="598" spans="2:4">
      <c r="B598" s="418" t="s">
        <v>799</v>
      </c>
      <c r="C598" s="423">
        <f>IF(OR(Settings!G$103="Off",P43=""),"OFF",O43)</f>
        <v>270</v>
      </c>
      <c r="D598" s="418"/>
    </row>
    <row r="599" spans="2:4">
      <c r="B599" s="418" t="s">
        <v>800</v>
      </c>
      <c r="C599" s="423">
        <f>IF(OR(Settings!G$103="Off",P44=""),"OFF",O44)</f>
        <v>297.5</v>
      </c>
      <c r="D599" s="418"/>
    </row>
    <row r="600" spans="2:4">
      <c r="B600" s="418" t="s">
        <v>801</v>
      </c>
      <c r="C600" s="423">
        <f>IF(OR(Settings!G$103="Off",P45=""),"OFF",O45)</f>
        <v>325</v>
      </c>
      <c r="D600" s="418"/>
    </row>
    <row r="601" spans="2:4">
      <c r="B601" s="418" t="s">
        <v>920</v>
      </c>
      <c r="C601" s="423" t="str">
        <f>IF(OR(Settings!G$103="Off",P46=""),"OFF",O46)</f>
        <v>OFF</v>
      </c>
      <c r="D601" s="418"/>
    </row>
    <row r="602" spans="2:4">
      <c r="B602" s="418" t="s">
        <v>802</v>
      </c>
      <c r="C602" s="777">
        <f t="shared" ref="C602:C613" si="103">IF(P35="","OFF",P35)</f>
        <v>22.264768113061393</v>
      </c>
      <c r="D602" s="418"/>
    </row>
    <row r="603" spans="2:4">
      <c r="B603" s="418" t="s">
        <v>803</v>
      </c>
      <c r="C603" s="777">
        <f t="shared" si="103"/>
        <v>21.947405323482961</v>
      </c>
      <c r="D603" s="418"/>
    </row>
    <row r="604" spans="2:4">
      <c r="B604" s="418" t="s">
        <v>804</v>
      </c>
      <c r="C604" s="777">
        <f t="shared" si="103"/>
        <v>22.7</v>
      </c>
      <c r="D604" s="418"/>
    </row>
    <row r="605" spans="2:4">
      <c r="B605" s="418" t="s">
        <v>805</v>
      </c>
      <c r="C605" s="777">
        <f t="shared" si="103"/>
        <v>24.608704494880175</v>
      </c>
      <c r="D605" s="418"/>
    </row>
    <row r="606" spans="2:4">
      <c r="B606" s="418" t="s">
        <v>806</v>
      </c>
      <c r="C606" s="777">
        <f t="shared" si="103"/>
        <v>28.214154540100349</v>
      </c>
      <c r="D606" s="418"/>
    </row>
    <row r="607" spans="2:4">
      <c r="B607" s="418" t="s">
        <v>807</v>
      </c>
      <c r="C607" s="777">
        <f t="shared" si="103"/>
        <v>29.170532868396531</v>
      </c>
      <c r="D607" s="418"/>
    </row>
    <row r="608" spans="2:4">
      <c r="B608" s="418" t="s">
        <v>808</v>
      </c>
      <c r="C608" s="777">
        <f t="shared" si="103"/>
        <v>27.496163111702352</v>
      </c>
      <c r="D608" s="418"/>
    </row>
    <row r="609" spans="2:4">
      <c r="B609" s="418" t="s">
        <v>809</v>
      </c>
      <c r="C609" s="777">
        <f t="shared" si="103"/>
        <v>15.059681646853633</v>
      </c>
      <c r="D609" s="418"/>
    </row>
    <row r="610" spans="2:4">
      <c r="B610" s="418" t="s">
        <v>810</v>
      </c>
      <c r="C610" s="777">
        <f t="shared" si="103"/>
        <v>12.908666666666667</v>
      </c>
      <c r="D610" s="418"/>
    </row>
    <row r="611" spans="2:4">
      <c r="B611" s="418" t="s">
        <v>811</v>
      </c>
      <c r="C611" s="777">
        <f t="shared" si="103"/>
        <v>14.552997758115326</v>
      </c>
      <c r="D611" s="418"/>
    </row>
    <row r="612" spans="2:4">
      <c r="B612" s="418" t="s">
        <v>812</v>
      </c>
      <c r="C612" s="777">
        <f t="shared" si="103"/>
        <v>22.505573535740865</v>
      </c>
      <c r="D612" s="418"/>
    </row>
    <row r="613" spans="2:4">
      <c r="B613" s="418" t="s">
        <v>924</v>
      </c>
      <c r="C613" s="777" t="str">
        <f t="shared" si="103"/>
        <v>OFF</v>
      </c>
      <c r="D613" s="418"/>
    </row>
    <row r="615" spans="2:4">
      <c r="B615" s="147" t="s">
        <v>357</v>
      </c>
      <c r="C615" s="313">
        <f>S9</f>
        <v>60.000000000000007</v>
      </c>
      <c r="D615" s="314"/>
    </row>
    <row r="616" spans="2:4">
      <c r="B616" s="483" t="s">
        <v>945</v>
      </c>
      <c r="C616" s="748">
        <f>AS22</f>
        <v>29.320369410082726</v>
      </c>
      <c r="D616" s="483" t="s">
        <v>729</v>
      </c>
    </row>
    <row r="617" spans="2:4">
      <c r="B617" s="483" t="s">
        <v>944</v>
      </c>
      <c r="C617" s="747">
        <f>ReverseAng</f>
        <v>10.073630835795415</v>
      </c>
      <c r="D617" s="483"/>
    </row>
    <row r="619" spans="2:4">
      <c r="B619" s="548" t="s">
        <v>622</v>
      </c>
      <c r="C619" s="319">
        <f>IF(OR(Settings!H$103="Off",S13="",R13=R14),"OFF",R13)</f>
        <v>125</v>
      </c>
      <c r="D619" s="548" t="s">
        <v>729</v>
      </c>
    </row>
    <row r="620" spans="2:4">
      <c r="B620" s="548" t="s">
        <v>623</v>
      </c>
      <c r="C620" s="319">
        <f>IF(OR(Settings!H$103="Off",S14=""),"OFF",R14)</f>
        <v>128.21900962126432</v>
      </c>
      <c r="D620" s="548"/>
    </row>
    <row r="621" spans="2:4">
      <c r="B621" s="548" t="s">
        <v>624</v>
      </c>
      <c r="C621" s="319">
        <f>IF(OR(Settings!H$103="Off",S15=""),"OFF",R15)</f>
        <v>180</v>
      </c>
      <c r="D621" s="548"/>
    </row>
    <row r="622" spans="2:4">
      <c r="B622" s="548" t="s">
        <v>625</v>
      </c>
      <c r="C622" s="319">
        <f>IF(OR(Settings!H$103="Off",S16=""),"OFF",R16)</f>
        <v>200.15516452043127</v>
      </c>
      <c r="D622" s="548"/>
    </row>
    <row r="623" spans="2:4">
      <c r="B623" s="548" t="s">
        <v>626</v>
      </c>
      <c r="C623" s="319">
        <f>IF(OR(Settings!H$103="Off",S17=""),"OFF",R17)</f>
        <v>220.31032904086254</v>
      </c>
      <c r="D623" s="548"/>
    </row>
    <row r="624" spans="2:4">
      <c r="B624" s="548" t="s">
        <v>627</v>
      </c>
      <c r="C624" s="319">
        <f>IF(OR(Settings!H$103="Off",S18=""),"OFF",R18)</f>
        <v>240.46549356129381</v>
      </c>
      <c r="D624" s="548"/>
    </row>
    <row r="625" spans="2:4">
      <c r="B625" s="548" t="s">
        <v>628</v>
      </c>
      <c r="C625" s="319">
        <f>IF(OR(Settings!H$103="Off",S19=""),"OFF",R19)</f>
        <v>250.31032904086254</v>
      </c>
      <c r="D625" s="548"/>
    </row>
    <row r="626" spans="2:4">
      <c r="B626" s="548" t="s">
        <v>629</v>
      </c>
      <c r="C626" s="319">
        <f>IF(OR(Settings!H$103="Off",S20=""),"OFF",R20)</f>
        <v>260.1551645204313</v>
      </c>
      <c r="D626" s="548"/>
    </row>
    <row r="627" spans="2:4">
      <c r="B627" s="548" t="s">
        <v>630</v>
      </c>
      <c r="C627" s="319">
        <f>IF(OR(Settings!H$103="Off",S21=""),"OFF",R21)</f>
        <v>270</v>
      </c>
      <c r="D627" s="548"/>
    </row>
    <row r="628" spans="2:4">
      <c r="B628" s="548" t="s">
        <v>631</v>
      </c>
      <c r="C628" s="319">
        <f>IF(OR(Settings!H$103="Off",S22=""),"OFF",R22)</f>
        <v>290.60867994460727</v>
      </c>
      <c r="D628" s="548"/>
    </row>
    <row r="629" spans="2:4">
      <c r="B629" s="548" t="s">
        <v>632</v>
      </c>
      <c r="C629" s="319">
        <f>IF(OR(Settings!H$103="Off",S23=""),"OFF",R23)</f>
        <v>311.21735988921461</v>
      </c>
      <c r="D629" s="548"/>
    </row>
    <row r="630" spans="2:4">
      <c r="B630" s="548" t="s">
        <v>923</v>
      </c>
      <c r="C630" s="319">
        <f>IF(OR(Settings!H$103="Off",S24=""),"OFF",R24)</f>
        <v>325</v>
      </c>
      <c r="D630" s="548"/>
    </row>
    <row r="631" spans="2:4">
      <c r="B631" s="548" t="s">
        <v>633</v>
      </c>
      <c r="C631" s="318">
        <f t="shared" ref="C631:C642" si="104">IF(S13="","OFF",S13)</f>
        <v>18.506942765623673</v>
      </c>
      <c r="D631" s="548"/>
    </row>
    <row r="632" spans="2:4">
      <c r="B632" s="548" t="s">
        <v>634</v>
      </c>
      <c r="C632" s="318">
        <f t="shared" si="104"/>
        <v>19.296083111549006</v>
      </c>
      <c r="D632" s="548"/>
    </row>
    <row r="633" spans="2:4">
      <c r="B633" s="548" t="s">
        <v>635</v>
      </c>
      <c r="C633" s="318">
        <f t="shared" si="104"/>
        <v>16</v>
      </c>
      <c r="D633" s="548"/>
    </row>
    <row r="634" spans="2:4">
      <c r="B634" s="548" t="s">
        <v>636</v>
      </c>
      <c r="C634" s="318">
        <f t="shared" si="104"/>
        <v>18.902756959839653</v>
      </c>
      <c r="D634" s="548"/>
    </row>
    <row r="635" spans="2:4">
      <c r="B635" s="548" t="s">
        <v>637</v>
      </c>
      <c r="C635" s="318">
        <f t="shared" si="104"/>
        <v>27.155092645734218</v>
      </c>
      <c r="D635" s="548"/>
    </row>
    <row r="636" spans="2:4">
      <c r="B636" s="548" t="s">
        <v>638</v>
      </c>
      <c r="C636" s="318">
        <f t="shared" si="104"/>
        <v>61.582032374441795</v>
      </c>
      <c r="D636" s="548"/>
    </row>
    <row r="637" spans="2:4">
      <c r="B637" s="548" t="s">
        <v>639</v>
      </c>
      <c r="C637" s="318">
        <f t="shared" si="104"/>
        <v>56.90729561680137</v>
      </c>
      <c r="D637" s="548"/>
    </row>
    <row r="638" spans="2:4">
      <c r="B638" s="548" t="s">
        <v>640</v>
      </c>
      <c r="C638" s="318">
        <f t="shared" si="104"/>
        <v>54.38078957517213</v>
      </c>
      <c r="D638" s="548"/>
    </row>
    <row r="639" spans="2:4">
      <c r="B639" s="548" t="s">
        <v>641</v>
      </c>
      <c r="C639" s="318">
        <f t="shared" si="104"/>
        <v>53.58</v>
      </c>
      <c r="D639" s="548"/>
    </row>
    <row r="640" spans="2:4">
      <c r="B640" s="548" t="s">
        <v>642</v>
      </c>
      <c r="C640" s="318">
        <f t="shared" si="104"/>
        <v>57.243209147467979</v>
      </c>
      <c r="D640" s="548"/>
    </row>
    <row r="641" spans="2:4">
      <c r="B641" s="548" t="s">
        <v>643</v>
      </c>
      <c r="C641" s="318">
        <f t="shared" si="104"/>
        <v>71.22960674847053</v>
      </c>
      <c r="D641" s="548"/>
    </row>
    <row r="642" spans="2:4">
      <c r="B642" s="548" t="s">
        <v>922</v>
      </c>
      <c r="C642" s="318">
        <f t="shared" si="104"/>
        <v>32.787050903760331</v>
      </c>
      <c r="D642" s="548"/>
    </row>
    <row r="643" spans="2:4">
      <c r="B643" s="476" t="s">
        <v>555</v>
      </c>
      <c r="C643" s="776">
        <f>IF(Settings!AB6="GRZ100xxx",C615+3,C615)</f>
        <v>60.000000000000007</v>
      </c>
      <c r="D643" s="476" t="s">
        <v>890</v>
      </c>
    </row>
    <row r="644" spans="2:4">
      <c r="B644" s="418" t="s">
        <v>644</v>
      </c>
      <c r="C644" s="423">
        <f>IF(OR(Settings!H$103="Off",S35=""),"OFF",R35)</f>
        <v>155</v>
      </c>
      <c r="D644" s="418"/>
    </row>
    <row r="645" spans="2:4">
      <c r="B645" s="418" t="s">
        <v>645</v>
      </c>
      <c r="C645" s="423">
        <f>IF(OR(Settings!H$103="Off",S36=""),"OFF",R36)</f>
        <v>167.5</v>
      </c>
      <c r="D645" s="418"/>
    </row>
    <row r="646" spans="2:4">
      <c r="B646" s="418" t="s">
        <v>646</v>
      </c>
      <c r="C646" s="423">
        <f>IF(OR(Settings!H$103="Off",S37=""),"OFF",R37)</f>
        <v>180</v>
      </c>
      <c r="D646" s="418"/>
    </row>
    <row r="647" spans="2:4">
      <c r="B647" s="418" t="s">
        <v>647</v>
      </c>
      <c r="C647" s="423">
        <f>IF(OR(Settings!H$103="Off",S38=""),"OFF",R38)</f>
        <v>206</v>
      </c>
      <c r="D647" s="418"/>
    </row>
    <row r="648" spans="2:4">
      <c r="B648" s="418" t="s">
        <v>648</v>
      </c>
      <c r="C648" s="423">
        <f>IF(OR(Settings!H$103="Off",S39=""),"OFF",R39)</f>
        <v>232</v>
      </c>
      <c r="D648" s="418"/>
    </row>
    <row r="649" spans="2:4">
      <c r="B649" s="418" t="s">
        <v>649</v>
      </c>
      <c r="C649" s="423">
        <f>IF(OR(Settings!H$103="Off",S40=""),"OFF",R40)</f>
        <v>233.54641338816776</v>
      </c>
      <c r="D649" s="418"/>
    </row>
    <row r="650" spans="2:4">
      <c r="B650" s="418" t="s">
        <v>650</v>
      </c>
      <c r="C650" s="423">
        <f>IF(OR(Settings!H$103="Off",S41=""),"OFF",R41)</f>
        <v>236</v>
      </c>
      <c r="D650" s="418"/>
    </row>
    <row r="651" spans="2:4">
      <c r="B651" s="418" t="s">
        <v>651</v>
      </c>
      <c r="C651" s="423">
        <f>IF(OR(Settings!H$103="Off",S42=""),"OFF",R42)</f>
        <v>253</v>
      </c>
      <c r="D651" s="418"/>
    </row>
    <row r="652" spans="2:4">
      <c r="B652" s="418" t="s">
        <v>652</v>
      </c>
      <c r="C652" s="423">
        <f>IF(OR(Settings!H$103="Off",S43=""),"OFF",R43)</f>
        <v>270</v>
      </c>
      <c r="D652" s="418"/>
    </row>
    <row r="653" spans="2:4">
      <c r="B653" s="418" t="s">
        <v>653</v>
      </c>
      <c r="C653" s="423">
        <f>IF(OR(Settings!H$103="Off",S44=""),"OFF",R44)</f>
        <v>293.17280405960349</v>
      </c>
      <c r="D653" s="418"/>
    </row>
    <row r="654" spans="2:4">
      <c r="B654" s="418" t="s">
        <v>654</v>
      </c>
      <c r="C654" s="423">
        <f>IF(OR(Settings!H$103="Off",S45=""),"OFF",R45)</f>
        <v>316.34560811920699</v>
      </c>
      <c r="D654" s="418"/>
    </row>
    <row r="655" spans="2:4">
      <c r="B655" s="418" t="s">
        <v>921</v>
      </c>
      <c r="C655" s="423">
        <f>IF(OR(Settings!H$103="Off",S46=""),"OFF",R46)</f>
        <v>325</v>
      </c>
      <c r="D655" s="778"/>
    </row>
    <row r="656" spans="2:4">
      <c r="B656" s="418" t="s">
        <v>655</v>
      </c>
      <c r="C656" s="422">
        <f t="shared" ref="C656:C667" si="105">IF(S35="","OFF",S35)</f>
        <v>22.264768113061393</v>
      </c>
      <c r="D656" s="418"/>
    </row>
    <row r="657" spans="2:4">
      <c r="B657" s="418" t="s">
        <v>656</v>
      </c>
      <c r="C657" s="422">
        <f t="shared" si="105"/>
        <v>21.947405323482961</v>
      </c>
      <c r="D657" s="418"/>
    </row>
    <row r="658" spans="2:4">
      <c r="B658" s="418" t="s">
        <v>657</v>
      </c>
      <c r="C658" s="422">
        <f t="shared" si="105"/>
        <v>22.7</v>
      </c>
      <c r="D658" s="418"/>
    </row>
    <row r="659" spans="2:4">
      <c r="B659" s="418" t="s">
        <v>658</v>
      </c>
      <c r="C659" s="422">
        <f t="shared" si="105"/>
        <v>29.052918939083387</v>
      </c>
      <c r="D659" s="418"/>
    </row>
    <row r="660" spans="2:4">
      <c r="B660" s="418" t="s">
        <v>659</v>
      </c>
      <c r="C660" s="422">
        <f t="shared" si="105"/>
        <v>56.116635348554702</v>
      </c>
      <c r="D660" s="418"/>
    </row>
    <row r="661" spans="2:4">
      <c r="B661" s="418" t="s">
        <v>660</v>
      </c>
      <c r="C661" s="422">
        <f t="shared" si="105"/>
        <v>59.949888547564179</v>
      </c>
      <c r="D661" s="418"/>
    </row>
    <row r="662" spans="2:4">
      <c r="B662" s="418" t="s">
        <v>661</v>
      </c>
      <c r="C662" s="422">
        <f t="shared" si="105"/>
        <v>58.163829476858304</v>
      </c>
      <c r="D662" s="418"/>
    </row>
    <row r="663" spans="2:4">
      <c r="B663" s="418" t="s">
        <v>662</v>
      </c>
      <c r="C663" s="422">
        <f t="shared" si="105"/>
        <v>50.423256497810286</v>
      </c>
      <c r="D663" s="418"/>
    </row>
    <row r="664" spans="2:4">
      <c r="B664" s="418" t="s">
        <v>663</v>
      </c>
      <c r="C664" s="422">
        <f t="shared" si="105"/>
        <v>48.22</v>
      </c>
      <c r="D664" s="418"/>
    </row>
    <row r="665" spans="2:4">
      <c r="B665" s="418" t="s">
        <v>675</v>
      </c>
      <c r="C665" s="422">
        <f t="shared" si="105"/>
        <v>52.45168533820874</v>
      </c>
      <c r="D665" s="418"/>
    </row>
    <row r="666" spans="2:4">
      <c r="B666" s="418" t="s">
        <v>664</v>
      </c>
      <c r="C666" s="422">
        <f t="shared" si="105"/>
        <v>69.853008628405036</v>
      </c>
      <c r="D666" s="418"/>
    </row>
    <row r="667" spans="2:4">
      <c r="B667" s="418" t="s">
        <v>937</v>
      </c>
      <c r="C667" s="422">
        <f t="shared" si="105"/>
        <v>46.516628469709964</v>
      </c>
      <c r="D667" s="778"/>
    </row>
    <row r="668" spans="2:4">
      <c r="B668" s="163" t="s">
        <v>221</v>
      </c>
      <c r="C668" s="260">
        <f>TestVZ5E</f>
        <v>63.51</v>
      </c>
      <c r="D668" s="312" t="s">
        <v>215</v>
      </c>
    </row>
    <row r="669" spans="2:4">
      <c r="B669" s="163" t="s">
        <v>220</v>
      </c>
      <c r="C669" s="424">
        <f>VALUE(SUBSTITUTE(S30,"A",""))</f>
        <v>3.1831097558147898</v>
      </c>
      <c r="D669" s="312"/>
    </row>
    <row r="670" spans="2:4">
      <c r="B670" s="107" t="s">
        <v>395</v>
      </c>
      <c r="C670" s="128">
        <f>MAX(C674:C677)*J_*1.2</f>
        <v>7.7155199999999997</v>
      </c>
      <c r="D670" s="152" t="s">
        <v>397</v>
      </c>
    </row>
    <row r="671" spans="2:4">
      <c r="B671" s="325" t="s">
        <v>972</v>
      </c>
      <c r="C671" s="326">
        <f>ROUND(DEGREES(ATAN(C670/Vh)),1)</f>
        <v>7.6</v>
      </c>
      <c r="D671" s="325"/>
    </row>
    <row r="672" spans="2:4">
      <c r="B672" s="325" t="s">
        <v>973</v>
      </c>
      <c r="C672" s="752">
        <f>ROUND(SQRT(Vh^2+C670^2)/2,2)</f>
        <v>29.12</v>
      </c>
      <c r="D672" s="325"/>
    </row>
    <row r="673" spans="2:6">
      <c r="B673" s="107" t="s">
        <v>396</v>
      </c>
      <c r="C673" s="128">
        <f>IF(C670&gt;0,C670/(MIN(C674:C677))*1.2,"")</f>
        <v>0.85727999999999993</v>
      </c>
      <c r="D673" s="152"/>
    </row>
    <row r="674" spans="2:6">
      <c r="B674" s="107" t="s">
        <v>391</v>
      </c>
      <c r="C674" s="216">
        <f>IF(LEFT(PTTMode,1)&lt;"4",P15,"")</f>
        <v>16</v>
      </c>
      <c r="D674" s="152"/>
    </row>
    <row r="675" spans="2:6">
      <c r="B675" s="107" t="s">
        <v>392</v>
      </c>
      <c r="C675" s="216">
        <f>IF(LEFT(PTTMode,1)&lt;"4",P21,"")</f>
        <v>10.8</v>
      </c>
      <c r="D675" s="152"/>
    </row>
    <row r="676" spans="2:6">
      <c r="B676" s="107" t="s">
        <v>393</v>
      </c>
      <c r="C676" s="216">
        <f>IF(LEFT(PTTMode,1)&lt;"4",S15,"")</f>
        <v>16</v>
      </c>
      <c r="D676" s="152"/>
    </row>
    <row r="677" spans="2:6">
      <c r="B677" s="107" t="s">
        <v>394</v>
      </c>
      <c r="C677" s="216">
        <f>IF(LEFT(PTTMode,1)&lt;"4",S21,"")</f>
        <v>53.58</v>
      </c>
      <c r="D677" s="152"/>
    </row>
    <row r="678" spans="2:6">
      <c r="B678" s="107" t="s">
        <v>398</v>
      </c>
      <c r="C678" s="128">
        <f>MAX(C680:C683)*MAX(J_,Je_)*1.2</f>
        <v>13.887359999999999</v>
      </c>
      <c r="D678" s="152"/>
    </row>
    <row r="679" spans="2:6">
      <c r="B679" s="107" t="s">
        <v>399</v>
      </c>
      <c r="C679" s="128">
        <f>IF(C678&gt;0,C678/(MIN(C680:C683))*1.2,"")</f>
        <v>1.2909801167174506</v>
      </c>
      <c r="D679" s="152"/>
      <c r="F679" t="str">
        <f>PTTMode</f>
        <v>3 POTT</v>
      </c>
    </row>
    <row r="680" spans="2:6">
      <c r="B680" s="107" t="s">
        <v>400</v>
      </c>
      <c r="C680" s="216">
        <f>IF(LEFT(PTTMode,1)&lt;"4",P37,"")</f>
        <v>22.7</v>
      </c>
      <c r="D680" s="152"/>
    </row>
    <row r="681" spans="2:6">
      <c r="B681" s="107" t="s">
        <v>401</v>
      </c>
      <c r="C681" s="216">
        <f>IF(LEFT(PTTMode,1)&lt;"4",P43,"")</f>
        <v>12.908666666666667</v>
      </c>
      <c r="D681" s="152"/>
    </row>
    <row r="682" spans="2:6">
      <c r="B682" s="107" t="s">
        <v>402</v>
      </c>
      <c r="C682" s="216">
        <f>IF(LEFT(PTTMode,1)&lt;"4",S37,"")</f>
        <v>22.7</v>
      </c>
      <c r="D682" s="152"/>
    </row>
    <row r="683" spans="2:6">
      <c r="B683" s="107" t="s">
        <v>403</v>
      </c>
      <c r="C683" s="216">
        <f>IF(LEFT(PTTMode,1)&lt;"4",S43,"")</f>
        <v>48.22</v>
      </c>
      <c r="D683" s="152"/>
    </row>
    <row r="684" spans="2:6">
      <c r="B684" s="544" t="s">
        <v>1037</v>
      </c>
      <c r="C684" s="544">
        <f>PSBSZ</f>
        <v>10</v>
      </c>
      <c r="D684" s="544"/>
    </row>
    <row r="685" spans="2:6">
      <c r="B685" s="544" t="s">
        <v>1038</v>
      </c>
      <c r="C685" s="544">
        <f>PSBGZ</f>
        <v>10</v>
      </c>
      <c r="D685" s="544"/>
    </row>
    <row r="686" spans="2:6">
      <c r="B686" s="938" t="s">
        <v>1116</v>
      </c>
      <c r="C686" s="45" t="str">
        <f>LEFT(PTT_Rx_Z_Sel,2)</f>
        <v>Z2</v>
      </c>
      <c r="D686" s="45"/>
    </row>
    <row r="687" spans="2:6">
      <c r="B687" s="350" t="s">
        <v>970</v>
      </c>
      <c r="C687" s="355">
        <f>IF(C763="",0,DEGREES(ATAN(C763/Vh)))</f>
        <v>62.305949802943552</v>
      </c>
      <c r="D687" s="350"/>
    </row>
    <row r="688" spans="2:6">
      <c r="B688" s="350" t="s">
        <v>971</v>
      </c>
      <c r="C688" s="405">
        <f>IF(C763="",0,SQRT(Vh^2+C763^2)/2)</f>
        <v>62.115877399345649</v>
      </c>
      <c r="D688" s="350"/>
    </row>
    <row r="689" spans="2:4">
      <c r="B689" s="153" t="s">
        <v>251</v>
      </c>
      <c r="C689" s="320">
        <f>TestVPTT</f>
        <v>110.00000000000001</v>
      </c>
      <c r="D689" s="153"/>
    </row>
    <row r="690" spans="2:4">
      <c r="B690" s="153" t="s">
        <v>252</v>
      </c>
      <c r="C690" s="321">
        <f>VALUE(SUBSTITUTE(AB8,"A",""))</f>
        <v>5.7237464522232697</v>
      </c>
      <c r="D690" s="153"/>
    </row>
    <row r="691" spans="2:4">
      <c r="B691" s="328" t="s">
        <v>969</v>
      </c>
      <c r="C691" s="749">
        <f>BE22</f>
        <v>62.115877399345649</v>
      </c>
      <c r="D691" s="328"/>
    </row>
    <row r="692" spans="2:4">
      <c r="B692" s="328" t="s">
        <v>968</v>
      </c>
      <c r="C692" s="329">
        <f>(DEGREES(ATAN(TestVPTT/Vh)))</f>
        <v>62.305949802943552</v>
      </c>
      <c r="D692" s="328"/>
    </row>
    <row r="693" spans="2:4">
      <c r="B693" s="153" t="s">
        <v>253</v>
      </c>
      <c r="C693" s="322">
        <f>AB32</f>
        <v>28.52193995381062</v>
      </c>
      <c r="D693" s="153"/>
    </row>
    <row r="694" spans="2:4">
      <c r="B694" s="153" t="s">
        <v>254</v>
      </c>
      <c r="C694" s="322">
        <f>VALUE(SUBSTITUTE(AB30,"A",""))</f>
        <v>1.5406009998850201</v>
      </c>
      <c r="D694" s="153"/>
    </row>
    <row r="695" spans="2:4">
      <c r="B695" s="328" t="s">
        <v>964</v>
      </c>
      <c r="C695" s="328">
        <f>IF(690:690&gt;15,2,3)</f>
        <v>3</v>
      </c>
      <c r="D695" s="328"/>
    </row>
    <row r="696" spans="2:4">
      <c r="B696" s="328" t="s">
        <v>965</v>
      </c>
      <c r="C696" s="328">
        <f>IF(694:694&gt;15,2,3)</f>
        <v>3</v>
      </c>
      <c r="D696" s="328"/>
    </row>
    <row r="697" spans="2:4">
      <c r="B697" s="153" t="s">
        <v>260</v>
      </c>
      <c r="C697" s="321">
        <f t="shared" ref="C697:C707" si="106">IF(LEFT(PTTMode,1)="1","No Test",AA13)</f>
        <v>-25</v>
      </c>
      <c r="D697" s="153"/>
    </row>
    <row r="698" spans="2:4">
      <c r="B698" s="153" t="s">
        <v>261</v>
      </c>
      <c r="C698" s="321">
        <f t="shared" si="106"/>
        <v>-12.5</v>
      </c>
      <c r="D698" s="153"/>
    </row>
    <row r="699" spans="2:4">
      <c r="B699" s="153" t="s">
        <v>262</v>
      </c>
      <c r="C699" s="321">
        <f t="shared" si="106"/>
        <v>0</v>
      </c>
      <c r="D699" s="153"/>
    </row>
    <row r="700" spans="2:4">
      <c r="B700" s="153" t="s">
        <v>263</v>
      </c>
      <c r="C700" s="321">
        <f t="shared" si="106"/>
        <v>9.3521074681554079</v>
      </c>
      <c r="D700" s="153"/>
    </row>
    <row r="701" spans="2:4">
      <c r="B701" s="153" t="s">
        <v>264</v>
      </c>
      <c r="C701" s="321">
        <f t="shared" si="106"/>
        <v>18.704214936310816</v>
      </c>
      <c r="D701" s="153"/>
    </row>
    <row r="702" spans="2:4">
      <c r="B702" s="153" t="s">
        <v>265</v>
      </c>
      <c r="C702" s="321">
        <f t="shared" si="106"/>
        <v>28.056322404466226</v>
      </c>
      <c r="D702" s="153"/>
    </row>
    <row r="703" spans="2:4">
      <c r="B703" s="153" t="s">
        <v>266</v>
      </c>
      <c r="C703" s="321">
        <f t="shared" si="106"/>
        <v>48.704214936310819</v>
      </c>
      <c r="D703" s="153"/>
    </row>
    <row r="704" spans="2:4">
      <c r="B704" s="153" t="s">
        <v>267</v>
      </c>
      <c r="C704" s="321">
        <f t="shared" si="106"/>
        <v>69.35210746815541</v>
      </c>
      <c r="D704" s="153"/>
    </row>
    <row r="705" spans="2:4">
      <c r="B705" s="153" t="s">
        <v>268</v>
      </c>
      <c r="C705" s="321">
        <f t="shared" si="106"/>
        <v>90</v>
      </c>
      <c r="D705" s="153"/>
    </row>
    <row r="706" spans="2:4">
      <c r="B706" s="153" t="s">
        <v>269</v>
      </c>
      <c r="C706" s="321">
        <f t="shared" si="106"/>
        <v>102.5</v>
      </c>
      <c r="D706" s="153"/>
    </row>
    <row r="707" spans="2:4">
      <c r="B707" s="153" t="s">
        <v>270</v>
      </c>
      <c r="C707" s="321">
        <f t="shared" si="106"/>
        <v>115</v>
      </c>
      <c r="D707" s="153"/>
    </row>
    <row r="708" spans="2:4">
      <c r="B708" s="153" t="s">
        <v>271</v>
      </c>
      <c r="C708" s="322">
        <f t="shared" ref="C708:C718" si="107">IF(LEFT(PTTMode,1)="1","No Test",AB13)</f>
        <v>33.348110830136008</v>
      </c>
      <c r="D708" s="153"/>
    </row>
    <row r="709" spans="2:4">
      <c r="B709" s="153" t="s">
        <v>272</v>
      </c>
      <c r="C709" s="322">
        <f t="shared" si="107"/>
        <v>32.872765682749808</v>
      </c>
      <c r="D709" s="153"/>
    </row>
    <row r="710" spans="2:4">
      <c r="B710" s="153" t="s">
        <v>273</v>
      </c>
      <c r="C710" s="322">
        <f t="shared" si="107"/>
        <v>34</v>
      </c>
      <c r="D710" s="153"/>
    </row>
    <row r="711" spans="2:4">
      <c r="B711" s="153" t="s">
        <v>274</v>
      </c>
      <c r="C711" s="322">
        <f t="shared" si="107"/>
        <v>36.048787398789898</v>
      </c>
      <c r="D711" s="153"/>
    </row>
    <row r="712" spans="2:4">
      <c r="B712" s="153" t="s">
        <v>275</v>
      </c>
      <c r="C712" s="322">
        <f t="shared" si="107"/>
        <v>39.477044031764898</v>
      </c>
      <c r="D712" s="153"/>
    </row>
    <row r="713" spans="2:4">
      <c r="B713" s="153" t="s">
        <v>276</v>
      </c>
      <c r="C713" s="322">
        <f t="shared" si="107"/>
        <v>44.94627760754782</v>
      </c>
      <c r="D713" s="153"/>
    </row>
    <row r="714" spans="2:4">
      <c r="B714" s="153" t="s">
        <v>277</v>
      </c>
      <c r="C714" s="322">
        <f t="shared" si="107"/>
        <v>28.137419273357459</v>
      </c>
      <c r="D714" s="153"/>
    </row>
    <row r="715" spans="2:4">
      <c r="B715" s="153" t="s">
        <v>278</v>
      </c>
      <c r="C715" s="322">
        <f t="shared" si="107"/>
        <v>22.591139338379765</v>
      </c>
      <c r="D715" s="153"/>
    </row>
    <row r="716" spans="2:4">
      <c r="B716" s="153" t="s">
        <v>279</v>
      </c>
      <c r="C716" s="322">
        <f t="shared" si="107"/>
        <v>21.14</v>
      </c>
      <c r="D716" s="153"/>
    </row>
    <row r="717" spans="2:4">
      <c r="B717" s="153" t="s">
        <v>280</v>
      </c>
      <c r="C717" s="322">
        <f t="shared" si="107"/>
        <v>21.653268932608725</v>
      </c>
      <c r="D717" s="153"/>
    </row>
    <row r="718" spans="2:4">
      <c r="B718" s="153" t="s">
        <v>281</v>
      </c>
      <c r="C718" s="322">
        <f t="shared" si="107"/>
        <v>23.325409206867075</v>
      </c>
      <c r="D718" s="153"/>
    </row>
    <row r="719" spans="2:4">
      <c r="B719" s="153" t="s">
        <v>306</v>
      </c>
      <c r="C719" s="321">
        <f t="shared" ref="C719:C729" si="108">IF(LEFT(PTTMode,1)="1","No Test",AA35)</f>
        <v>-25</v>
      </c>
      <c r="D719" s="153"/>
    </row>
    <row r="720" spans="2:4">
      <c r="B720" s="153" t="s">
        <v>307</v>
      </c>
      <c r="C720" s="321">
        <f t="shared" si="108"/>
        <v>-12.5</v>
      </c>
      <c r="D720" s="153"/>
    </row>
    <row r="721" spans="2:4">
      <c r="B721" s="153" t="s">
        <v>308</v>
      </c>
      <c r="C721" s="321">
        <f t="shared" si="108"/>
        <v>0</v>
      </c>
      <c r="D721" s="153"/>
    </row>
    <row r="722" spans="2:4">
      <c r="B722" s="153" t="s">
        <v>309</v>
      </c>
      <c r="C722" s="321">
        <f t="shared" si="108"/>
        <v>4.5</v>
      </c>
      <c r="D722" s="153"/>
    </row>
    <row r="723" spans="2:4">
      <c r="B723" s="153" t="s">
        <v>310</v>
      </c>
      <c r="C723" s="321">
        <f t="shared" si="108"/>
        <v>9</v>
      </c>
      <c r="D723" s="153"/>
    </row>
    <row r="724" spans="2:4">
      <c r="B724" s="153" t="s">
        <v>311</v>
      </c>
      <c r="C724" s="321">
        <f t="shared" si="108"/>
        <v>10.929909476122836</v>
      </c>
      <c r="D724" s="153"/>
    </row>
    <row r="725" spans="2:4">
      <c r="B725" s="153" t="s">
        <v>312</v>
      </c>
      <c r="C725" s="321">
        <f t="shared" si="108"/>
        <v>13</v>
      </c>
      <c r="D725" s="153"/>
    </row>
    <row r="726" spans="2:4">
      <c r="B726" s="153" t="s">
        <v>313</v>
      </c>
      <c r="C726" s="321">
        <f t="shared" si="108"/>
        <v>51.5</v>
      </c>
      <c r="D726" s="153"/>
    </row>
    <row r="727" spans="2:4">
      <c r="B727" s="153" t="s">
        <v>314</v>
      </c>
      <c r="C727" s="321">
        <f t="shared" si="108"/>
        <v>90</v>
      </c>
      <c r="D727" s="153"/>
    </row>
    <row r="728" spans="2:4">
      <c r="B728" s="153" t="s">
        <v>315</v>
      </c>
      <c r="C728" s="321">
        <f t="shared" si="108"/>
        <v>102.5</v>
      </c>
      <c r="D728" s="153"/>
    </row>
    <row r="729" spans="2:4">
      <c r="B729" s="153" t="s">
        <v>316</v>
      </c>
      <c r="C729" s="321">
        <f t="shared" si="108"/>
        <v>115</v>
      </c>
      <c r="D729" s="153"/>
    </row>
    <row r="730" spans="2:4">
      <c r="B730" s="153" t="s">
        <v>317</v>
      </c>
      <c r="C730" s="322">
        <f t="shared" ref="C730:C740" si="109">IF(LEFT(PTTMode,1)="1","No Test",AB35)</f>
        <v>98.082678912164724</v>
      </c>
      <c r="D730" s="153"/>
    </row>
    <row r="731" spans="2:4">
      <c r="B731" s="153" t="s">
        <v>318</v>
      </c>
      <c r="C731" s="322">
        <f t="shared" si="109"/>
        <v>96.684604949264141</v>
      </c>
      <c r="D731" s="153"/>
    </row>
    <row r="732" spans="2:4">
      <c r="B732" s="153" t="s">
        <v>319</v>
      </c>
      <c r="C732" s="322">
        <f t="shared" si="109"/>
        <v>100</v>
      </c>
      <c r="D732" s="153"/>
    </row>
    <row r="733" spans="2:4">
      <c r="B733" s="153" t="s">
        <v>320</v>
      </c>
      <c r="C733" s="322">
        <f t="shared" si="109"/>
        <v>102.47011567143217</v>
      </c>
      <c r="D733" s="153"/>
    </row>
    <row r="734" spans="2:4">
      <c r="B734" s="153" t="s">
        <v>321</v>
      </c>
      <c r="C734" s="322">
        <f t="shared" si="109"/>
        <v>105.73374518019439</v>
      </c>
      <c r="D734" s="153"/>
    </row>
    <row r="735" spans="2:4">
      <c r="B735" s="153" t="s">
        <v>322</v>
      </c>
      <c r="C735" s="322">
        <f t="shared" si="109"/>
        <v>107.40509217798125</v>
      </c>
      <c r="D735" s="153"/>
    </row>
    <row r="736" spans="2:4">
      <c r="B736" s="153" t="s">
        <v>323</v>
      </c>
      <c r="C736" s="322">
        <f t="shared" si="109"/>
        <v>90.53021212132883</v>
      </c>
      <c r="D736" s="153"/>
    </row>
    <row r="737" spans="2:4">
      <c r="B737" s="153" t="s">
        <v>324</v>
      </c>
      <c r="C737" s="322">
        <f t="shared" si="109"/>
        <v>26.021791989202487</v>
      </c>
      <c r="D737" s="153"/>
    </row>
    <row r="738" spans="2:4">
      <c r="B738" s="153" t="s">
        <v>325</v>
      </c>
      <c r="C738" s="322">
        <f t="shared" si="109"/>
        <v>20.364866666666668</v>
      </c>
      <c r="D738" s="153"/>
    </row>
    <row r="739" spans="2:4">
      <c r="B739" s="153" t="s">
        <v>326</v>
      </c>
      <c r="C739" s="322">
        <f t="shared" si="109"/>
        <v>20.859315738413073</v>
      </c>
      <c r="D739" s="153"/>
    </row>
    <row r="740" spans="2:4" ht="13.5" thickBot="1">
      <c r="B740" s="873" t="s">
        <v>327</v>
      </c>
      <c r="C740" s="360">
        <f t="shared" si="109"/>
        <v>22.47014420261528</v>
      </c>
      <c r="D740" s="873"/>
    </row>
    <row r="741" spans="2:4" ht="13.5" thickBot="1">
      <c r="B741" s="903" t="s">
        <v>1093</v>
      </c>
      <c r="C741" s="904">
        <f>TestVZ6</f>
        <v>19.733691079694285</v>
      </c>
      <c r="D741" s="905"/>
    </row>
    <row r="742" spans="2:4">
      <c r="B742" s="903" t="s">
        <v>1047</v>
      </c>
      <c r="C742" s="904">
        <f>BK22</f>
        <v>30.507980365762332</v>
      </c>
      <c r="D742" s="905" t="s">
        <v>1049</v>
      </c>
    </row>
    <row r="743" spans="2:4">
      <c r="B743" s="906" t="s">
        <v>1048</v>
      </c>
      <c r="C743" s="907">
        <f>210-Y5</f>
        <v>-41.130211629241387</v>
      </c>
      <c r="D743" s="908"/>
    </row>
    <row r="744" spans="2:4">
      <c r="B744" s="906" t="s">
        <v>1051</v>
      </c>
      <c r="C744" s="907">
        <f>360-X19</f>
        <v>110.91738150462012</v>
      </c>
      <c r="D744" s="908"/>
    </row>
    <row r="745" spans="2:4">
      <c r="B745" s="906" t="s">
        <v>1052</v>
      </c>
      <c r="C745" s="907">
        <f>360-X21</f>
        <v>90</v>
      </c>
      <c r="D745" s="909"/>
    </row>
    <row r="746" spans="2:4">
      <c r="B746" s="906" t="s">
        <v>1053</v>
      </c>
      <c r="C746" s="907">
        <f>360-X23</f>
        <v>65</v>
      </c>
      <c r="D746" s="910"/>
    </row>
    <row r="747" spans="2:4">
      <c r="B747" s="906" t="s">
        <v>1054</v>
      </c>
      <c r="C747" s="911">
        <f>$Y$10/Y19</f>
        <v>0.39387106924901094</v>
      </c>
      <c r="D747" s="910"/>
    </row>
    <row r="748" spans="2:4">
      <c r="B748" s="906" t="s">
        <v>1055</v>
      </c>
      <c r="C748" s="911">
        <f>$Y$10/Y21</f>
        <v>0.42166006580543347</v>
      </c>
      <c r="D748" s="910"/>
    </row>
    <row r="749" spans="2:4" ht="13.5" thickBot="1">
      <c r="B749" s="912" t="s">
        <v>1056</v>
      </c>
      <c r="C749" s="913">
        <f>$Y$10/Y23</f>
        <v>0.3821538011218506</v>
      </c>
      <c r="D749" s="914"/>
    </row>
    <row r="750" spans="2:4">
      <c r="B750" s="903" t="s">
        <v>1050</v>
      </c>
      <c r="C750" s="904">
        <f>TestVZ6E</f>
        <v>20.787464833549457</v>
      </c>
      <c r="D750" s="915"/>
    </row>
    <row r="751" spans="2:4">
      <c r="B751" s="906" t="s">
        <v>1057</v>
      </c>
      <c r="C751" s="907">
        <f>360-X41</f>
        <v>127</v>
      </c>
      <c r="D751" s="910"/>
    </row>
    <row r="752" spans="2:4">
      <c r="B752" s="906" t="s">
        <v>1058</v>
      </c>
      <c r="C752" s="907">
        <f>360-X43</f>
        <v>90</v>
      </c>
      <c r="D752" s="910"/>
    </row>
    <row r="753" spans="2:4">
      <c r="B753" s="906" t="s">
        <v>1059</v>
      </c>
      <c r="C753" s="907">
        <f>360-X45</f>
        <v>35</v>
      </c>
      <c r="D753" s="910"/>
    </row>
    <row r="754" spans="2:4">
      <c r="B754" s="906" t="s">
        <v>1075</v>
      </c>
      <c r="C754" s="911">
        <f>Y41</f>
        <v>51.838416247667745</v>
      </c>
      <c r="D754" s="910"/>
    </row>
    <row r="755" spans="2:4">
      <c r="B755" s="906" t="s">
        <v>1076</v>
      </c>
      <c r="C755" s="911">
        <f>Y43</f>
        <v>41.4</v>
      </c>
      <c r="D755" s="910"/>
    </row>
    <row r="756" spans="2:4">
      <c r="B756" s="906" t="s">
        <v>1077</v>
      </c>
      <c r="C756" s="911">
        <f>Y45</f>
        <v>72.178697338713405</v>
      </c>
      <c r="D756" s="910"/>
    </row>
    <row r="757" spans="2:4">
      <c r="B757" s="906" t="s">
        <v>1060</v>
      </c>
      <c r="C757" s="911">
        <f>TestVZ6E/Y41</f>
        <v>0.40100501400801769</v>
      </c>
      <c r="D757" s="910"/>
    </row>
    <row r="758" spans="2:4">
      <c r="B758" s="906" t="s">
        <v>1061</v>
      </c>
      <c r="C758" s="911">
        <f>TestVZ6E/Y43</f>
        <v>0.50211267713887575</v>
      </c>
      <c r="D758" s="910"/>
    </row>
    <row r="759" spans="2:4" ht="13.5" thickBot="1">
      <c r="B759" s="916" t="s">
        <v>1062</v>
      </c>
      <c r="C759" s="917">
        <f>TestVZ6E/Y45</f>
        <v>0.28799999999999992</v>
      </c>
      <c r="D759" s="918"/>
    </row>
    <row r="761" spans="2:4">
      <c r="B761" s="919" t="s">
        <v>1071</v>
      </c>
      <c r="C761" s="682">
        <f>UVLG*1.05</f>
        <v>42</v>
      </c>
      <c r="D761" s="920"/>
    </row>
    <row r="762" spans="2:4">
      <c r="B762" s="919" t="s">
        <v>1072</v>
      </c>
      <c r="C762" s="682">
        <f>UVLG*0.95</f>
        <v>38</v>
      </c>
      <c r="D762" s="920"/>
    </row>
    <row r="763" spans="2:4">
      <c r="B763" s="874" t="s">
        <v>373</v>
      </c>
      <c r="C763" s="875">
        <f>IF($D$764="PUTT",TestVZ1,TestVPTT)</f>
        <v>110.00000000000001</v>
      </c>
      <c r="D763" s="363" t="s">
        <v>360</v>
      </c>
    </row>
    <row r="764" spans="2:4">
      <c r="B764" s="193" t="s">
        <v>374</v>
      </c>
      <c r="C764" s="221">
        <f>IF($D$764="PUTT",D8,AB8)</f>
        <v>5.7237464522232742</v>
      </c>
      <c r="D764" s="149" t="str">
        <f>RIGHT(PTTMode,4)</f>
        <v>POTT</v>
      </c>
    </row>
    <row r="765" spans="2:4">
      <c r="B765" s="193" t="s">
        <v>390</v>
      </c>
      <c r="C765" s="253">
        <f>BF27</f>
        <v>0</v>
      </c>
      <c r="D765" s="149"/>
    </row>
    <row r="766" spans="2:4">
      <c r="B766" s="193" t="s">
        <v>361</v>
      </c>
      <c r="C766" s="221">
        <f t="shared" ref="C766:C776" si="110">IF(LEFT(PTTMode,1)="1","No Test",IF($D$764="PUTT",C13,AA13))</f>
        <v>-25</v>
      </c>
      <c r="D766" s="149"/>
    </row>
    <row r="767" spans="2:4">
      <c r="B767" s="193" t="s">
        <v>362</v>
      </c>
      <c r="C767" s="221">
        <f t="shared" si="110"/>
        <v>-12.5</v>
      </c>
      <c r="D767" s="149"/>
    </row>
    <row r="768" spans="2:4">
      <c r="B768" s="193" t="s">
        <v>363</v>
      </c>
      <c r="C768" s="221">
        <f t="shared" si="110"/>
        <v>0</v>
      </c>
      <c r="D768" s="149"/>
    </row>
    <row r="769" spans="2:4">
      <c r="B769" s="193" t="s">
        <v>364</v>
      </c>
      <c r="C769" s="221">
        <f t="shared" si="110"/>
        <v>9.3521074681554079</v>
      </c>
      <c r="D769" s="149"/>
    </row>
    <row r="770" spans="2:4">
      <c r="B770" s="193" t="s">
        <v>365</v>
      </c>
      <c r="C770" s="221">
        <f t="shared" si="110"/>
        <v>18.704214936310816</v>
      </c>
      <c r="D770" s="149"/>
    </row>
    <row r="771" spans="2:4">
      <c r="B771" s="193" t="s">
        <v>366</v>
      </c>
      <c r="C771" s="221">
        <f t="shared" si="110"/>
        <v>28.056322404466226</v>
      </c>
      <c r="D771" s="149"/>
    </row>
    <row r="772" spans="2:4">
      <c r="B772" s="193" t="s">
        <v>419</v>
      </c>
      <c r="C772" s="221">
        <f t="shared" si="110"/>
        <v>48.704214936310819</v>
      </c>
      <c r="D772" s="149"/>
    </row>
    <row r="773" spans="2:4">
      <c r="B773" s="193" t="s">
        <v>421</v>
      </c>
      <c r="C773" s="221">
        <f t="shared" si="110"/>
        <v>69.35210746815541</v>
      </c>
      <c r="D773" s="149"/>
    </row>
    <row r="774" spans="2:4">
      <c r="B774" s="193" t="s">
        <v>422</v>
      </c>
      <c r="C774" s="221">
        <f t="shared" si="110"/>
        <v>90</v>
      </c>
      <c r="D774" s="149"/>
    </row>
    <row r="775" spans="2:4">
      <c r="B775" s="193" t="s">
        <v>1017</v>
      </c>
      <c r="C775" s="221">
        <f t="shared" si="110"/>
        <v>102.5</v>
      </c>
      <c r="D775" s="149"/>
    </row>
    <row r="776" spans="2:4">
      <c r="B776" s="193" t="s">
        <v>1018</v>
      </c>
      <c r="C776" s="221">
        <f t="shared" si="110"/>
        <v>115</v>
      </c>
      <c r="D776" s="149"/>
    </row>
    <row r="777" spans="2:4">
      <c r="B777" s="193" t="s">
        <v>367</v>
      </c>
      <c r="C777" s="253">
        <f t="shared" ref="C777:C787" si="111">IF($D$764="PUTT",D13,AB13)</f>
        <v>33.348110830136008</v>
      </c>
      <c r="D777" s="149"/>
    </row>
    <row r="778" spans="2:4">
      <c r="B778" s="193" t="s">
        <v>368</v>
      </c>
      <c r="C778" s="253">
        <f t="shared" si="111"/>
        <v>32.872765682749808</v>
      </c>
      <c r="D778" s="149"/>
    </row>
    <row r="779" spans="2:4">
      <c r="B779" s="193" t="s">
        <v>369</v>
      </c>
      <c r="C779" s="253">
        <f t="shared" si="111"/>
        <v>34</v>
      </c>
      <c r="D779" s="149"/>
    </row>
    <row r="780" spans="2:4">
      <c r="B780" s="193" t="s">
        <v>370</v>
      </c>
      <c r="C780" s="253">
        <f t="shared" si="111"/>
        <v>36.048787398789898</v>
      </c>
      <c r="D780" s="149"/>
    </row>
    <row r="781" spans="2:4">
      <c r="B781" s="193" t="s">
        <v>371</v>
      </c>
      <c r="C781" s="253">
        <f t="shared" si="111"/>
        <v>39.477044031764898</v>
      </c>
      <c r="D781" s="149"/>
    </row>
    <row r="782" spans="2:4">
      <c r="B782" s="193" t="s">
        <v>372</v>
      </c>
      <c r="C782" s="253">
        <f t="shared" si="111"/>
        <v>44.94627760754782</v>
      </c>
      <c r="D782" s="149"/>
    </row>
    <row r="783" spans="2:4">
      <c r="B783" s="193" t="s">
        <v>420</v>
      </c>
      <c r="C783" s="253">
        <f t="shared" si="111"/>
        <v>28.137419273357459</v>
      </c>
      <c r="D783" s="149"/>
    </row>
    <row r="784" spans="2:4">
      <c r="B784" s="193" t="s">
        <v>423</v>
      </c>
      <c r="C784" s="253">
        <f t="shared" si="111"/>
        <v>22.591139338379765</v>
      </c>
      <c r="D784" s="149"/>
    </row>
    <row r="785" spans="2:4">
      <c r="B785" s="193" t="s">
        <v>424</v>
      </c>
      <c r="C785" s="253">
        <f t="shared" si="111"/>
        <v>21.14</v>
      </c>
      <c r="D785" s="149"/>
    </row>
    <row r="786" spans="2:4">
      <c r="B786" s="193" t="s">
        <v>1019</v>
      </c>
      <c r="C786" s="253">
        <f t="shared" si="111"/>
        <v>21.653268932608725</v>
      </c>
      <c r="D786" s="149"/>
    </row>
    <row r="787" spans="2:4">
      <c r="B787" s="193" t="s">
        <v>1020</v>
      </c>
      <c r="C787" s="253">
        <f t="shared" si="111"/>
        <v>23.325409206867075</v>
      </c>
      <c r="D787" s="149"/>
    </row>
    <row r="789" spans="2:4">
      <c r="B789" s="193" t="s">
        <v>375</v>
      </c>
      <c r="C789" s="253">
        <f>IF($D$764="PUTT",TestVZ1E,AB32)</f>
        <v>28.52193995381062</v>
      </c>
      <c r="D789" s="149" t="s">
        <v>389</v>
      </c>
    </row>
    <row r="790" spans="2:4">
      <c r="B790" s="193" t="s">
        <v>376</v>
      </c>
      <c r="C790" s="253">
        <f>IF($D$764="PUTT",D30,AB30)</f>
        <v>1.5406009998850152</v>
      </c>
      <c r="D790" s="149"/>
    </row>
    <row r="791" spans="2:4">
      <c r="B791" s="193" t="s">
        <v>377</v>
      </c>
      <c r="C791" s="253">
        <f t="shared" ref="C791:C801" si="112">IF(LEFT(PTTMode,1)="1","No Test",IF($D$764="PUTT",C35,AA35))</f>
        <v>-25</v>
      </c>
      <c r="D791" s="149"/>
    </row>
    <row r="792" spans="2:4">
      <c r="B792" s="193" t="s">
        <v>378</v>
      </c>
      <c r="C792" s="253">
        <f t="shared" si="112"/>
        <v>-12.5</v>
      </c>
      <c r="D792" s="149"/>
    </row>
    <row r="793" spans="2:4">
      <c r="B793" s="193" t="s">
        <v>379</v>
      </c>
      <c r="C793" s="253">
        <f t="shared" si="112"/>
        <v>0</v>
      </c>
      <c r="D793" s="149"/>
    </row>
    <row r="794" spans="2:4">
      <c r="B794" s="193" t="s">
        <v>380</v>
      </c>
      <c r="C794" s="253">
        <f t="shared" si="112"/>
        <v>4.5</v>
      </c>
      <c r="D794" s="149"/>
    </row>
    <row r="795" spans="2:4">
      <c r="B795" s="193" t="s">
        <v>381</v>
      </c>
      <c r="C795" s="253">
        <f t="shared" si="112"/>
        <v>9</v>
      </c>
      <c r="D795" s="149"/>
    </row>
    <row r="796" spans="2:4">
      <c r="B796" s="193" t="s">
        <v>382</v>
      </c>
      <c r="C796" s="253">
        <f t="shared" si="112"/>
        <v>10.929909476122836</v>
      </c>
      <c r="D796" s="252"/>
    </row>
    <row r="797" spans="2:4">
      <c r="B797" s="193" t="s">
        <v>425</v>
      </c>
      <c r="C797" s="253">
        <f t="shared" si="112"/>
        <v>13</v>
      </c>
      <c r="D797" s="252"/>
    </row>
    <row r="798" spans="2:4">
      <c r="B798" s="193" t="s">
        <v>538</v>
      </c>
      <c r="C798" s="253">
        <f t="shared" si="112"/>
        <v>51.5</v>
      </c>
      <c r="D798" s="252"/>
    </row>
    <row r="799" spans="2:4">
      <c r="B799" s="193" t="s">
        <v>540</v>
      </c>
      <c r="C799" s="253">
        <f t="shared" si="112"/>
        <v>90</v>
      </c>
      <c r="D799" s="252"/>
    </row>
    <row r="800" spans="2:4">
      <c r="B800" s="193" t="s">
        <v>1021</v>
      </c>
      <c r="C800" s="253">
        <f t="shared" si="112"/>
        <v>102.5</v>
      </c>
      <c r="D800" s="252"/>
    </row>
    <row r="801" spans="2:4">
      <c r="B801" s="193" t="s">
        <v>1022</v>
      </c>
      <c r="C801" s="253">
        <f t="shared" si="112"/>
        <v>115</v>
      </c>
      <c r="D801" s="252"/>
    </row>
    <row r="802" spans="2:4">
      <c r="B802" s="193" t="s">
        <v>383</v>
      </c>
      <c r="C802" s="253">
        <f t="shared" ref="C802:C812" si="113">IF($D$764="PUTT",D35,AB35)</f>
        <v>98.082678912164724</v>
      </c>
      <c r="D802" s="149"/>
    </row>
    <row r="803" spans="2:4">
      <c r="B803" s="193" t="s">
        <v>384</v>
      </c>
      <c r="C803" s="253">
        <f t="shared" si="113"/>
        <v>96.684604949264141</v>
      </c>
      <c r="D803" s="149"/>
    </row>
    <row r="804" spans="2:4">
      <c r="B804" s="193" t="s">
        <v>385</v>
      </c>
      <c r="C804" s="253">
        <f t="shared" si="113"/>
        <v>100</v>
      </c>
      <c r="D804" s="149"/>
    </row>
    <row r="805" spans="2:4">
      <c r="B805" s="193" t="s">
        <v>386</v>
      </c>
      <c r="C805" s="253">
        <f t="shared" si="113"/>
        <v>102.47011567143217</v>
      </c>
      <c r="D805" s="149"/>
    </row>
    <row r="806" spans="2:4">
      <c r="B806" s="193" t="s">
        <v>387</v>
      </c>
      <c r="C806" s="253">
        <f t="shared" si="113"/>
        <v>105.73374518019439</v>
      </c>
      <c r="D806" s="149"/>
    </row>
    <row r="807" spans="2:4">
      <c r="B807" s="193" t="s">
        <v>388</v>
      </c>
      <c r="C807" s="253">
        <f t="shared" si="113"/>
        <v>107.40509217798125</v>
      </c>
      <c r="D807" s="252"/>
    </row>
    <row r="808" spans="2:4">
      <c r="B808" s="193" t="s">
        <v>426</v>
      </c>
      <c r="C808" s="253">
        <f t="shared" si="113"/>
        <v>90.53021212132883</v>
      </c>
      <c r="D808" s="252"/>
    </row>
    <row r="809" spans="2:4">
      <c r="B809" s="193" t="s">
        <v>539</v>
      </c>
      <c r="C809" s="253">
        <f t="shared" si="113"/>
        <v>26.021791989202487</v>
      </c>
      <c r="D809" s="252"/>
    </row>
    <row r="810" spans="2:4">
      <c r="B810" s="193" t="s">
        <v>541</v>
      </c>
      <c r="C810" s="253">
        <f t="shared" si="113"/>
        <v>20.364866666666668</v>
      </c>
      <c r="D810" s="252"/>
    </row>
    <row r="811" spans="2:4">
      <c r="B811" s="193" t="s">
        <v>1023</v>
      </c>
      <c r="C811" s="253">
        <f t="shared" si="113"/>
        <v>20.859315738413073</v>
      </c>
      <c r="D811" s="252"/>
    </row>
    <row r="812" spans="2:4">
      <c r="B812" s="193" t="s">
        <v>1024</v>
      </c>
      <c r="C812" s="253">
        <f t="shared" si="113"/>
        <v>22.47014420261528</v>
      </c>
      <c r="D812" s="252"/>
    </row>
    <row r="813" spans="2:4">
      <c r="B813" s="217" t="s">
        <v>214</v>
      </c>
      <c r="C813" s="482">
        <f>S10</f>
        <v>10.257063371779756</v>
      </c>
      <c r="D813" s="317" t="s">
        <v>217</v>
      </c>
    </row>
    <row r="814" spans="2:4">
      <c r="B814" s="217" t="s">
        <v>213</v>
      </c>
      <c r="C814" s="218">
        <f>VALUE(SUBSTITUTE(S8,"A",""))</f>
        <v>0.70517310680985801</v>
      </c>
      <c r="D814" s="317"/>
    </row>
    <row r="815" spans="2:4">
      <c r="B815" s="309" t="s">
        <v>1087</v>
      </c>
      <c r="C815" s="464">
        <f>OCH</f>
        <v>3</v>
      </c>
      <c r="D815" s="309"/>
    </row>
    <row r="816" spans="2:4">
      <c r="B816" s="309" t="s">
        <v>1175</v>
      </c>
      <c r="C816" s="464" t="str">
        <f>AQ36</f>
        <v>No Test</v>
      </c>
      <c r="D816" s="309"/>
    </row>
    <row r="817" spans="2:4">
      <c r="B817" s="309" t="s">
        <v>1084</v>
      </c>
      <c r="C817" s="464">
        <f>AE9</f>
        <v>5</v>
      </c>
      <c r="D817" s="309"/>
    </row>
    <row r="818" spans="2:4">
      <c r="B818" s="309" t="s">
        <v>246</v>
      </c>
      <c r="C818" s="550">
        <f>TestVSOTF</f>
        <v>21.84</v>
      </c>
      <c r="D818" s="309"/>
    </row>
    <row r="819" spans="2:4">
      <c r="B819" s="445" t="s">
        <v>967</v>
      </c>
      <c r="C819" s="446">
        <f>BG22</f>
        <v>30.86468248808885</v>
      </c>
      <c r="D819" s="445"/>
    </row>
    <row r="820" spans="2:4">
      <c r="B820" s="445" t="s">
        <v>966</v>
      </c>
      <c r="C820" s="549">
        <f>(DEGREES(ATAN(TestVSOTF/Vh)))</f>
        <v>20.720066589498568</v>
      </c>
      <c r="D820" s="445"/>
    </row>
    <row r="821" spans="2:4">
      <c r="B821" s="309" t="s">
        <v>247</v>
      </c>
      <c r="C821" s="549">
        <f>AE8</f>
        <v>1.5846965699208444</v>
      </c>
      <c r="D821" s="309"/>
    </row>
    <row r="822" spans="2:4">
      <c r="B822" s="445" t="s">
        <v>962</v>
      </c>
      <c r="C822" s="445">
        <f>IF(821:821&gt;15,2,3)</f>
        <v>3</v>
      </c>
      <c r="D822" s="686"/>
    </row>
    <row r="823" spans="2:4">
      <c r="B823" s="309" t="s">
        <v>282</v>
      </c>
      <c r="C823" s="323">
        <f t="shared" ref="C823:C834" si="114">AD13</f>
        <v>-25</v>
      </c>
      <c r="D823" s="309"/>
    </row>
    <row r="824" spans="2:4">
      <c r="B824" s="309" t="s">
        <v>283</v>
      </c>
      <c r="C824" s="323">
        <f t="shared" si="114"/>
        <v>0</v>
      </c>
      <c r="D824" s="309"/>
    </row>
    <row r="825" spans="2:4">
      <c r="B825" s="309" t="s">
        <v>284</v>
      </c>
      <c r="C825" s="323">
        <f t="shared" si="114"/>
        <v>18.67136398158295</v>
      </c>
      <c r="D825" s="309"/>
    </row>
    <row r="826" spans="2:4">
      <c r="B826" s="309" t="s">
        <v>285</v>
      </c>
      <c r="C826" s="323">
        <f t="shared" si="114"/>
        <v>25.870234814212917</v>
      </c>
      <c r="D826" s="309"/>
    </row>
    <row r="827" spans="2:4">
      <c r="B827" s="309" t="s">
        <v>286</v>
      </c>
      <c r="C827" s="323">
        <f t="shared" si="114"/>
        <v>90</v>
      </c>
      <c r="D827" s="309"/>
    </row>
    <row r="828" spans="2:4">
      <c r="B828" s="309" t="s">
        <v>287</v>
      </c>
      <c r="C828" s="323">
        <f t="shared" si="114"/>
        <v>115</v>
      </c>
      <c r="D828" s="309"/>
    </row>
    <row r="829" spans="2:4">
      <c r="B829" s="309" t="s">
        <v>288</v>
      </c>
      <c r="C829" s="323">
        <f t="shared" si="114"/>
        <v>125</v>
      </c>
      <c r="D829" s="309"/>
    </row>
    <row r="830" spans="2:4">
      <c r="B830" s="309" t="s">
        <v>289</v>
      </c>
      <c r="C830" s="323">
        <f t="shared" si="114"/>
        <v>128.21900962126432</v>
      </c>
      <c r="D830" s="309"/>
    </row>
    <row r="831" spans="2:4">
      <c r="B831" s="309" t="s">
        <v>290</v>
      </c>
      <c r="C831" s="323">
        <f t="shared" si="114"/>
        <v>180</v>
      </c>
      <c r="D831" s="309"/>
    </row>
    <row r="832" spans="2:4">
      <c r="B832" s="309" t="s">
        <v>291</v>
      </c>
      <c r="C832" s="323">
        <f t="shared" si="114"/>
        <v>240.46549356129381</v>
      </c>
      <c r="D832" s="309"/>
    </row>
    <row r="833" spans="2:4">
      <c r="B833" s="309" t="s">
        <v>292</v>
      </c>
      <c r="C833" s="323">
        <f t="shared" si="114"/>
        <v>270</v>
      </c>
      <c r="D833" s="309"/>
    </row>
    <row r="834" spans="2:4">
      <c r="B834" s="309" t="s">
        <v>293</v>
      </c>
      <c r="C834" s="323">
        <f t="shared" si="114"/>
        <v>290.60867994460727</v>
      </c>
      <c r="D834" s="309"/>
    </row>
    <row r="835" spans="2:4">
      <c r="B835" s="309" t="s">
        <v>294</v>
      </c>
      <c r="C835" s="324">
        <f t="shared" ref="C835:C846" si="115">AE13</f>
        <v>26.678488664108809</v>
      </c>
      <c r="D835" s="309"/>
    </row>
    <row r="836" spans="2:4">
      <c r="B836" s="309" t="s">
        <v>295</v>
      </c>
      <c r="C836" s="324">
        <f t="shared" si="115"/>
        <v>27.2</v>
      </c>
      <c r="D836" s="309"/>
    </row>
    <row r="837" spans="2:4">
      <c r="B837" s="309" t="s">
        <v>296</v>
      </c>
      <c r="C837" s="324">
        <f t="shared" si="115"/>
        <v>31.569566863407253</v>
      </c>
      <c r="D837" s="309"/>
    </row>
    <row r="838" spans="2:4">
      <c r="B838" s="309" t="s">
        <v>297</v>
      </c>
      <c r="C838" s="324">
        <f t="shared" si="115"/>
        <v>34.743993818712177</v>
      </c>
      <c r="D838" s="309"/>
    </row>
    <row r="839" spans="2:4">
      <c r="B839" s="309" t="s">
        <v>298</v>
      </c>
      <c r="C839" s="324">
        <f t="shared" si="115"/>
        <v>15.16</v>
      </c>
      <c r="D839" s="309"/>
    </row>
    <row r="840" spans="2:4">
      <c r="B840" s="309" t="s">
        <v>299</v>
      </c>
      <c r="C840" s="324">
        <f t="shared" si="115"/>
        <v>16.727209251471372</v>
      </c>
      <c r="D840" s="309"/>
    </row>
    <row r="841" spans="2:4">
      <c r="B841" s="309" t="s">
        <v>300</v>
      </c>
      <c r="C841" s="324">
        <f t="shared" si="115"/>
        <v>7.28</v>
      </c>
      <c r="D841" s="309"/>
    </row>
    <row r="842" spans="2:4">
      <c r="B842" s="309" t="s">
        <v>301</v>
      </c>
      <c r="C842" s="324">
        <f t="shared" si="115"/>
        <v>7.28</v>
      </c>
      <c r="D842" s="309"/>
    </row>
    <row r="843" spans="2:4">
      <c r="B843" s="309" t="s">
        <v>302</v>
      </c>
      <c r="C843" s="324">
        <f t="shared" si="115"/>
        <v>7.28</v>
      </c>
      <c r="D843" s="309"/>
    </row>
    <row r="844" spans="2:4">
      <c r="B844" s="309" t="s">
        <v>303</v>
      </c>
      <c r="C844" s="324">
        <f t="shared" si="115"/>
        <v>7.28</v>
      </c>
      <c r="D844" s="309"/>
    </row>
    <row r="845" spans="2:4">
      <c r="B845" s="309" t="s">
        <v>304</v>
      </c>
      <c r="C845" s="324">
        <f t="shared" si="115"/>
        <v>7.28</v>
      </c>
      <c r="D845" s="309"/>
    </row>
    <row r="846" spans="2:4">
      <c r="B846" s="309" t="s">
        <v>305</v>
      </c>
      <c r="C846" s="324">
        <f t="shared" si="115"/>
        <v>7.28</v>
      </c>
      <c r="D846" s="309"/>
    </row>
    <row r="847" spans="2:4">
      <c r="B847" s="309" t="s">
        <v>248</v>
      </c>
      <c r="C847" s="446">
        <f>TestV_SOTF_E</f>
        <v>32.904646613946142</v>
      </c>
      <c r="D847" s="445"/>
    </row>
    <row r="848" spans="2:4">
      <c r="B848" s="309" t="s">
        <v>249</v>
      </c>
      <c r="C848" s="549">
        <f>VALUE(SUBSTITUTE(AE30,"A",""))</f>
        <v>3.3</v>
      </c>
      <c r="D848" s="445"/>
    </row>
    <row r="849" spans="2:4">
      <c r="B849" s="445" t="s">
        <v>963</v>
      </c>
      <c r="C849" s="445">
        <f>IF(848:848&gt;15,2,3)</f>
        <v>3</v>
      </c>
      <c r="D849" s="686"/>
    </row>
    <row r="850" spans="2:4">
      <c r="B850" s="309" t="s">
        <v>328</v>
      </c>
      <c r="C850" s="323">
        <f t="shared" ref="C850:C861" si="116">AD35</f>
        <v>-25</v>
      </c>
      <c r="D850" s="309"/>
    </row>
    <row r="851" spans="2:4">
      <c r="B851" s="309" t="s">
        <v>329</v>
      </c>
      <c r="C851" s="323">
        <f t="shared" si="116"/>
        <v>0</v>
      </c>
      <c r="D851" s="309"/>
    </row>
    <row r="852" spans="2:4">
      <c r="B852" s="309" t="s">
        <v>330</v>
      </c>
      <c r="C852" s="323">
        <f t="shared" si="116"/>
        <v>10</v>
      </c>
      <c r="D852" s="309"/>
    </row>
    <row r="853" spans="2:4">
      <c r="B853" s="309" t="s">
        <v>331</v>
      </c>
      <c r="C853" s="323">
        <f t="shared" si="116"/>
        <v>11.923710961991974</v>
      </c>
      <c r="D853" s="309"/>
    </row>
    <row r="854" spans="2:4">
      <c r="B854" s="309" t="s">
        <v>332</v>
      </c>
      <c r="C854" s="323">
        <f t="shared" si="116"/>
        <v>90</v>
      </c>
      <c r="D854" s="309"/>
    </row>
    <row r="855" spans="2:4">
      <c r="B855" s="309" t="s">
        <v>333</v>
      </c>
      <c r="C855" s="323">
        <f t="shared" si="116"/>
        <v>115</v>
      </c>
      <c r="D855" s="309"/>
    </row>
    <row r="856" spans="2:4">
      <c r="B856" s="309" t="s">
        <v>334</v>
      </c>
      <c r="C856" s="323">
        <f t="shared" si="116"/>
        <v>155</v>
      </c>
      <c r="D856" s="309"/>
    </row>
    <row r="857" spans="2:4">
      <c r="B857" s="309" t="s">
        <v>335</v>
      </c>
      <c r="C857" s="323">
        <f t="shared" si="116"/>
        <v>180</v>
      </c>
      <c r="D857" s="309"/>
    </row>
    <row r="858" spans="2:4">
      <c r="B858" s="309" t="s">
        <v>336</v>
      </c>
      <c r="C858" s="323">
        <f t="shared" si="116"/>
        <v>232</v>
      </c>
      <c r="D858" s="309"/>
    </row>
    <row r="859" spans="2:4">
      <c r="B859" s="309" t="s">
        <v>337</v>
      </c>
      <c r="C859" s="323">
        <f t="shared" si="116"/>
        <v>233.54641338816776</v>
      </c>
      <c r="D859" s="309"/>
    </row>
    <row r="860" spans="2:4">
      <c r="B860" s="309" t="s">
        <v>338</v>
      </c>
      <c r="C860" s="323">
        <f t="shared" si="116"/>
        <v>270</v>
      </c>
      <c r="D860" s="309"/>
    </row>
    <row r="861" spans="2:4">
      <c r="B861" s="309" t="s">
        <v>339</v>
      </c>
      <c r="C861" s="323">
        <f t="shared" si="116"/>
        <v>316.34560811920699</v>
      </c>
      <c r="D861" s="309"/>
    </row>
    <row r="862" spans="2:4">
      <c r="B862" s="309" t="s">
        <v>340</v>
      </c>
      <c r="C862" s="324">
        <f t="shared" ref="C862:C873" si="117">AE35</f>
        <v>63.851823971819236</v>
      </c>
      <c r="D862" s="309"/>
    </row>
    <row r="863" spans="2:4">
      <c r="B863" s="309" t="s">
        <v>341</v>
      </c>
      <c r="C863" s="324">
        <f t="shared" si="117"/>
        <v>65.099999999999994</v>
      </c>
      <c r="D863" s="309"/>
    </row>
    <row r="864" spans="2:4">
      <c r="B864" s="309" t="s">
        <v>342</v>
      </c>
      <c r="C864" s="324">
        <f t="shared" si="117"/>
        <v>69.382357948200521</v>
      </c>
      <c r="D864" s="309"/>
    </row>
    <row r="865" spans="2:4">
      <c r="B865" s="309" t="s">
        <v>343</v>
      </c>
      <c r="C865" s="324">
        <f t="shared" si="117"/>
        <v>70.526077276119125</v>
      </c>
      <c r="D865" s="309"/>
    </row>
    <row r="866" spans="2:4">
      <c r="B866" s="309" t="s">
        <v>344</v>
      </c>
      <c r="C866" s="324">
        <f t="shared" si="117"/>
        <v>14.604133333333333</v>
      </c>
      <c r="D866" s="309"/>
    </row>
    <row r="867" spans="2:4">
      <c r="B867" s="309" t="s">
        <v>345</v>
      </c>
      <c r="C867" s="324">
        <f t="shared" si="117"/>
        <v>16.11387824558409</v>
      </c>
      <c r="D867" s="309"/>
    </row>
    <row r="868" spans="2:4">
      <c r="B868" s="309" t="s">
        <v>346</v>
      </c>
      <c r="C868" s="324">
        <f t="shared" si="117"/>
        <v>10.968215537982047</v>
      </c>
      <c r="D868" s="309"/>
    </row>
    <row r="869" spans="2:4">
      <c r="B869" s="309" t="s">
        <v>347</v>
      </c>
      <c r="C869" s="324">
        <f t="shared" si="117"/>
        <v>10.968215537982047</v>
      </c>
      <c r="D869" s="309"/>
    </row>
    <row r="870" spans="2:4">
      <c r="B870" s="309" t="s">
        <v>348</v>
      </c>
      <c r="C870" s="324">
        <f t="shared" si="117"/>
        <v>10.968215537982047</v>
      </c>
      <c r="D870" s="309"/>
    </row>
    <row r="871" spans="2:4">
      <c r="B871" s="309" t="s">
        <v>349</v>
      </c>
      <c r="C871" s="324">
        <f t="shared" si="117"/>
        <v>10.968215537982047</v>
      </c>
      <c r="D871" s="309"/>
    </row>
    <row r="872" spans="2:4">
      <c r="B872" s="309" t="s">
        <v>350</v>
      </c>
      <c r="C872" s="324">
        <f t="shared" si="117"/>
        <v>10.968215537982047</v>
      </c>
      <c r="D872" s="309"/>
    </row>
    <row r="873" spans="2:4">
      <c r="B873" s="309" t="s">
        <v>351</v>
      </c>
      <c r="C873" s="324">
        <f t="shared" si="117"/>
        <v>10.968215537982047</v>
      </c>
      <c r="D873" s="309"/>
    </row>
    <row r="875" spans="2:4">
      <c r="B875" s="350" t="s">
        <v>939</v>
      </c>
      <c r="C875" s="405">
        <f>SQRT(Vh^2+TimesTest_R_V^2)/2</f>
        <v>29.268341906068724</v>
      </c>
      <c r="D875" s="350"/>
    </row>
    <row r="876" spans="2:4">
      <c r="B876" s="350" t="s">
        <v>938</v>
      </c>
      <c r="C876" s="355">
        <f>DEGREES(ATAN(TimesTest_R_V/Vh))</f>
        <v>9.4831894383759519</v>
      </c>
      <c r="D876" s="350"/>
    </row>
    <row r="877" spans="2:4">
      <c r="B877" s="350" t="s">
        <v>941</v>
      </c>
      <c r="C877" s="405">
        <f>ROUND(SQRT(Vh^2+TimesTestV^2)/2,2)</f>
        <v>29.08</v>
      </c>
      <c r="D877" s="350"/>
    </row>
    <row r="878" spans="2:4">
      <c r="B878" s="350" t="s">
        <v>940</v>
      </c>
      <c r="C878" s="355">
        <f>ROUND(DEGREES(ATAN(TimesTestV/Vh)),1)</f>
        <v>6.9</v>
      </c>
      <c r="D878" s="350"/>
    </row>
    <row r="880" spans="2:4">
      <c r="B880" s="445" t="s">
        <v>674</v>
      </c>
      <c r="C880" s="446">
        <f>ROUND(Settings!T10*50,0)+15</f>
        <v>265</v>
      </c>
      <c r="D880" s="445" t="s">
        <v>673</v>
      </c>
    </row>
    <row r="881" spans="2:4">
      <c r="B881" s="445" t="s">
        <v>700</v>
      </c>
      <c r="C881" s="464">
        <f>IF(Gen_Trafo =TRUE,Gen_Trafo,0)</f>
        <v>0</v>
      </c>
      <c r="D881" s="445" t="s">
        <v>673</v>
      </c>
    </row>
    <row r="882" spans="2:4">
      <c r="B882" s="403"/>
      <c r="C882" s="403"/>
      <c r="D882" s="403"/>
    </row>
    <row r="883" spans="2:4">
      <c r="B883" s="403"/>
      <c r="C883" s="403"/>
      <c r="D883" s="403"/>
    </row>
    <row r="884" spans="2:4">
      <c r="B884" s="403"/>
      <c r="C884" s="403"/>
      <c r="D884" s="403"/>
    </row>
    <row r="885" spans="2:4">
      <c r="B885" s="403"/>
      <c r="C885" s="403"/>
      <c r="D885" s="403"/>
    </row>
    <row r="886" spans="2:4">
      <c r="B886" s="403"/>
      <c r="C886" s="403"/>
      <c r="D886" s="403"/>
    </row>
    <row r="887" spans="2:4">
      <c r="B887" s="403"/>
      <c r="C887" s="403"/>
      <c r="D887" s="403"/>
    </row>
    <row r="888" spans="2:4">
      <c r="B888" s="403"/>
      <c r="C888" s="403"/>
      <c r="D888" s="403"/>
    </row>
    <row r="889" spans="2:4">
      <c r="B889" s="403"/>
      <c r="C889" s="403"/>
      <c r="D889" s="403"/>
    </row>
    <row r="890" spans="2:4">
      <c r="B890" s="403"/>
      <c r="C890" s="403"/>
      <c r="D890" s="403"/>
    </row>
    <row r="891" spans="2:4">
      <c r="B891" s="403"/>
      <c r="C891" s="403"/>
      <c r="D891" s="403"/>
    </row>
    <row r="892" spans="2:4">
      <c r="B892" s="403"/>
      <c r="C892" s="403"/>
      <c r="D892" s="403"/>
    </row>
    <row r="893" spans="2:4">
      <c r="B893" s="403"/>
      <c r="C893" s="403"/>
      <c r="D893" s="403"/>
    </row>
    <row r="894" spans="2:4">
      <c r="B894" s="403"/>
      <c r="C894" s="403"/>
      <c r="D894" s="403"/>
    </row>
    <row r="895" spans="2:4">
      <c r="B895" s="403"/>
      <c r="C895" s="403"/>
      <c r="D895" s="403"/>
    </row>
    <row r="896" spans="2:4">
      <c r="B896" s="403"/>
      <c r="C896" s="403"/>
      <c r="D896" s="403"/>
    </row>
    <row r="897" spans="2:4">
      <c r="B897" s="403"/>
      <c r="C897" s="403"/>
      <c r="D897" s="403"/>
    </row>
    <row r="898" spans="2:4">
      <c r="B898" s="403"/>
      <c r="C898" s="403"/>
      <c r="D898" s="403"/>
    </row>
    <row r="899" spans="2:4">
      <c r="B899" s="403"/>
      <c r="C899" s="403"/>
      <c r="D899" s="403"/>
    </row>
    <row r="900" spans="2:4">
      <c r="B900" s="403"/>
      <c r="C900" s="403"/>
      <c r="D900" s="403"/>
    </row>
    <row r="901" spans="2:4">
      <c r="B901" s="403"/>
      <c r="C901" s="403"/>
      <c r="D901" s="403"/>
    </row>
    <row r="919" spans="2:4">
      <c r="B919" s="403"/>
      <c r="C919" s="403"/>
      <c r="D919" s="403"/>
    </row>
    <row r="920" spans="2:4">
      <c r="B920" s="403"/>
      <c r="C920" s="403"/>
      <c r="D920" s="403"/>
    </row>
    <row r="921" spans="2:4">
      <c r="B921" s="403"/>
      <c r="C921" s="403"/>
      <c r="D921" s="403"/>
    </row>
    <row r="922" spans="2:4">
      <c r="B922" s="403"/>
      <c r="C922" s="403"/>
      <c r="D922" s="403"/>
    </row>
    <row r="923" spans="2:4">
      <c r="B923" s="403"/>
      <c r="C923" s="403"/>
      <c r="D923" s="403"/>
    </row>
    <row r="924" spans="2:4">
      <c r="B924" s="403"/>
      <c r="C924" s="403"/>
      <c r="D924" s="403"/>
    </row>
    <row r="925" spans="2:4">
      <c r="B925" s="403"/>
      <c r="C925" s="403"/>
      <c r="D925" s="403"/>
    </row>
    <row r="926" spans="2:4">
      <c r="B926" s="403"/>
      <c r="C926" s="403"/>
      <c r="D926" s="403"/>
    </row>
    <row r="927" spans="2:4">
      <c r="B927" s="403"/>
      <c r="C927" s="403"/>
      <c r="D927" s="403"/>
    </row>
    <row r="928" spans="2:4">
      <c r="B928" s="403"/>
      <c r="C928" s="403"/>
      <c r="D928" s="403"/>
    </row>
    <row r="929" spans="2:4">
      <c r="B929" s="403"/>
      <c r="C929" s="403"/>
      <c r="D929" s="403"/>
    </row>
    <row r="930" spans="2:4">
      <c r="B930" s="403"/>
      <c r="C930" s="403"/>
      <c r="D930" s="403"/>
    </row>
    <row r="931" spans="2:4">
      <c r="B931" s="403"/>
      <c r="C931" s="403"/>
      <c r="D931" s="403"/>
    </row>
    <row r="932" spans="2:4">
      <c r="B932" s="403"/>
      <c r="C932" s="403"/>
      <c r="D932" s="403"/>
    </row>
    <row r="933" spans="2:4">
      <c r="B933" s="403"/>
      <c r="C933" s="403"/>
      <c r="D933" s="403"/>
    </row>
    <row r="934" spans="2:4">
      <c r="B934" s="403"/>
      <c r="C934" s="403"/>
      <c r="D934" s="403"/>
    </row>
    <row r="935" spans="2:4">
      <c r="B935" s="403"/>
      <c r="C935" s="403"/>
      <c r="D935" s="403"/>
    </row>
    <row r="936" spans="2:4">
      <c r="B936" s="403"/>
      <c r="C936" s="403"/>
      <c r="D936" s="403"/>
    </row>
    <row r="937" spans="2:4">
      <c r="B937" s="403"/>
      <c r="C937" s="403"/>
      <c r="D937" s="403"/>
    </row>
    <row r="938" spans="2:4">
      <c r="B938" s="403"/>
      <c r="C938" s="403"/>
      <c r="D938" s="403"/>
    </row>
    <row r="939" spans="2:4">
      <c r="B939" s="403"/>
      <c r="C939" s="403"/>
      <c r="D939" s="403"/>
    </row>
    <row r="940" spans="2:4">
      <c r="B940" s="403"/>
      <c r="C940" s="403"/>
      <c r="D940" s="403"/>
    </row>
    <row r="941" spans="2:4">
      <c r="B941" s="403"/>
      <c r="C941" s="403"/>
      <c r="D941" s="403"/>
    </row>
    <row r="942" spans="2:4">
      <c r="B942" s="403"/>
      <c r="C942" s="403"/>
      <c r="D942" s="403"/>
    </row>
    <row r="943" spans="2:4">
      <c r="B943" s="403"/>
      <c r="C943" s="403"/>
      <c r="D943" s="403"/>
    </row>
    <row r="944" spans="2:4">
      <c r="B944" s="403"/>
      <c r="C944" s="403"/>
      <c r="D944" s="403"/>
    </row>
    <row r="945" spans="2:4">
      <c r="B945" s="403"/>
      <c r="C945" s="403"/>
      <c r="D945" s="403"/>
    </row>
    <row r="946" spans="2:4">
      <c r="B946" s="403"/>
      <c r="C946" s="403"/>
      <c r="D946" s="403"/>
    </row>
    <row r="947" spans="2:4">
      <c r="B947" s="403"/>
      <c r="C947" s="403"/>
      <c r="D947" s="403"/>
    </row>
    <row r="948" spans="2:4">
      <c r="B948" s="403"/>
      <c r="C948" s="403"/>
      <c r="D948" s="403"/>
    </row>
    <row r="949" spans="2:4">
      <c r="B949" s="403"/>
      <c r="C949" s="403"/>
      <c r="D949" s="403"/>
    </row>
    <row r="950" spans="2:4">
      <c r="B950" s="403"/>
      <c r="C950" s="403"/>
      <c r="D950" s="403"/>
    </row>
    <row r="951" spans="2:4">
      <c r="B951" s="403"/>
      <c r="C951" s="403"/>
      <c r="D951" s="403"/>
    </row>
    <row r="952" spans="2:4">
      <c r="B952" s="403"/>
      <c r="C952" s="403"/>
      <c r="D952" s="403"/>
    </row>
    <row r="953" spans="2:4">
      <c r="B953" s="403"/>
      <c r="C953" s="403"/>
      <c r="D953" s="403"/>
    </row>
    <row r="954" spans="2:4">
      <c r="B954" s="403"/>
      <c r="C954" s="403"/>
      <c r="D954" s="403"/>
    </row>
    <row r="955" spans="2:4">
      <c r="B955" s="403"/>
      <c r="C955" s="403"/>
      <c r="D955" s="403"/>
    </row>
    <row r="956" spans="2:4">
      <c r="B956" s="403"/>
      <c r="C956" s="403"/>
      <c r="D956" s="403"/>
    </row>
    <row r="957" spans="2:4">
      <c r="B957" s="403"/>
      <c r="C957" s="403"/>
      <c r="D957" s="403"/>
    </row>
    <row r="958" spans="2:4">
      <c r="B958" s="403"/>
      <c r="C958" s="403"/>
      <c r="D958" s="403"/>
    </row>
    <row r="959" spans="2:4">
      <c r="B959" s="403"/>
      <c r="C959" s="403"/>
      <c r="D959" s="403"/>
    </row>
    <row r="960" spans="2:4">
      <c r="B960" s="403"/>
      <c r="C960" s="403"/>
      <c r="D960" s="403"/>
    </row>
    <row r="961" spans="2:4">
      <c r="B961" s="403"/>
      <c r="C961" s="403"/>
      <c r="D961" s="403"/>
    </row>
    <row r="962" spans="2:4">
      <c r="B962" s="403"/>
      <c r="C962" s="403"/>
      <c r="D962" s="403"/>
    </row>
    <row r="963" spans="2:4">
      <c r="B963" s="403"/>
      <c r="C963" s="403"/>
      <c r="D963" s="403"/>
    </row>
    <row r="964" spans="2:4">
      <c r="B964" s="403"/>
      <c r="C964" s="403"/>
      <c r="D964" s="403"/>
    </row>
    <row r="965" spans="2:4">
      <c r="B965" s="403"/>
      <c r="C965" s="403"/>
      <c r="D965" s="403"/>
    </row>
    <row r="966" spans="2:4">
      <c r="B966" s="403"/>
      <c r="C966" s="403"/>
      <c r="D966" s="403"/>
    </row>
    <row r="967" spans="2:4">
      <c r="B967" s="403"/>
      <c r="C967" s="403"/>
      <c r="D967" s="403"/>
    </row>
    <row r="968" spans="2:4">
      <c r="B968" s="403"/>
      <c r="C968" s="403"/>
      <c r="D968" s="403"/>
    </row>
    <row r="969" spans="2:4">
      <c r="B969" s="403"/>
      <c r="C969" s="403"/>
      <c r="D969" s="403"/>
    </row>
    <row r="970" spans="2:4">
      <c r="B970" s="403"/>
      <c r="C970" s="403"/>
      <c r="D970" s="403"/>
    </row>
    <row r="971" spans="2:4">
      <c r="B971" s="403"/>
      <c r="C971" s="403"/>
      <c r="D971" s="403"/>
    </row>
    <row r="972" spans="2:4">
      <c r="B972" s="403"/>
      <c r="C972" s="403"/>
      <c r="D972" s="403"/>
    </row>
    <row r="973" spans="2:4">
      <c r="B973" s="403"/>
      <c r="C973" s="403"/>
      <c r="D973" s="403"/>
    </row>
    <row r="974" spans="2:4">
      <c r="B974" s="403"/>
      <c r="C974" s="403"/>
      <c r="D974" s="403"/>
    </row>
    <row r="975" spans="2:4">
      <c r="B975" s="403"/>
      <c r="C975" s="403"/>
      <c r="D975" s="403"/>
    </row>
    <row r="976" spans="2:4">
      <c r="B976" s="403"/>
      <c r="C976" s="403"/>
      <c r="D976" s="403"/>
    </row>
    <row r="977" spans="2:4">
      <c r="B977" s="403"/>
      <c r="C977" s="403"/>
      <c r="D977" s="403"/>
    </row>
    <row r="978" spans="2:4">
      <c r="B978" s="403"/>
      <c r="C978" s="403"/>
      <c r="D978" s="403"/>
    </row>
    <row r="979" spans="2:4">
      <c r="B979" s="403"/>
      <c r="C979" s="403"/>
      <c r="D979" s="403"/>
    </row>
    <row r="980" spans="2:4">
      <c r="B980" s="403"/>
      <c r="C980" s="403"/>
      <c r="D980" s="403"/>
    </row>
    <row r="981" spans="2:4">
      <c r="B981" s="403"/>
      <c r="C981" s="403"/>
      <c r="D981" s="403"/>
    </row>
    <row r="982" spans="2:4">
      <c r="B982" s="403"/>
      <c r="C982" s="403"/>
      <c r="D982" s="403"/>
    </row>
    <row r="983" spans="2:4">
      <c r="B983" s="403"/>
      <c r="C983" s="403"/>
      <c r="D983" s="403"/>
    </row>
    <row r="984" spans="2:4">
      <c r="B984" s="403"/>
      <c r="C984" s="403"/>
      <c r="D984" s="403"/>
    </row>
    <row r="985" spans="2:4">
      <c r="B985" s="403"/>
      <c r="C985" s="403"/>
      <c r="D985" s="403"/>
    </row>
    <row r="986" spans="2:4">
      <c r="B986" s="403"/>
      <c r="C986" s="403"/>
      <c r="D986" s="403"/>
    </row>
    <row r="987" spans="2:4">
      <c r="B987" s="403"/>
      <c r="C987" s="403"/>
      <c r="D987" s="403"/>
    </row>
    <row r="988" spans="2:4">
      <c r="B988" s="403"/>
      <c r="C988" s="403"/>
      <c r="D988" s="403"/>
    </row>
    <row r="989" spans="2:4">
      <c r="B989" s="403"/>
      <c r="C989" s="403"/>
      <c r="D989" s="403"/>
    </row>
    <row r="990" spans="2:4">
      <c r="B990" s="403"/>
      <c r="C990" s="403"/>
      <c r="D990" s="403"/>
    </row>
    <row r="991" spans="2:4">
      <c r="B991" s="403"/>
      <c r="C991" s="403"/>
      <c r="D991" s="403"/>
    </row>
    <row r="992" spans="2:4">
      <c r="B992" s="403"/>
      <c r="C992" s="403"/>
      <c r="D992" s="403"/>
    </row>
    <row r="993" spans="2:4">
      <c r="B993" s="403"/>
      <c r="C993" s="403"/>
      <c r="D993" s="403"/>
    </row>
    <row r="994" spans="2:4">
      <c r="B994" s="403"/>
      <c r="C994" s="403"/>
      <c r="D994" s="403"/>
    </row>
    <row r="995" spans="2:4">
      <c r="B995" s="403"/>
      <c r="C995" s="403"/>
      <c r="D995" s="403"/>
    </row>
    <row r="996" spans="2:4">
      <c r="B996" s="403"/>
      <c r="C996" s="403"/>
      <c r="D996" s="403"/>
    </row>
    <row r="997" spans="2:4">
      <c r="B997" s="403"/>
      <c r="C997" s="403"/>
      <c r="D997" s="403"/>
    </row>
    <row r="998" spans="2:4">
      <c r="B998" s="403"/>
      <c r="C998" s="403"/>
      <c r="D998" s="403"/>
    </row>
    <row r="999" spans="2:4">
      <c r="B999" s="403"/>
      <c r="C999" s="403"/>
      <c r="D999" s="403"/>
    </row>
    <row r="1000" spans="2:4">
      <c r="B1000" s="403"/>
      <c r="C1000" s="403"/>
      <c r="D1000" s="403"/>
    </row>
    <row r="1001" spans="2:4">
      <c r="B1001" s="403"/>
      <c r="C1001" s="403"/>
      <c r="D1001" s="403"/>
    </row>
    <row r="1002" spans="2:4">
      <c r="B1002" s="403"/>
      <c r="C1002" s="403"/>
      <c r="D1002" s="403"/>
    </row>
    <row r="1003" spans="2:4">
      <c r="B1003" s="403"/>
      <c r="C1003" s="403"/>
      <c r="D1003" s="403"/>
    </row>
    <row r="1004" spans="2:4">
      <c r="B1004" s="403"/>
      <c r="C1004" s="403"/>
      <c r="D1004" s="403"/>
    </row>
    <row r="1005" spans="2:4">
      <c r="B1005" s="403"/>
      <c r="C1005" s="403"/>
      <c r="D1005" s="403"/>
    </row>
    <row r="1006" spans="2:4">
      <c r="B1006" s="403"/>
      <c r="C1006" s="403"/>
      <c r="D1006" s="403"/>
    </row>
    <row r="1007" spans="2:4">
      <c r="B1007" s="403"/>
      <c r="C1007" s="403"/>
      <c r="D1007" s="403"/>
    </row>
    <row r="1008" spans="2:4">
      <c r="B1008" s="403"/>
      <c r="C1008" s="403"/>
      <c r="D1008" s="403"/>
    </row>
    <row r="1009" spans="2:4">
      <c r="B1009" s="403"/>
      <c r="C1009" s="403"/>
      <c r="D1009" s="403"/>
    </row>
    <row r="1010" spans="2:4">
      <c r="B1010" s="403"/>
      <c r="C1010" s="403"/>
      <c r="D1010" s="403"/>
    </row>
    <row r="1011" spans="2:4">
      <c r="B1011" s="403"/>
      <c r="C1011" s="403"/>
      <c r="D1011" s="403"/>
    </row>
    <row r="1012" spans="2:4">
      <c r="B1012" s="403"/>
      <c r="C1012" s="403"/>
      <c r="D1012" s="403"/>
    </row>
    <row r="1013" spans="2:4">
      <c r="B1013" s="403"/>
      <c r="C1013" s="403"/>
      <c r="D1013" s="403"/>
    </row>
    <row r="1014" spans="2:4">
      <c r="B1014" s="403"/>
      <c r="C1014" s="403"/>
      <c r="D1014" s="403"/>
    </row>
    <row r="1015" spans="2:4">
      <c r="B1015" s="403"/>
      <c r="C1015" s="403"/>
      <c r="D1015" s="403"/>
    </row>
    <row r="1016" spans="2:4">
      <c r="B1016" s="403"/>
      <c r="C1016" s="403"/>
      <c r="D1016" s="403"/>
    </row>
    <row r="1017" spans="2:4">
      <c r="B1017" s="403"/>
      <c r="C1017" s="403"/>
      <c r="D1017" s="403"/>
    </row>
    <row r="1018" spans="2:4">
      <c r="B1018" s="403"/>
      <c r="C1018" s="403"/>
      <c r="D1018" s="403"/>
    </row>
    <row r="1019" spans="2:4">
      <c r="B1019" s="403"/>
      <c r="C1019" s="403"/>
      <c r="D1019" s="403"/>
    </row>
    <row r="1020" spans="2:4">
      <c r="B1020" s="403"/>
      <c r="C1020" s="403"/>
      <c r="D1020" s="403"/>
    </row>
    <row r="1021" spans="2:4">
      <c r="B1021" s="403"/>
      <c r="C1021" s="403"/>
      <c r="D1021" s="403"/>
    </row>
    <row r="1022" spans="2:4">
      <c r="B1022" s="403"/>
      <c r="C1022" s="403"/>
      <c r="D1022" s="403"/>
    </row>
    <row r="1023" spans="2:4">
      <c r="B1023" s="403"/>
      <c r="C1023" s="403"/>
      <c r="D1023" s="403"/>
    </row>
    <row r="1024" spans="2:4">
      <c r="B1024" s="403"/>
      <c r="C1024" s="403"/>
      <c r="D1024" s="403"/>
    </row>
    <row r="1025" spans="2:4">
      <c r="B1025" s="403"/>
      <c r="C1025" s="403"/>
      <c r="D1025" s="403"/>
    </row>
    <row r="1026" spans="2:4">
      <c r="B1026" s="403"/>
      <c r="C1026" s="403"/>
      <c r="D1026" s="403"/>
    </row>
  </sheetData>
  <mergeCells count="28">
    <mergeCell ref="H61:N61"/>
    <mergeCell ref="H54:N54"/>
    <mergeCell ref="AO114:AP114"/>
    <mergeCell ref="AA198:AB198"/>
    <mergeCell ref="AO106:AP106"/>
    <mergeCell ref="AO97:AP97"/>
    <mergeCell ref="AP70:AS70"/>
    <mergeCell ref="AO100:AP100"/>
    <mergeCell ref="AY21:AZ21"/>
    <mergeCell ref="AV28:AZ28"/>
    <mergeCell ref="AR39:AS39"/>
    <mergeCell ref="AY72:BA72"/>
    <mergeCell ref="BA21:BB21"/>
    <mergeCell ref="AP38:AS38"/>
    <mergeCell ref="AP39:AQ39"/>
    <mergeCell ref="AW21:AX21"/>
    <mergeCell ref="AQ21:AR21"/>
    <mergeCell ref="AS21:AT21"/>
    <mergeCell ref="AU21:AV21"/>
    <mergeCell ref="BC82:BE82"/>
    <mergeCell ref="BC87:BE87"/>
    <mergeCell ref="BK21:BL21"/>
    <mergeCell ref="BI21:BJ21"/>
    <mergeCell ref="BC72:BE72"/>
    <mergeCell ref="BC76:BE76"/>
    <mergeCell ref="BG21:BH21"/>
    <mergeCell ref="BE21:BF21"/>
    <mergeCell ref="BC21:BD21"/>
  </mergeCells>
  <phoneticPr fontId="30" type="noConversion"/>
  <conditionalFormatting sqref="D37:D43 V35:V45 D35 AE35:AE46">
    <cfRule type="cellIs" dxfId="119" priority="1" stopIfTrue="1" operator="greaterThanOrEqual">
      <formula>D$33</formula>
    </cfRule>
  </conditionalFormatting>
  <conditionalFormatting sqref="D13:D21 AB13:AB23 AB35:AB45">
    <cfRule type="cellIs" dxfId="118" priority="2" stopIfTrue="1" operator="greaterThanOrEqual">
      <formula>D$11</formula>
    </cfRule>
  </conditionalFormatting>
  <conditionalFormatting sqref="C154 AA13:AA23 AA35:AA45">
    <cfRule type="expression" dxfId="117" priority="3" stopIfTrue="1">
      <formula>D13&gt;=$AB$11</formula>
    </cfRule>
  </conditionalFormatting>
  <conditionalFormatting sqref="AJ6:AJ25">
    <cfRule type="cellIs" dxfId="116" priority="4" stopIfTrue="1" operator="notEqual">
      <formula>AG6</formula>
    </cfRule>
  </conditionalFormatting>
  <conditionalFormatting sqref="C23 C15:C21 C13">
    <cfRule type="expression" dxfId="115" priority="5" stopIfTrue="1">
      <formula>D13&gt;=D$11</formula>
    </cfRule>
  </conditionalFormatting>
  <conditionalFormatting sqref="C14 C22">
    <cfRule type="expression" dxfId="114" priority="6" stopIfTrue="1">
      <formula>D14=""</formula>
    </cfRule>
    <cfRule type="expression" dxfId="113" priority="7" stopIfTrue="1">
      <formula>D14&gt;=D$11</formula>
    </cfRule>
  </conditionalFormatting>
  <conditionalFormatting sqref="L44 I44 C44 C36">
    <cfRule type="expression" dxfId="112" priority="8" stopIfTrue="1">
      <formula>D36=""</formula>
    </cfRule>
    <cfRule type="expression" dxfId="111" priority="9" stopIfTrue="1">
      <formula>D36&gt;=D$33</formula>
    </cfRule>
  </conditionalFormatting>
  <conditionalFormatting sqref="M36 J36 D36 M44:M45 J44:J45 D44:D45">
    <cfRule type="cellIs" dxfId="110" priority="10" stopIfTrue="1" operator="equal">
      <formula>""</formula>
    </cfRule>
    <cfRule type="cellIs" dxfId="109" priority="11" stopIfTrue="1" operator="greaterThanOrEqual">
      <formula>D$33</formula>
    </cfRule>
  </conditionalFormatting>
  <conditionalFormatting sqref="U35:U45 C35 C45 C41:C43 C37:C39">
    <cfRule type="expression" dxfId="108" priority="12" stopIfTrue="1">
      <formula>D35&gt;=D$33</formula>
    </cfRule>
  </conditionalFormatting>
  <conditionalFormatting sqref="C153">
    <cfRule type="expression" dxfId="107" priority="13" stopIfTrue="1">
      <formula>D153&gt;=$P$11</formula>
    </cfRule>
  </conditionalFormatting>
  <conditionalFormatting sqref="D152:D154 D143 D146:D149">
    <cfRule type="cellIs" dxfId="106" priority="14" stopIfTrue="1" operator="greaterThanOrEqual">
      <formula>P$11</formula>
    </cfRule>
  </conditionalFormatting>
  <conditionalFormatting sqref="D144:D145 D150:D151">
    <cfRule type="cellIs" dxfId="105" priority="15" stopIfTrue="1" operator="equal">
      <formula>""</formula>
    </cfRule>
    <cfRule type="cellIs" dxfId="104" priority="16" stopIfTrue="1" operator="greaterThanOrEqual">
      <formula>P$11</formula>
    </cfRule>
  </conditionalFormatting>
  <conditionalFormatting sqref="C52 C67 C54 C56 C58 C60 C69">
    <cfRule type="cellIs" dxfId="103" priority="17" stopIfTrue="1" operator="greaterThanOrEqual">
      <formula>30</formula>
    </cfRule>
    <cfRule type="cellIs" dxfId="102" priority="18" stopIfTrue="1" operator="lessThan">
      <formula>J_</formula>
    </cfRule>
    <cfRule type="cellIs" dxfId="101" priority="19" stopIfTrue="1" operator="lessThan">
      <formula>C53</formula>
    </cfRule>
  </conditionalFormatting>
  <conditionalFormatting sqref="C53 C68 C55 C57 C59 C61 C70">
    <cfRule type="cellIs" dxfId="100" priority="20" stopIfTrue="1" operator="greaterThanOrEqual">
      <formula>30</formula>
    </cfRule>
    <cfRule type="cellIs" dxfId="99" priority="21" stopIfTrue="1" operator="lessThan">
      <formula>J_</formula>
    </cfRule>
    <cfRule type="cellIs" dxfId="98" priority="22" stopIfTrue="1" operator="greaterThan">
      <formula>C52</formula>
    </cfRule>
  </conditionalFormatting>
  <conditionalFormatting sqref="D52 D54 D56 D58 D60 D67 D69">
    <cfRule type="cellIs" dxfId="97" priority="23" stopIfTrue="1" operator="greaterThanOrEqual">
      <formula>30</formula>
    </cfRule>
    <cfRule type="cellIs" dxfId="96" priority="24" stopIfTrue="1" operator="lessThan">
      <formula>Je_</formula>
    </cfRule>
    <cfRule type="cellIs" dxfId="95" priority="25" stopIfTrue="1" operator="lessThan">
      <formula>D53</formula>
    </cfRule>
  </conditionalFormatting>
  <conditionalFormatting sqref="D53 D55 D57 D59 D61 D68 D70">
    <cfRule type="cellIs" dxfId="94" priority="26" stopIfTrue="1" operator="greaterThanOrEqual">
      <formula>30</formula>
    </cfRule>
    <cfRule type="cellIs" dxfId="93" priority="27" stopIfTrue="1" operator="lessThan">
      <formula>Je_</formula>
    </cfRule>
    <cfRule type="cellIs" dxfId="92" priority="28" stopIfTrue="1" operator="greaterThan">
      <formula>D52</formula>
    </cfRule>
  </conditionalFormatting>
  <conditionalFormatting sqref="C40">
    <cfRule type="expression" dxfId="91" priority="29" stopIfTrue="1">
      <formula>D40&gt;=D$33</formula>
    </cfRule>
    <cfRule type="expression" dxfId="90" priority="30" stopIfTrue="1">
      <formula>$S$1="Rev"</formula>
    </cfRule>
  </conditionalFormatting>
  <conditionalFormatting sqref="AD35:AD46">
    <cfRule type="expression" dxfId="89" priority="31" stopIfTrue="1">
      <formula>AE35&gt;=$AE$33</formula>
    </cfRule>
  </conditionalFormatting>
  <conditionalFormatting sqref="C143 C146:C149 C152">
    <cfRule type="expression" dxfId="88" priority="32" stopIfTrue="1">
      <formula>D143&gt;=P$11</formula>
    </cfRule>
    <cfRule type="expression" dxfId="87" priority="33" stopIfTrue="1">
      <formula>$S$1="Rev"</formula>
    </cfRule>
  </conditionalFormatting>
  <conditionalFormatting sqref="C144:C145 C150:C151">
    <cfRule type="expression" dxfId="86" priority="34" stopIfTrue="1">
      <formula>D144=""</formula>
    </cfRule>
    <cfRule type="expression" dxfId="85" priority="35" stopIfTrue="1">
      <formula>D144&gt;=P$11</formula>
    </cfRule>
    <cfRule type="expression" dxfId="84" priority="36" stopIfTrue="1">
      <formula>$S$1="Rev"</formula>
    </cfRule>
  </conditionalFormatting>
  <conditionalFormatting sqref="AD13:AD24">
    <cfRule type="expression" dxfId="83" priority="37" stopIfTrue="1">
      <formula>AE13&gt;="No Test"</formula>
    </cfRule>
    <cfRule type="expression" dxfId="82" priority="38" stopIfTrue="1">
      <formula>AE13&gt;=$AE$11</formula>
    </cfRule>
  </conditionalFormatting>
  <conditionalFormatting sqref="I45 I35:I43">
    <cfRule type="expression" dxfId="81" priority="39" stopIfTrue="1">
      <formula>J35&gt;=J$33</formula>
    </cfRule>
    <cfRule type="expression" dxfId="80" priority="40" stopIfTrue="1">
      <formula>$AP$59="Inactive"</formula>
    </cfRule>
  </conditionalFormatting>
  <conditionalFormatting sqref="J35 J37:J43">
    <cfRule type="cellIs" dxfId="79" priority="41" stopIfTrue="1" operator="greaterThanOrEqual">
      <formula>J$33</formula>
    </cfRule>
    <cfRule type="expression" dxfId="78" priority="42" stopIfTrue="1">
      <formula>$AP$59="Inactive"</formula>
    </cfRule>
  </conditionalFormatting>
  <conditionalFormatting sqref="L45 L35:L43">
    <cfRule type="expression" dxfId="77" priority="43" stopIfTrue="1">
      <formula>M35&gt;=M$33</formula>
    </cfRule>
    <cfRule type="expression" dxfId="76" priority="44" stopIfTrue="1">
      <formula>$AP$62="Inactive"</formula>
    </cfRule>
  </conditionalFormatting>
  <conditionalFormatting sqref="M35 M37:M43">
    <cfRule type="cellIs" dxfId="75" priority="45" stopIfTrue="1" operator="greaterThanOrEqual">
      <formula>M$33</formula>
    </cfRule>
    <cfRule type="expression" dxfId="74" priority="46" stopIfTrue="1">
      <formula>$AP$62="Inactive"</formula>
    </cfRule>
  </conditionalFormatting>
  <conditionalFormatting sqref="F35:F45">
    <cfRule type="expression" dxfId="73" priority="47" stopIfTrue="1">
      <formula>G35&gt;=G$33</formula>
    </cfRule>
    <cfRule type="expression" dxfId="72" priority="48" stopIfTrue="1">
      <formula>$AP$57="Off"</formula>
    </cfRule>
  </conditionalFormatting>
  <conditionalFormatting sqref="G35:G45">
    <cfRule type="cellIs" dxfId="71" priority="49" stopIfTrue="1" operator="greaterThanOrEqual">
      <formula>G$33</formula>
    </cfRule>
    <cfRule type="expression" dxfId="70" priority="50" stopIfTrue="1">
      <formula>$AP$57="Off"</formula>
    </cfRule>
  </conditionalFormatting>
  <conditionalFormatting sqref="O35:O46">
    <cfRule type="expression" dxfId="69" priority="51" stopIfTrue="1">
      <formula>P35&gt;=P$33</formula>
    </cfRule>
    <cfRule type="expression" dxfId="68" priority="52" stopIfTrue="1">
      <formula>$AP$63="Off"</formula>
    </cfRule>
  </conditionalFormatting>
  <conditionalFormatting sqref="P35:P46">
    <cfRule type="cellIs" dxfId="67" priority="53" stopIfTrue="1" operator="equal">
      <formula>""</formula>
    </cfRule>
    <cfRule type="cellIs" dxfId="66" priority="54" stopIfTrue="1" operator="greaterThanOrEqual">
      <formula>P$33</formula>
    </cfRule>
    <cfRule type="expression" dxfId="65" priority="55" stopIfTrue="1">
      <formula>$AP$63="Off"</formula>
    </cfRule>
  </conditionalFormatting>
  <conditionalFormatting sqref="R35:R46 X35:X45">
    <cfRule type="expression" dxfId="64" priority="56" stopIfTrue="1">
      <formula>S35&gt;=S$33</formula>
    </cfRule>
    <cfRule type="expression" dxfId="63" priority="57" stopIfTrue="1">
      <formula>$AP$64="Off"</formula>
    </cfRule>
  </conditionalFormatting>
  <conditionalFormatting sqref="S35:S46 Y35:Y45">
    <cfRule type="cellIs" dxfId="62" priority="58" stopIfTrue="1" operator="equal">
      <formula>""</formula>
    </cfRule>
    <cfRule type="expression" dxfId="61" priority="59" stopIfTrue="1">
      <formula>$AP$64="Off"</formula>
    </cfRule>
    <cfRule type="cellIs" dxfId="60" priority="60" stopIfTrue="1" operator="greaterThanOrEqual">
      <formula>S$33</formula>
    </cfRule>
  </conditionalFormatting>
  <conditionalFormatting sqref="R24 L18 L20:L23 L13:L15 X24">
    <cfRule type="expression" dxfId="59" priority="61" stopIfTrue="1">
      <formula>M13&gt;=M$11</formula>
    </cfRule>
    <cfRule type="expression" dxfId="58" priority="62" stopIfTrue="1">
      <formula>$AP$62="Inactive"</formula>
    </cfRule>
  </conditionalFormatting>
  <conditionalFormatting sqref="I13:I15 I18 I20:I23">
    <cfRule type="expression" dxfId="57" priority="63" stopIfTrue="1">
      <formula>J13&gt;=J$11</formula>
    </cfRule>
    <cfRule type="expression" dxfId="56" priority="64" stopIfTrue="1">
      <formula>$AP$59="Inactive"</formula>
    </cfRule>
  </conditionalFormatting>
  <conditionalFormatting sqref="J13:J23 D22:D23">
    <cfRule type="cellIs" dxfId="55" priority="65" stopIfTrue="1" operator="greaterThanOrEqual">
      <formula>D$11</formula>
    </cfRule>
    <cfRule type="expression" dxfId="54" priority="66" stopIfTrue="1">
      <formula>$AP$59="Inactive"</formula>
    </cfRule>
  </conditionalFormatting>
  <conditionalFormatting sqref="M13:M23">
    <cfRule type="cellIs" dxfId="53" priority="67" stopIfTrue="1" operator="greaterThanOrEqual">
      <formula>M$11</formula>
    </cfRule>
    <cfRule type="expression" dxfId="52" priority="68" stopIfTrue="1">
      <formula>$AP$62="Inactive"</formula>
    </cfRule>
  </conditionalFormatting>
  <conditionalFormatting sqref="F13:F23">
    <cfRule type="expression" dxfId="51" priority="69" stopIfTrue="1">
      <formula>G13&gt;=G$11</formula>
    </cfRule>
    <cfRule type="expression" dxfId="50" priority="70" stopIfTrue="1">
      <formula>$AP$57="Off"</formula>
    </cfRule>
  </conditionalFormatting>
  <conditionalFormatting sqref="G13:G23">
    <cfRule type="cellIs" dxfId="49" priority="71" stopIfTrue="1" operator="greaterThanOrEqual">
      <formula>G$11</formula>
    </cfRule>
    <cfRule type="expression" dxfId="48" priority="72" stopIfTrue="1">
      <formula>$AP$57="Off"</formula>
    </cfRule>
  </conditionalFormatting>
  <conditionalFormatting sqref="X13:X15 X18:X23 R13:R23 L16:L17 L19 I19">
    <cfRule type="expression" dxfId="47" priority="73" stopIfTrue="1">
      <formula>J13&gt;=J$11</formula>
    </cfRule>
    <cfRule type="expression" dxfId="46" priority="74" stopIfTrue="1">
      <formula>$AP$64="Off"</formula>
    </cfRule>
  </conditionalFormatting>
  <conditionalFormatting sqref="Y13:Y23 S14:S23">
    <cfRule type="cellIs" dxfId="45" priority="75" stopIfTrue="1" operator="greaterThanOrEqual">
      <formula>S$11</formula>
    </cfRule>
    <cfRule type="expression" dxfId="44" priority="76" stopIfTrue="1">
      <formula>$AP$64="Off"</formula>
    </cfRule>
  </conditionalFormatting>
  <conditionalFormatting sqref="X16:X17 I16:I17 O13:O24">
    <cfRule type="expression" dxfId="43" priority="77" stopIfTrue="1">
      <formula>J13&gt;=J$11</formula>
    </cfRule>
    <cfRule type="expression" dxfId="42" priority="78" stopIfTrue="1">
      <formula>$AP$63="Off"</formula>
    </cfRule>
  </conditionalFormatting>
  <conditionalFormatting sqref="S24 P13:P24 Y24">
    <cfRule type="cellIs" dxfId="41" priority="79" stopIfTrue="1" operator="greaterThanOrEqual">
      <formula>P$11</formula>
    </cfRule>
    <cfRule type="expression" dxfId="40" priority="80" stopIfTrue="1">
      <formula>$AP$63="Off"</formula>
    </cfRule>
  </conditionalFormatting>
  <conditionalFormatting sqref="S13">
    <cfRule type="cellIs" dxfId="39" priority="81" stopIfTrue="1" operator="greaterThanOrEqual">
      <formula>S$11</formula>
    </cfRule>
    <cfRule type="expression" dxfId="38" priority="82" stopIfTrue="1">
      <formula>$AP$64="Off"</formula>
    </cfRule>
    <cfRule type="expression" dxfId="37" priority="83" stopIfTrue="1">
      <formula>$R$13=$R$14</formula>
    </cfRule>
  </conditionalFormatting>
  <conditionalFormatting sqref="B236">
    <cfRule type="expression" dxfId="36" priority="84" stopIfTrue="1">
      <formula>$AD$19&lt;7</formula>
    </cfRule>
  </conditionalFormatting>
  <conditionalFormatting sqref="AF9 R5:S11 R27:S33 Y27:Y33 V27:V33 AE8">
    <cfRule type="expression" dxfId="35" priority="85" stopIfTrue="1">
      <formula>$AP$64="Off"</formula>
    </cfRule>
  </conditionalFormatting>
  <conditionalFormatting sqref="C71">
    <cfRule type="cellIs" dxfId="34" priority="86" stopIfTrue="1" operator="lessThan">
      <formula>J_</formula>
    </cfRule>
  </conditionalFormatting>
  <conditionalFormatting sqref="H53:N53">
    <cfRule type="expression" dxfId="33" priority="87" stopIfTrue="1">
      <formula>$H$53&lt;&gt;""</formula>
    </cfRule>
  </conditionalFormatting>
  <conditionalFormatting sqref="B64:E64">
    <cfRule type="expression" dxfId="32" priority="88" stopIfTrue="1">
      <formula>$AO$70&gt;4</formula>
    </cfRule>
  </conditionalFormatting>
  <conditionalFormatting sqref="C62">
    <cfRule type="cellIs" dxfId="31" priority="89" stopIfTrue="1" operator="greaterThanOrEqual">
      <formula>30</formula>
    </cfRule>
    <cfRule type="cellIs" dxfId="30" priority="90" stopIfTrue="1" operator="lessThan">
      <formula>J_</formula>
    </cfRule>
  </conditionalFormatting>
  <conditionalFormatting sqref="B61 B55">
    <cfRule type="cellIs" dxfId="29" priority="91" stopIfTrue="1" operator="equal">
      <formula>"Not Testable"</formula>
    </cfRule>
  </conditionalFormatting>
  <conditionalFormatting sqref="B60">
    <cfRule type="expression" dxfId="28" priority="92" stopIfTrue="1">
      <formula>$B$61="Not Testable"</formula>
    </cfRule>
  </conditionalFormatting>
  <conditionalFormatting sqref="B54">
    <cfRule type="expression" dxfId="27" priority="93" stopIfTrue="1">
      <formula>$B$55="Not Testable"</formula>
    </cfRule>
  </conditionalFormatting>
  <conditionalFormatting sqref="B56">
    <cfRule type="expression" dxfId="26" priority="94" stopIfTrue="1">
      <formula>$AP$60="No"</formula>
    </cfRule>
    <cfRule type="expression" dxfId="25" priority="95" stopIfTrue="1">
      <formula>$B$57="Not Testable"</formula>
    </cfRule>
  </conditionalFormatting>
  <conditionalFormatting sqref="B57">
    <cfRule type="expression" dxfId="24" priority="96" stopIfTrue="1">
      <formula>$AP$60="No"</formula>
    </cfRule>
    <cfRule type="cellIs" dxfId="23" priority="97" stopIfTrue="1" operator="equal">
      <formula>"Not Testable"</formula>
    </cfRule>
  </conditionalFormatting>
  <conditionalFormatting sqref="B58">
    <cfRule type="expression" dxfId="22" priority="98" stopIfTrue="1">
      <formula>$AP$62&lt;&gt;"Forward"</formula>
    </cfRule>
    <cfRule type="expression" dxfId="21" priority="99" stopIfTrue="1">
      <formula>$B$59="Not Testable"</formula>
    </cfRule>
  </conditionalFormatting>
  <conditionalFormatting sqref="B59">
    <cfRule type="expression" dxfId="20" priority="100" stopIfTrue="1">
      <formula>$AP$62&lt;&gt;"Forward"</formula>
    </cfRule>
    <cfRule type="cellIs" dxfId="19" priority="101" stopIfTrue="1" operator="equal">
      <formula>"Not Testable"</formula>
    </cfRule>
  </conditionalFormatting>
  <conditionalFormatting sqref="B67">
    <cfRule type="expression" dxfId="18" priority="102" stopIfTrue="1">
      <formula>$AP$63="Inactive"</formula>
    </cfRule>
    <cfRule type="expression" dxfId="17" priority="103" stopIfTrue="1">
      <formula>$B$68="Not Testable"</formula>
    </cfRule>
  </conditionalFormatting>
  <conditionalFormatting sqref="B68">
    <cfRule type="expression" dxfId="16" priority="104" stopIfTrue="1">
      <formula>$AP$63="Inactive"</formula>
    </cfRule>
    <cfRule type="cellIs" dxfId="15" priority="105" stopIfTrue="1" operator="equal">
      <formula>"Not Testable"</formula>
    </cfRule>
  </conditionalFormatting>
  <conditionalFormatting sqref="B70">
    <cfRule type="expression" dxfId="14" priority="106" stopIfTrue="1">
      <formula>$AP$64="Inactive"</formula>
    </cfRule>
    <cfRule type="cellIs" dxfId="13" priority="107" stopIfTrue="1" operator="equal">
      <formula>"Not Testable"</formula>
    </cfRule>
  </conditionalFormatting>
  <conditionalFormatting sqref="B69">
    <cfRule type="expression" dxfId="12" priority="108" stopIfTrue="1">
      <formula>$AP$64="Inactive"</formula>
    </cfRule>
    <cfRule type="expression" dxfId="11" priority="109" stopIfTrue="1">
      <formula>$B$70="Not Testable"</formula>
    </cfRule>
  </conditionalFormatting>
  <conditionalFormatting sqref="D62">
    <cfRule type="cellIs" dxfId="10" priority="110" stopIfTrue="1" operator="greaterThanOrEqual">
      <formula>30</formula>
    </cfRule>
    <cfRule type="cellIs" dxfId="9" priority="111" stopIfTrue="1" operator="lessThan">
      <formula>Je_</formula>
    </cfRule>
  </conditionalFormatting>
  <conditionalFormatting sqref="D71">
    <cfRule type="cellIs" dxfId="8" priority="112" stopIfTrue="1" operator="lessThan">
      <formula>Je_</formula>
    </cfRule>
  </conditionalFormatting>
  <conditionalFormatting sqref="U5:V11">
    <cfRule type="expression" dxfId="7" priority="113" stopIfTrue="1">
      <formula>$AP$65="Off"</formula>
    </cfRule>
  </conditionalFormatting>
  <conditionalFormatting sqref="U13:V23">
    <cfRule type="expression" dxfId="6" priority="114" stopIfTrue="1">
      <formula>$AP$65="Off"</formula>
    </cfRule>
  </conditionalFormatting>
  <conditionalFormatting sqref="F5:G11 F27:G33">
    <cfRule type="expression" dxfId="5" priority="115" stopIfTrue="1">
      <formula>$AP$57="Off"</formula>
    </cfRule>
  </conditionalFormatting>
  <conditionalFormatting sqref="O27:O32 P27:P33">
    <cfRule type="expression" dxfId="4" priority="116" stopIfTrue="1">
      <formula>$AP$63="Off"</formula>
    </cfRule>
  </conditionalFormatting>
  <conditionalFormatting sqref="O5:P11">
    <cfRule type="expression" dxfId="3" priority="117" stopIfTrue="1">
      <formula>$AP$63="Off"</formula>
    </cfRule>
  </conditionalFormatting>
  <conditionalFormatting sqref="AF35:AF46 AF13:AF24">
    <cfRule type="cellIs" dxfId="2" priority="118" stopIfTrue="1" operator="lessThan">
      <formula>$AV$29</formula>
    </cfRule>
  </conditionalFormatting>
  <conditionalFormatting sqref="AE13:AE24">
    <cfRule type="cellIs" dxfId="1" priority="119" stopIfTrue="1" operator="equal">
      <formula>"No Test"</formula>
    </cfRule>
    <cfRule type="cellIs" dxfId="0" priority="120" stopIfTrue="1" operator="greaterThanOrEqual">
      <formula>$AE$11</formula>
    </cfRule>
  </conditionalFormatting>
  <pageMargins left="0.75" right="0.75" top="1" bottom="1" header="0.5" footer="0.5"/>
  <pageSetup paperSize="9" orientation="portrait" horizontalDpi="360" r:id="rId1"/>
  <headerFooter alignWithMargins="0"/>
  <drawing r:id="rId2"/>
  <legacyDrawing r:id="rId3"/>
  <controls>
    <mc:AlternateContent xmlns:mc="http://schemas.openxmlformats.org/markup-compatibility/2006">
      <mc:Choice Requires="x14">
        <control shapeId="185345" r:id="rId4" name="SpinButton1">
          <controlPr locked="0" defaultSize="0" print="0" autoLine="0" linkedCell="AP71" r:id="rId5">
            <anchor moveWithCells="1">
              <from>
                <xdr:col>1</xdr:col>
                <xdr:colOff>638175</xdr:colOff>
                <xdr:row>62</xdr:row>
                <xdr:rowOff>0</xdr:rowOff>
              </from>
              <to>
                <xdr:col>2</xdr:col>
                <xdr:colOff>66675</xdr:colOff>
                <xdr:row>63</xdr:row>
                <xdr:rowOff>9525</xdr:rowOff>
              </to>
            </anchor>
          </controlPr>
        </control>
      </mc:Choice>
      <mc:Fallback>
        <control shapeId="185345" r:id="rId4" name="SpinButton1"/>
      </mc:Fallback>
    </mc:AlternateContent>
    <mc:AlternateContent xmlns:mc="http://schemas.openxmlformats.org/markup-compatibility/2006">
      <mc:Choice Requires="x14">
        <control shapeId="185346" r:id="rId6" name="SpinButton2">
          <controlPr locked="0" defaultSize="0" print="0" autoLine="0" linkedCell="AQ71" r:id="rId7">
            <anchor moveWithCells="1">
              <from>
                <xdr:col>4</xdr:col>
                <xdr:colOff>9525</xdr:colOff>
                <xdr:row>62</xdr:row>
                <xdr:rowOff>9525</xdr:rowOff>
              </from>
              <to>
                <xdr:col>4</xdr:col>
                <xdr:colOff>171450</xdr:colOff>
                <xdr:row>63</xdr:row>
                <xdr:rowOff>9525</xdr:rowOff>
              </to>
            </anchor>
          </controlPr>
        </control>
      </mc:Choice>
      <mc:Fallback>
        <control shapeId="185346" r:id="rId6" name="SpinButton2"/>
      </mc:Fallback>
    </mc:AlternateContent>
    <mc:AlternateContent xmlns:mc="http://schemas.openxmlformats.org/markup-compatibility/2006">
      <mc:Choice Requires="x14">
        <control shapeId="185347" r:id="rId8" name="ComboBox1">
          <controlPr locked="0" defaultSize="0" print="0" autoLine="0" linkedCell="AR26" listFillRange="AP26:AP27" r:id="rId9">
            <anchor moveWithCells="1">
              <from>
                <xdr:col>1</xdr:col>
                <xdr:colOff>0</xdr:colOff>
                <xdr:row>48</xdr:row>
                <xdr:rowOff>0</xdr:rowOff>
              </from>
              <to>
                <xdr:col>2</xdr:col>
                <xdr:colOff>333375</xdr:colOff>
                <xdr:row>49</xdr:row>
                <xdr:rowOff>19050</xdr:rowOff>
              </to>
            </anchor>
          </controlPr>
        </control>
      </mc:Choice>
      <mc:Fallback>
        <control shapeId="185347" r:id="rId8" name="ComboBox1"/>
      </mc:Fallback>
    </mc:AlternateContent>
    <mc:AlternateContent xmlns:mc="http://schemas.openxmlformats.org/markup-compatibility/2006">
      <mc:Choice Requires="x14">
        <control shapeId="185362" r:id="rId10" name="CommandButton15">
          <controlPr defaultSize="0" autoLine="0" r:id="rId11">
            <anchor moveWithCells="1">
              <from>
                <xdr:col>2</xdr:col>
                <xdr:colOff>19050</xdr:colOff>
                <xdr:row>50</xdr:row>
                <xdr:rowOff>0</xdr:rowOff>
              </from>
              <to>
                <xdr:col>3</xdr:col>
                <xdr:colOff>9525</xdr:colOff>
                <xdr:row>51</xdr:row>
                <xdr:rowOff>19050</xdr:rowOff>
              </to>
            </anchor>
          </controlPr>
        </control>
      </mc:Choice>
      <mc:Fallback>
        <control shapeId="185362" r:id="rId10" name="CommandButton15"/>
      </mc:Fallback>
    </mc:AlternateContent>
    <mc:AlternateContent xmlns:mc="http://schemas.openxmlformats.org/markup-compatibility/2006">
      <mc:Choice Requires="x14">
        <control shapeId="185363" r:id="rId12" name="CommandButton16">
          <controlPr defaultSize="0" autoLine="0" r:id="rId13">
            <anchor moveWithCells="1">
              <from>
                <xdr:col>3</xdr:col>
                <xdr:colOff>19050</xdr:colOff>
                <xdr:row>50</xdr:row>
                <xdr:rowOff>0</xdr:rowOff>
              </from>
              <to>
                <xdr:col>4</xdr:col>
                <xdr:colOff>9525</xdr:colOff>
                <xdr:row>51</xdr:row>
                <xdr:rowOff>19050</xdr:rowOff>
              </to>
            </anchor>
          </controlPr>
        </control>
      </mc:Choice>
      <mc:Fallback>
        <control shapeId="185363" r:id="rId12" name="CommandButton16"/>
      </mc:Fallback>
    </mc:AlternateContent>
    <mc:AlternateContent xmlns:mc="http://schemas.openxmlformats.org/markup-compatibility/2006">
      <mc:Choice Requires="x14">
        <control shapeId="185364" r:id="rId14" name="CommandButton17">
          <controlPr defaultSize="0" autoLine="0" r:id="rId15">
            <anchor moveWithCells="1">
              <from>
                <xdr:col>2</xdr:col>
                <xdr:colOff>0</xdr:colOff>
                <xdr:row>65</xdr:row>
                <xdr:rowOff>0</xdr:rowOff>
              </from>
              <to>
                <xdr:col>2</xdr:col>
                <xdr:colOff>438150</xdr:colOff>
                <xdr:row>66</xdr:row>
                <xdr:rowOff>9525</xdr:rowOff>
              </to>
            </anchor>
          </controlPr>
        </control>
      </mc:Choice>
      <mc:Fallback>
        <control shapeId="185364" r:id="rId14" name="CommandButton17"/>
      </mc:Fallback>
    </mc:AlternateContent>
    <mc:AlternateContent xmlns:mc="http://schemas.openxmlformats.org/markup-compatibility/2006">
      <mc:Choice Requires="x14">
        <control shapeId="185365" r:id="rId16" name="CommandButton18">
          <controlPr defaultSize="0" autoLine="0" r:id="rId13">
            <anchor moveWithCells="1">
              <from>
                <xdr:col>3</xdr:col>
                <xdr:colOff>0</xdr:colOff>
                <xdr:row>64</xdr:row>
                <xdr:rowOff>161925</xdr:rowOff>
              </from>
              <to>
                <xdr:col>3</xdr:col>
                <xdr:colOff>438150</xdr:colOff>
                <xdr:row>66</xdr:row>
                <xdr:rowOff>0</xdr:rowOff>
              </to>
            </anchor>
          </controlPr>
        </control>
      </mc:Choice>
      <mc:Fallback>
        <control shapeId="185365" r:id="rId16" name="CommandButton18"/>
      </mc:Fallback>
    </mc:AlternateContent>
    <mc:AlternateContent xmlns:mc="http://schemas.openxmlformats.org/markup-compatibility/2006">
      <mc:Choice Requires="x14">
        <control shapeId="185392" r:id="rId17" name="CommandButton45">
          <controlPr defaultSize="0" autoLine="0" autoPict="0" r:id="rId18">
            <anchor moveWithCells="1">
              <from>
                <xdr:col>17</xdr:col>
                <xdr:colOff>9525</xdr:colOff>
                <xdr:row>48</xdr:row>
                <xdr:rowOff>114300</xdr:rowOff>
              </from>
              <to>
                <xdr:col>20</xdr:col>
                <xdr:colOff>28575</xdr:colOff>
                <xdr:row>50</xdr:row>
                <xdr:rowOff>57150</xdr:rowOff>
              </to>
            </anchor>
          </controlPr>
        </control>
      </mc:Choice>
      <mc:Fallback>
        <control shapeId="185392" r:id="rId17" name="CommandButton45"/>
      </mc:Fallback>
    </mc:AlternateContent>
    <mc:AlternateContent xmlns:mc="http://schemas.openxmlformats.org/markup-compatibility/2006">
      <mc:Choice Requires="x14">
        <control shapeId="185393" r:id="rId19" name="CommandButton46">
          <controlPr defaultSize="0" autoLine="0" r:id="rId20">
            <anchor moveWithCells="1">
              <from>
                <xdr:col>7</xdr:col>
                <xdr:colOff>85725</xdr:colOff>
                <xdr:row>71</xdr:row>
                <xdr:rowOff>0</xdr:rowOff>
              </from>
              <to>
                <xdr:col>9</xdr:col>
                <xdr:colOff>266700</xdr:colOff>
                <xdr:row>72</xdr:row>
                <xdr:rowOff>76200</xdr:rowOff>
              </to>
            </anchor>
          </controlPr>
        </control>
      </mc:Choice>
      <mc:Fallback>
        <control shapeId="185393" r:id="rId19" name="CommandButton46"/>
      </mc:Fallback>
    </mc:AlternateContent>
    <mc:AlternateContent xmlns:mc="http://schemas.openxmlformats.org/markup-compatibility/2006">
      <mc:Choice Requires="x14">
        <control shapeId="185394" r:id="rId21" name="CommandButton47">
          <controlPr defaultSize="0" autoLine="0" r:id="rId22">
            <anchor moveWithCells="1">
              <from>
                <xdr:col>9</xdr:col>
                <xdr:colOff>352425</xdr:colOff>
                <xdr:row>70</xdr:row>
                <xdr:rowOff>152400</xdr:rowOff>
              </from>
              <to>
                <xdr:col>13</xdr:col>
                <xdr:colOff>19050</xdr:colOff>
                <xdr:row>72</xdr:row>
                <xdr:rowOff>47625</xdr:rowOff>
              </to>
            </anchor>
          </controlPr>
        </control>
      </mc:Choice>
      <mc:Fallback>
        <control shapeId="185394" r:id="rId21" name="CommandButton47"/>
      </mc:Fallback>
    </mc:AlternateContent>
    <mc:AlternateContent xmlns:mc="http://schemas.openxmlformats.org/markup-compatibility/2006">
      <mc:Choice Requires="x14">
        <control shapeId="185395" r:id="rId23" name="CommandButton48">
          <controlPr defaultSize="0" print="0" autoFill="0" autoLine="0" r:id="rId24">
            <anchor moveWithCells="1">
              <from>
                <xdr:col>14</xdr:col>
                <xdr:colOff>200025</xdr:colOff>
                <xdr:row>46</xdr:row>
                <xdr:rowOff>85725</xdr:rowOff>
              </from>
              <to>
                <xdr:col>15</xdr:col>
                <xdr:colOff>428625</xdr:colOff>
                <xdr:row>48</xdr:row>
                <xdr:rowOff>161925</xdr:rowOff>
              </to>
            </anchor>
          </controlPr>
        </control>
      </mc:Choice>
      <mc:Fallback>
        <control shapeId="185395" r:id="rId23" name="CommandButton48"/>
      </mc:Fallback>
    </mc:AlternateContent>
    <mc:AlternateContent xmlns:mc="http://schemas.openxmlformats.org/markup-compatibility/2006">
      <mc:Choice Requires="x14">
        <control shapeId="185396" r:id="rId25" name="SpinButton3">
          <controlPr locked="0" defaultSize="0" print="0" autoLine="0" linkedCell="AD10" r:id="rId26">
            <anchor moveWithCells="1">
              <from>
                <xdr:col>29</xdr:col>
                <xdr:colOff>123825</xdr:colOff>
                <xdr:row>9</xdr:row>
                <xdr:rowOff>0</xdr:rowOff>
              </from>
              <to>
                <xdr:col>30</xdr:col>
                <xdr:colOff>9525</xdr:colOff>
                <xdr:row>10</xdr:row>
                <xdr:rowOff>38100</xdr:rowOff>
              </to>
            </anchor>
          </controlPr>
        </control>
      </mc:Choice>
      <mc:Fallback>
        <control shapeId="185396" r:id="rId25" name="SpinButton3"/>
      </mc:Fallback>
    </mc:AlternateContent>
    <mc:AlternateContent xmlns:mc="http://schemas.openxmlformats.org/markup-compatibility/2006">
      <mc:Choice Requires="x14">
        <control shapeId="185397" r:id="rId27" name="SpinButton4">
          <controlPr locked="0" defaultSize="0" print="0" autoLine="0" linkedCell="AD32" r:id="rId28">
            <anchor moveWithCells="1">
              <from>
                <xdr:col>29</xdr:col>
                <xdr:colOff>104775</xdr:colOff>
                <xdr:row>31</xdr:row>
                <xdr:rowOff>0</xdr:rowOff>
              </from>
              <to>
                <xdr:col>30</xdr:col>
                <xdr:colOff>19050</xdr:colOff>
                <xdr:row>32</xdr:row>
                <xdr:rowOff>47625</xdr:rowOff>
              </to>
            </anchor>
          </controlPr>
        </control>
      </mc:Choice>
      <mc:Fallback>
        <control shapeId="185397" r:id="rId27" name="SpinButton4"/>
      </mc:Fallback>
    </mc:AlternateContent>
    <mc:AlternateContent xmlns:mc="http://schemas.openxmlformats.org/markup-compatibility/2006">
      <mc:Choice Requires="x14">
        <control shapeId="185505" r:id="rId29" name="SpinButton5">
          <controlPr locked="0" defaultSize="0" print="0" autoLine="0" linkedCell="AR71" r:id="rId5">
            <anchor moveWithCells="1">
              <from>
                <xdr:col>1</xdr:col>
                <xdr:colOff>609600</xdr:colOff>
                <xdr:row>71</xdr:row>
                <xdr:rowOff>0</xdr:rowOff>
              </from>
              <to>
                <xdr:col>2</xdr:col>
                <xdr:colOff>38100</xdr:colOff>
                <xdr:row>72</xdr:row>
                <xdr:rowOff>9525</xdr:rowOff>
              </to>
            </anchor>
          </controlPr>
        </control>
      </mc:Choice>
      <mc:Fallback>
        <control shapeId="185505" r:id="rId29" name="SpinButton5"/>
      </mc:Fallback>
    </mc:AlternateContent>
    <mc:AlternateContent xmlns:mc="http://schemas.openxmlformats.org/markup-compatibility/2006">
      <mc:Choice Requires="x14">
        <control shapeId="185506" r:id="rId30" name="SpinButton6">
          <controlPr locked="0" defaultSize="0" print="0" autoLine="0" linkedCell="AS71" r:id="rId5">
            <anchor moveWithCells="1">
              <from>
                <xdr:col>3</xdr:col>
                <xdr:colOff>419100</xdr:colOff>
                <xdr:row>70</xdr:row>
                <xdr:rowOff>161925</xdr:rowOff>
              </from>
              <to>
                <xdr:col>4</xdr:col>
                <xdr:colOff>161925</xdr:colOff>
                <xdr:row>71</xdr:row>
                <xdr:rowOff>161925</xdr:rowOff>
              </to>
            </anchor>
          </controlPr>
        </control>
      </mc:Choice>
      <mc:Fallback>
        <control shapeId="185506" r:id="rId30" name="SpinButton6"/>
      </mc:Fallback>
    </mc:AlternateContent>
    <mc:AlternateContent xmlns:mc="http://schemas.openxmlformats.org/markup-compatibility/2006">
      <mc:Choice Requires="x14">
        <control shapeId="185685" r:id="rId31" name="OptionButton4">
          <controlPr locked="0" defaultSize="0" autoLine="0" linkedCell="AT3" r:id="rId32">
            <anchor moveWithCells="1">
              <from>
                <xdr:col>8</xdr:col>
                <xdr:colOff>152400</xdr:colOff>
                <xdr:row>53</xdr:row>
                <xdr:rowOff>142875</xdr:rowOff>
              </from>
              <to>
                <xdr:col>9</xdr:col>
                <xdr:colOff>142875</xdr:colOff>
                <xdr:row>54</xdr:row>
                <xdr:rowOff>161925</xdr:rowOff>
              </to>
            </anchor>
          </controlPr>
        </control>
      </mc:Choice>
      <mc:Fallback>
        <control shapeId="185685" r:id="rId31" name="OptionButton4"/>
      </mc:Fallback>
    </mc:AlternateContent>
    <mc:AlternateContent xmlns:mc="http://schemas.openxmlformats.org/markup-compatibility/2006">
      <mc:Choice Requires="x14">
        <control shapeId="185686" r:id="rId33" name="OptionButton5">
          <controlPr locked="0" defaultSize="0" autoLine="0" linkedCell="AT4" r:id="rId34">
            <anchor moveWithCells="1">
              <from>
                <xdr:col>9</xdr:col>
                <xdr:colOff>381000</xdr:colOff>
                <xdr:row>53</xdr:row>
                <xdr:rowOff>142875</xdr:rowOff>
              </from>
              <to>
                <xdr:col>11</xdr:col>
                <xdr:colOff>219075</xdr:colOff>
                <xdr:row>54</xdr:row>
                <xdr:rowOff>161925</xdr:rowOff>
              </to>
            </anchor>
          </controlPr>
        </control>
      </mc:Choice>
      <mc:Fallback>
        <control shapeId="185686" r:id="rId33" name="OptionButton5"/>
      </mc:Fallback>
    </mc:AlternateContent>
    <mc:AlternateContent xmlns:mc="http://schemas.openxmlformats.org/markup-compatibility/2006">
      <mc:Choice Requires="x14">
        <control shapeId="185687" r:id="rId35" name="OptionButton6">
          <controlPr locked="0" defaultSize="0" autoLine="0" linkedCell="AT5" r:id="rId36">
            <anchor moveWithCells="1">
              <from>
                <xdr:col>12</xdr:col>
                <xdr:colOff>9525</xdr:colOff>
                <xdr:row>53</xdr:row>
                <xdr:rowOff>142875</xdr:rowOff>
              </from>
              <to>
                <xdr:col>13</xdr:col>
                <xdr:colOff>0</xdr:colOff>
                <xdr:row>54</xdr:row>
                <xdr:rowOff>161925</xdr:rowOff>
              </to>
            </anchor>
          </controlPr>
        </control>
      </mc:Choice>
      <mc:Fallback>
        <control shapeId="185687" r:id="rId35" name="OptionButton6"/>
      </mc:Fallback>
    </mc:AlternateContent>
    <mc:AlternateContent xmlns:mc="http://schemas.openxmlformats.org/markup-compatibility/2006">
      <mc:Choice Requires="x14">
        <control shapeId="185688" r:id="rId37" name="CommandButton3">
          <controlPr defaultSize="0" autoLine="0" r:id="rId38">
            <anchor moveWithCells="1">
              <from>
                <xdr:col>8</xdr:col>
                <xdr:colOff>9525</xdr:colOff>
                <xdr:row>54</xdr:row>
                <xdr:rowOff>142875</xdr:rowOff>
              </from>
              <to>
                <xdr:col>10</xdr:col>
                <xdr:colOff>19050</xdr:colOff>
                <xdr:row>56</xdr:row>
                <xdr:rowOff>38100</xdr:rowOff>
              </to>
            </anchor>
          </controlPr>
        </control>
      </mc:Choice>
      <mc:Fallback>
        <control shapeId="185688" r:id="rId37" name="CommandButton3"/>
      </mc:Fallback>
    </mc:AlternateContent>
    <mc:AlternateContent xmlns:mc="http://schemas.openxmlformats.org/markup-compatibility/2006">
      <mc:Choice Requires="x14">
        <control shapeId="185689" r:id="rId39" name="CommandButton4">
          <controlPr defaultSize="0" autoLine="0" r:id="rId40">
            <anchor moveWithCells="1">
              <from>
                <xdr:col>11</xdr:col>
                <xdr:colOff>0</xdr:colOff>
                <xdr:row>54</xdr:row>
                <xdr:rowOff>142875</xdr:rowOff>
              </from>
              <to>
                <xdr:col>13</xdr:col>
                <xdr:colOff>9525</xdr:colOff>
                <xdr:row>56</xdr:row>
                <xdr:rowOff>38100</xdr:rowOff>
              </to>
            </anchor>
          </controlPr>
        </control>
      </mc:Choice>
      <mc:Fallback>
        <control shapeId="185689" r:id="rId39" name="CommandButton4"/>
      </mc:Fallback>
    </mc:AlternateContent>
    <mc:AlternateContent xmlns:mc="http://schemas.openxmlformats.org/markup-compatibility/2006">
      <mc:Choice Requires="x14">
        <control shapeId="185696" r:id="rId41" name="OptionButton7">
          <controlPr locked="0" defaultSize="0" autoLine="0" linkedCell="AX97" r:id="rId42">
            <anchor moveWithCells="1">
              <from>
                <xdr:col>8</xdr:col>
                <xdr:colOff>123825</xdr:colOff>
                <xdr:row>60</xdr:row>
                <xdr:rowOff>133350</xdr:rowOff>
              </from>
              <to>
                <xdr:col>9</xdr:col>
                <xdr:colOff>114300</xdr:colOff>
                <xdr:row>61</xdr:row>
                <xdr:rowOff>133350</xdr:rowOff>
              </to>
            </anchor>
          </controlPr>
        </control>
      </mc:Choice>
      <mc:Fallback>
        <control shapeId="185696" r:id="rId41" name="OptionButton7"/>
      </mc:Fallback>
    </mc:AlternateContent>
    <mc:AlternateContent xmlns:mc="http://schemas.openxmlformats.org/markup-compatibility/2006">
      <mc:Choice Requires="x14">
        <control shapeId="185697" r:id="rId43" name="OptionButton8">
          <controlPr locked="0" defaultSize="0" autoLine="0" linkedCell="AX98" r:id="rId44">
            <anchor moveWithCells="1">
              <from>
                <xdr:col>9</xdr:col>
                <xdr:colOff>361950</xdr:colOff>
                <xdr:row>60</xdr:row>
                <xdr:rowOff>133350</xdr:rowOff>
              </from>
              <to>
                <xdr:col>11</xdr:col>
                <xdr:colOff>200025</xdr:colOff>
                <xdr:row>61</xdr:row>
                <xdr:rowOff>133350</xdr:rowOff>
              </to>
            </anchor>
          </controlPr>
        </control>
      </mc:Choice>
      <mc:Fallback>
        <control shapeId="185697" r:id="rId43" name="OptionButton8"/>
      </mc:Fallback>
    </mc:AlternateContent>
    <mc:AlternateContent xmlns:mc="http://schemas.openxmlformats.org/markup-compatibility/2006">
      <mc:Choice Requires="x14">
        <control shapeId="185698" r:id="rId45" name="OptionButton9">
          <controlPr locked="0" defaultSize="0" autoLine="0" linkedCell="AX99" r:id="rId46">
            <anchor moveWithCells="1">
              <from>
                <xdr:col>12</xdr:col>
                <xdr:colOff>0</xdr:colOff>
                <xdr:row>60</xdr:row>
                <xdr:rowOff>133350</xdr:rowOff>
              </from>
              <to>
                <xdr:col>12</xdr:col>
                <xdr:colOff>438150</xdr:colOff>
                <xdr:row>61</xdr:row>
                <xdr:rowOff>133350</xdr:rowOff>
              </to>
            </anchor>
          </controlPr>
        </control>
      </mc:Choice>
      <mc:Fallback>
        <control shapeId="185698" r:id="rId45" name="OptionButton9"/>
      </mc:Fallback>
    </mc:AlternateContent>
    <mc:AlternateContent xmlns:mc="http://schemas.openxmlformats.org/markup-compatibility/2006">
      <mc:Choice Requires="x14">
        <control shapeId="185699" r:id="rId47" name="CommandButton5">
          <controlPr locked="0" defaultSize="0" autoLine="0" r:id="rId48">
            <anchor moveWithCells="1">
              <from>
                <xdr:col>8</xdr:col>
                <xdr:colOff>9525</xdr:colOff>
                <xdr:row>61</xdr:row>
                <xdr:rowOff>133350</xdr:rowOff>
              </from>
              <to>
                <xdr:col>10</xdr:col>
                <xdr:colOff>19050</xdr:colOff>
                <xdr:row>63</xdr:row>
                <xdr:rowOff>28575</xdr:rowOff>
              </to>
            </anchor>
          </controlPr>
        </control>
      </mc:Choice>
      <mc:Fallback>
        <control shapeId="185699" r:id="rId47" name="CommandButton5"/>
      </mc:Fallback>
    </mc:AlternateContent>
    <mc:AlternateContent xmlns:mc="http://schemas.openxmlformats.org/markup-compatibility/2006">
      <mc:Choice Requires="x14">
        <control shapeId="185700" r:id="rId49" name="CommandButton6">
          <controlPr locked="0" defaultSize="0" autoLine="0" r:id="rId50">
            <anchor moveWithCells="1">
              <from>
                <xdr:col>11</xdr:col>
                <xdr:colOff>0</xdr:colOff>
                <xdr:row>61</xdr:row>
                <xdr:rowOff>133350</xdr:rowOff>
              </from>
              <to>
                <xdr:col>13</xdr:col>
                <xdr:colOff>9525</xdr:colOff>
                <xdr:row>63</xdr:row>
                <xdr:rowOff>28575</xdr:rowOff>
              </to>
            </anchor>
          </controlPr>
        </control>
      </mc:Choice>
      <mc:Fallback>
        <control shapeId="185700" r:id="rId49" name="CommandButton6"/>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332</vt:i4>
      </vt:variant>
    </vt:vector>
  </HeadingPairs>
  <TitlesOfParts>
    <vt:vector size="334" baseType="lpstr">
      <vt:lpstr>Settings</vt:lpstr>
      <vt:lpstr>Characteristic</vt:lpstr>
      <vt:lpstr>_Ang1</vt:lpstr>
      <vt:lpstr>_Ang2</vt:lpstr>
      <vt:lpstr>_Ang3</vt:lpstr>
      <vt:lpstr>_Ang6</vt:lpstr>
      <vt:lpstr>_Dir1</vt:lpstr>
      <vt:lpstr>_Dir2</vt:lpstr>
      <vt:lpstr>_Dir3</vt:lpstr>
      <vt:lpstr>_Dir4</vt:lpstr>
      <vt:lpstr>_Dir5</vt:lpstr>
      <vt:lpstr>_Dir6</vt:lpstr>
      <vt:lpstr>Ang1B</vt:lpstr>
      <vt:lpstr>AngQ2</vt:lpstr>
      <vt:lpstr>AngQ2E</vt:lpstr>
      <vt:lpstr>AngQ4</vt:lpstr>
      <vt:lpstr>AngQ4E</vt:lpstr>
      <vt:lpstr>BFLG</vt:lpstr>
      <vt:lpstr>BFLS</vt:lpstr>
      <vt:lpstr>BFRG</vt:lpstr>
      <vt:lpstr>BRLG</vt:lpstr>
      <vt:lpstr>BRLG_Ang</vt:lpstr>
      <vt:lpstr>BRLS</vt:lpstr>
      <vt:lpstr>BRLS_ang</vt:lpstr>
      <vt:lpstr>BRRG</vt:lpstr>
      <vt:lpstr>BRRS</vt:lpstr>
      <vt:lpstr>CBF_I</vt:lpstr>
      <vt:lpstr>CBF_T1</vt:lpstr>
      <vt:lpstr>CBF_T2</vt:lpstr>
      <vt:lpstr>CBF_T3</vt:lpstr>
      <vt:lpstr>DCEF_J</vt:lpstr>
      <vt:lpstr>DCEF_V</vt:lpstr>
      <vt:lpstr>DeadTime1</vt:lpstr>
      <vt:lpstr>DeadTime3</vt:lpstr>
      <vt:lpstr>DEF_Ang</vt:lpstr>
      <vt:lpstr>DEFRI</vt:lpstr>
      <vt:lpstr>DEFRV</vt:lpstr>
      <vt:lpstr>Delay_time</vt:lpstr>
      <vt:lpstr>Delta_I</vt:lpstr>
      <vt:lpstr>DeltaAng</vt:lpstr>
      <vt:lpstr>Dir1B</vt:lpstr>
      <vt:lpstr>DirDelta</vt:lpstr>
      <vt:lpstr>Echo_Del</vt:lpstr>
      <vt:lpstr>Em_EF</vt:lpstr>
      <vt:lpstr>Em_OC</vt:lpstr>
      <vt:lpstr>ER_1</vt:lpstr>
      <vt:lpstr>ER_1B</vt:lpstr>
      <vt:lpstr>ER_2</vt:lpstr>
      <vt:lpstr>ER_3</vt:lpstr>
      <vt:lpstr>ER_4</vt:lpstr>
      <vt:lpstr>ER_5</vt:lpstr>
      <vt:lpstr>ER_6</vt:lpstr>
      <vt:lpstr>EX_1</vt:lpstr>
      <vt:lpstr>EX_1B</vt:lpstr>
      <vt:lpstr>EX_2</vt:lpstr>
      <vt:lpstr>EX_3</vt:lpstr>
      <vt:lpstr>EX_4</vt:lpstr>
      <vt:lpstr>EX_5</vt:lpstr>
      <vt:lpstr>EX_6</vt:lpstr>
      <vt:lpstr>FD_611</vt:lpstr>
      <vt:lpstr>FDe_611</vt:lpstr>
      <vt:lpstr>Feeder</vt:lpstr>
      <vt:lpstr>ForwardAng</vt:lpstr>
      <vt:lpstr>FwdAng1</vt:lpstr>
      <vt:lpstr>Gen_Trafo</vt:lpstr>
      <vt:lpstr>I_Nom</vt:lpstr>
      <vt:lpstr>In</vt:lpstr>
      <vt:lpstr>Inv_EF_Setting</vt:lpstr>
      <vt:lpstr>J_</vt:lpstr>
      <vt:lpstr>J_LS</vt:lpstr>
      <vt:lpstr>Je_</vt:lpstr>
      <vt:lpstr>Je_LS</vt:lpstr>
      <vt:lpstr>Load_Comp</vt:lpstr>
      <vt:lpstr>Load_comp_Ang_E</vt:lpstr>
      <vt:lpstr>Load_Comp_Z1E</vt:lpstr>
      <vt:lpstr>LoadAng</vt:lpstr>
      <vt:lpstr>Max_TestVe</vt:lpstr>
      <vt:lpstr>Max_Z</vt:lpstr>
      <vt:lpstr>Max_Ze</vt:lpstr>
      <vt:lpstr>MVar</vt:lpstr>
      <vt:lpstr>MW</vt:lpstr>
      <vt:lpstr>OCH</vt:lpstr>
      <vt:lpstr>open_line</vt:lpstr>
      <vt:lpstr>OpTime</vt:lpstr>
      <vt:lpstr>Settings!Print_Area</vt:lpstr>
      <vt:lpstr>PSB_F_R</vt:lpstr>
      <vt:lpstr>PSB_F_X</vt:lpstr>
      <vt:lpstr>PSB_R_R</vt:lpstr>
      <vt:lpstr>PSB_R_X</vt:lpstr>
      <vt:lpstr>PSBe_F_R</vt:lpstr>
      <vt:lpstr>PSBe_F_X</vt:lpstr>
      <vt:lpstr>PSBe_R_R</vt:lpstr>
      <vt:lpstr>PSBe_R_X</vt:lpstr>
      <vt:lpstr>PSBGZ</vt:lpstr>
      <vt:lpstr>PSBSZ</vt:lpstr>
      <vt:lpstr>PTT_Rx_Z_Sel</vt:lpstr>
      <vt:lpstr>PTTMode</vt:lpstr>
      <vt:lpstr>R_1</vt:lpstr>
      <vt:lpstr>R_1B</vt:lpstr>
      <vt:lpstr>R_1BE</vt:lpstr>
      <vt:lpstr>R_1E</vt:lpstr>
      <vt:lpstr>R_2</vt:lpstr>
      <vt:lpstr>R_2E</vt:lpstr>
      <vt:lpstr>R_3</vt:lpstr>
      <vt:lpstr>R_3E</vt:lpstr>
      <vt:lpstr>R_4</vt:lpstr>
      <vt:lpstr>R_4E</vt:lpstr>
      <vt:lpstr>R_5</vt:lpstr>
      <vt:lpstr>R_5E</vt:lpstr>
      <vt:lpstr>R_6</vt:lpstr>
      <vt:lpstr>R_6E</vt:lpstr>
      <vt:lpstr>R_ND</vt:lpstr>
      <vt:lpstr>R_NDE</vt:lpstr>
      <vt:lpstr>RBB_Coupler</vt:lpstr>
      <vt:lpstr>RE_RL</vt:lpstr>
      <vt:lpstr>Rev_SOTF_OC_Only</vt:lpstr>
      <vt:lpstr>Rev_Vh_e</vt:lpstr>
      <vt:lpstr>Rev_Vh_e_Ang</vt:lpstr>
      <vt:lpstr>RevAng1</vt:lpstr>
      <vt:lpstr>ReverseAng</vt:lpstr>
      <vt:lpstr>Rnd_E_Fwd</vt:lpstr>
      <vt:lpstr>Rnd_E_Rev</vt:lpstr>
      <vt:lpstr>Rnd_Ph_Fwd</vt:lpstr>
      <vt:lpstr>Rnd_Ph_Rev</vt:lpstr>
      <vt:lpstr>SEF_I</vt:lpstr>
      <vt:lpstr>SEF_t</vt:lpstr>
      <vt:lpstr>SEF_V</vt:lpstr>
      <vt:lpstr>SEF_Vmax</vt:lpstr>
      <vt:lpstr>SEF_Vmin</vt:lpstr>
      <vt:lpstr>Slope</vt:lpstr>
      <vt:lpstr>SOTF_Fwd</vt:lpstr>
      <vt:lpstr>SOTF_Isc</vt:lpstr>
      <vt:lpstr>SOTF_OC_Only</vt:lpstr>
      <vt:lpstr>SOTF_Rev</vt:lpstr>
      <vt:lpstr>Starpoint</vt:lpstr>
      <vt:lpstr>Start_Z1_Slope</vt:lpstr>
      <vt:lpstr>Station</vt:lpstr>
      <vt:lpstr>T_1</vt:lpstr>
      <vt:lpstr>T_1B</vt:lpstr>
      <vt:lpstr>T_2</vt:lpstr>
      <vt:lpstr>T_3</vt:lpstr>
      <vt:lpstr>T_4</vt:lpstr>
      <vt:lpstr>T_5</vt:lpstr>
      <vt:lpstr>t_J_LS</vt:lpstr>
      <vt:lpstr>t_Je_LS</vt:lpstr>
      <vt:lpstr>t_ND</vt:lpstr>
      <vt:lpstr>TDEFF</vt:lpstr>
      <vt:lpstr>TDEFR</vt:lpstr>
      <vt:lpstr>TestV_SOTF_E</vt:lpstr>
      <vt:lpstr>TestVNDE</vt:lpstr>
      <vt:lpstr>TestVPTT</vt:lpstr>
      <vt:lpstr>TestVSOTF</vt:lpstr>
      <vt:lpstr>TestVZ1</vt:lpstr>
      <vt:lpstr>TestVZ1B</vt:lpstr>
      <vt:lpstr>TestVZ1BE</vt:lpstr>
      <vt:lpstr>TestVZ1E</vt:lpstr>
      <vt:lpstr>TestVZ2</vt:lpstr>
      <vt:lpstr>TestVZ2E</vt:lpstr>
      <vt:lpstr>TestVZ3</vt:lpstr>
      <vt:lpstr>TestVZ3E</vt:lpstr>
      <vt:lpstr>TestVZ4</vt:lpstr>
      <vt:lpstr>TestVZ4E</vt:lpstr>
      <vt:lpstr>TestVZ5</vt:lpstr>
      <vt:lpstr>TestVZ5E</vt:lpstr>
      <vt:lpstr>TestVZ6</vt:lpstr>
      <vt:lpstr>TestVZ6E</vt:lpstr>
      <vt:lpstr>TestVZND</vt:lpstr>
      <vt:lpstr>TimesTest_R_V</vt:lpstr>
      <vt:lpstr>TimesTest_R_V_E</vt:lpstr>
      <vt:lpstr>TimesTestV</vt:lpstr>
      <vt:lpstr>TimesTestV_E</vt:lpstr>
      <vt:lpstr>TimesTestV_PhF</vt:lpstr>
      <vt:lpstr>TimesTestVF</vt:lpstr>
      <vt:lpstr>TREBK</vt:lpstr>
      <vt:lpstr>Un</vt:lpstr>
      <vt:lpstr>UVCV</vt:lpstr>
      <vt:lpstr>UVCZ</vt:lpstr>
      <vt:lpstr>UVFG</vt:lpstr>
      <vt:lpstr>UVFS</vt:lpstr>
      <vt:lpstr>UVLG</vt:lpstr>
      <vt:lpstr>UVLS</vt:lpstr>
      <vt:lpstr>V_Scaler_E</vt:lpstr>
      <vt:lpstr>Ve_F</vt:lpstr>
      <vt:lpstr>Ve_R</vt:lpstr>
      <vt:lpstr>Vh</vt:lpstr>
      <vt:lpstr>Vh_e</vt:lpstr>
      <vt:lpstr>Vh_e_Ang</vt:lpstr>
      <vt:lpstr>WKIT</vt:lpstr>
      <vt:lpstr>X_1</vt:lpstr>
      <vt:lpstr>X_1B</vt:lpstr>
      <vt:lpstr>X_2</vt:lpstr>
      <vt:lpstr>X_3</vt:lpstr>
      <vt:lpstr>X_4</vt:lpstr>
      <vt:lpstr>X_5</vt:lpstr>
      <vt:lpstr>X_6</vt:lpstr>
      <vt:lpstr>X_ND</vt:lpstr>
      <vt:lpstr>X_NDE</vt:lpstr>
      <vt:lpstr>Xe_1</vt:lpstr>
      <vt:lpstr>Xe_2</vt:lpstr>
      <vt:lpstr>Xe_3</vt:lpstr>
      <vt:lpstr>Xe_4</vt:lpstr>
      <vt:lpstr>Xe_5</vt:lpstr>
      <vt:lpstr>Xe_6</vt:lpstr>
      <vt:lpstr>Xe_X</vt:lpstr>
      <vt:lpstr>XE_XL</vt:lpstr>
      <vt:lpstr>Z_Blinder</vt:lpstr>
      <vt:lpstr>Z1_Ang</vt:lpstr>
      <vt:lpstr>Z1_Ang2</vt:lpstr>
      <vt:lpstr>Z1_Ang3</vt:lpstr>
      <vt:lpstr>Z1_Blinder1</vt:lpstr>
      <vt:lpstr>Z1_Blinder2</vt:lpstr>
      <vt:lpstr>Z1_C</vt:lpstr>
      <vt:lpstr>Z1_C2</vt:lpstr>
      <vt:lpstr>Z1_C3</vt:lpstr>
      <vt:lpstr>Z1_Mag</vt:lpstr>
      <vt:lpstr>Z1_Mag2</vt:lpstr>
      <vt:lpstr>Z1_Mag3</vt:lpstr>
      <vt:lpstr>Z1B_Ang</vt:lpstr>
      <vt:lpstr>Z1B_Ang2</vt:lpstr>
      <vt:lpstr>Z1B_Ang3</vt:lpstr>
      <vt:lpstr>Z1B_Blinder1</vt:lpstr>
      <vt:lpstr>Z1B_Blinder2</vt:lpstr>
      <vt:lpstr>Z1B_C</vt:lpstr>
      <vt:lpstr>Z1B_C2</vt:lpstr>
      <vt:lpstr>Z1B_C3</vt:lpstr>
      <vt:lpstr>Z1B_Mag</vt:lpstr>
      <vt:lpstr>Z1B_Mag2</vt:lpstr>
      <vt:lpstr>Z1B_Mag3</vt:lpstr>
      <vt:lpstr>Z1BE_Ang</vt:lpstr>
      <vt:lpstr>Z1BE_Ang2</vt:lpstr>
      <vt:lpstr>Z1BE_C</vt:lpstr>
      <vt:lpstr>Z1BE_C2</vt:lpstr>
      <vt:lpstr>Z1BE_Mag</vt:lpstr>
      <vt:lpstr>Z1BE_Mag2</vt:lpstr>
      <vt:lpstr>Z1CNT</vt:lpstr>
      <vt:lpstr>Z1E_Ang</vt:lpstr>
      <vt:lpstr>Z1E_Ang2</vt:lpstr>
      <vt:lpstr>Z1E_C</vt:lpstr>
      <vt:lpstr>Z1E_C2</vt:lpstr>
      <vt:lpstr>Z1E_Mag</vt:lpstr>
      <vt:lpstr>Z1E_Mag2</vt:lpstr>
      <vt:lpstr>Z2_Ang</vt:lpstr>
      <vt:lpstr>Z2_Ang2</vt:lpstr>
      <vt:lpstr>Z2_Ang3</vt:lpstr>
      <vt:lpstr>Z2_Blinder1</vt:lpstr>
      <vt:lpstr>Z2_Blinder2</vt:lpstr>
      <vt:lpstr>Z2_C</vt:lpstr>
      <vt:lpstr>Z2_C2</vt:lpstr>
      <vt:lpstr>Z2_C3</vt:lpstr>
      <vt:lpstr>Z2_Mag</vt:lpstr>
      <vt:lpstr>Z2_Mag2</vt:lpstr>
      <vt:lpstr>Z2_Mag3</vt:lpstr>
      <vt:lpstr>Z2E_Ang</vt:lpstr>
      <vt:lpstr>Z2E_Ang2</vt:lpstr>
      <vt:lpstr>Z2E_C</vt:lpstr>
      <vt:lpstr>Z2E_C2</vt:lpstr>
      <vt:lpstr>Z2E_Mag</vt:lpstr>
      <vt:lpstr>Z2E_Mag2</vt:lpstr>
      <vt:lpstr>Z3_Ang</vt:lpstr>
      <vt:lpstr>Z3_Ang2</vt:lpstr>
      <vt:lpstr>Z3_Ang3</vt:lpstr>
      <vt:lpstr>Z3_Blinder1</vt:lpstr>
      <vt:lpstr>Z3_Blinder2</vt:lpstr>
      <vt:lpstr>Z3_C</vt:lpstr>
      <vt:lpstr>Z3_C2</vt:lpstr>
      <vt:lpstr>Z3_C3</vt:lpstr>
      <vt:lpstr>Z3_Mag</vt:lpstr>
      <vt:lpstr>Z3_Mag2</vt:lpstr>
      <vt:lpstr>Z3_Mag3</vt:lpstr>
      <vt:lpstr>Z3E_Ang</vt:lpstr>
      <vt:lpstr>Z3E_Ang2</vt:lpstr>
      <vt:lpstr>Z3E_C</vt:lpstr>
      <vt:lpstr>Z3E_C2</vt:lpstr>
      <vt:lpstr>Z3E_Mag</vt:lpstr>
      <vt:lpstr>Z3E_Mag2</vt:lpstr>
      <vt:lpstr>Z4_Ang</vt:lpstr>
      <vt:lpstr>Z4_Ang2</vt:lpstr>
      <vt:lpstr>Z4_Ang3</vt:lpstr>
      <vt:lpstr>Z4_Blinder1</vt:lpstr>
      <vt:lpstr>Z4_Blinder2</vt:lpstr>
      <vt:lpstr>Z4_C</vt:lpstr>
      <vt:lpstr>Z4_C2</vt:lpstr>
      <vt:lpstr>Z4_C3</vt:lpstr>
      <vt:lpstr>Z4_Mag</vt:lpstr>
      <vt:lpstr>Z4_Mag2</vt:lpstr>
      <vt:lpstr>Z4_Mag3</vt:lpstr>
      <vt:lpstr>Z4E_Ang</vt:lpstr>
      <vt:lpstr>Z4E_Ang2</vt:lpstr>
      <vt:lpstr>Z4E_C</vt:lpstr>
      <vt:lpstr>Z4E_C2</vt:lpstr>
      <vt:lpstr>Z4E_Mag</vt:lpstr>
      <vt:lpstr>Z4E_Mag2</vt:lpstr>
      <vt:lpstr>Z5_Ang</vt:lpstr>
      <vt:lpstr>Z5_Ang2</vt:lpstr>
      <vt:lpstr>Z5_Ang3</vt:lpstr>
      <vt:lpstr>Z5_Blinder1</vt:lpstr>
      <vt:lpstr>Z5_Blinder2</vt:lpstr>
      <vt:lpstr>Z5_C</vt:lpstr>
      <vt:lpstr>Z5_C2</vt:lpstr>
      <vt:lpstr>Z5_C3</vt:lpstr>
      <vt:lpstr>Z5_Mag</vt:lpstr>
      <vt:lpstr>Z5_mag2</vt:lpstr>
      <vt:lpstr>Z5_Mag3</vt:lpstr>
      <vt:lpstr>Z5E_Ang</vt:lpstr>
      <vt:lpstr>Z5E_Ang2</vt:lpstr>
      <vt:lpstr>Z5E_C</vt:lpstr>
      <vt:lpstr>Z5E_C2</vt:lpstr>
      <vt:lpstr>Z5E_Mag</vt:lpstr>
      <vt:lpstr>Z5E_Mag2</vt:lpstr>
      <vt:lpstr>Z6_Ang</vt:lpstr>
      <vt:lpstr>Z6_Ang2</vt:lpstr>
      <vt:lpstr>Z6_Blinder1</vt:lpstr>
      <vt:lpstr>Z6_Blinder2</vt:lpstr>
      <vt:lpstr>Z6_C</vt:lpstr>
      <vt:lpstr>Z6_C2</vt:lpstr>
      <vt:lpstr>Z6_Mag</vt:lpstr>
      <vt:lpstr>Z6_Mag2</vt:lpstr>
      <vt:lpstr>Z6_Mag3</vt:lpstr>
      <vt:lpstr>Z6E_Ang</vt:lpstr>
      <vt:lpstr>Z6E_Ang2</vt:lpstr>
      <vt:lpstr>Z6E_C</vt:lpstr>
      <vt:lpstr>Z6E_C2</vt:lpstr>
      <vt:lpstr>Z6E_Mag</vt:lpstr>
      <vt:lpstr>Z6E_Mag2</vt:lpstr>
      <vt:lpstr>ZBG</vt:lpstr>
      <vt:lpstr>ZBS</vt:lpstr>
      <vt:lpstr>ZND_Ang</vt:lpstr>
      <vt:lpstr>ZND_Ang2</vt:lpstr>
      <vt:lpstr>ZND_Blinder1</vt:lpstr>
      <vt:lpstr>ZND_C</vt:lpstr>
      <vt:lpstr>ZND_C2</vt:lpstr>
      <vt:lpstr>ZND_Mag</vt:lpstr>
      <vt:lpstr>ZND_Mag2</vt:lpstr>
      <vt:lpstr>ZND_Mag3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RAM</dc:creator>
  <cp:lastModifiedBy>NARESH RAM</cp:lastModifiedBy>
  <cp:lastPrinted>2011-09-07T16:53:47Z</cp:lastPrinted>
  <dcterms:created xsi:type="dcterms:W3CDTF">1997-09-13T20:19:26Z</dcterms:created>
  <dcterms:modified xsi:type="dcterms:W3CDTF">2025-05-15T13:09:53Z</dcterms:modified>
</cp:coreProperties>
</file>