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3" documentId="11_FF00E10E9D4DCA4ED772D659C3CEC71E6792E1DA" xr6:coauthVersionLast="47" xr6:coauthVersionMax="47" xr10:uidLastSave="{5506F119-DC5D-4ECA-9F7A-A2D8D90823A1}"/>
  <bookViews>
    <workbookView xWindow="-108" yWindow="-108" windowWidth="24792" windowHeight="13320" tabRatio="816" xr2:uid="{00000000-000D-0000-FFFF-FFFF00000000}"/>
  </bookViews>
  <sheets>
    <sheet name="Harvesting sites Dik" sheetId="2" r:id="rId1"/>
    <sheet name="Harvesting sites Dij" sheetId="8" r:id="rId2"/>
    <sheet name="Collecting sites Dkl" sheetId="4" r:id="rId3"/>
    <sheet name="Mobile refinery sites Djw" sheetId="3" r:id="rId4"/>
    <sheet name="Fixed refinery sites Dlw" sheetId="5" r:id="rId5"/>
    <sheet name="Warehouse" sheetId="7" r:id="rId6"/>
    <sheet name="Cities Daj_Dal_Daw" sheetId="6" r:id="rId7"/>
  </sheets>
  <definedNames>
    <definedName name="Active_Mobile_Refineries">#REF!</definedName>
    <definedName name="CapacityEmployee1">#REF!</definedName>
    <definedName name="ce">#REF!</definedName>
    <definedName name="Clatsop">#REF!</definedName>
    <definedName name="Columbia">#REF!</definedName>
    <definedName name="CostOfForestResidue">#REF!</definedName>
    <definedName name="Cv">#REF!</definedName>
    <definedName name="Daj">'Cities Daj_Dal_Daw'!$G$3:$M$6</definedName>
    <definedName name="Dal">'Cities Daj_Dal_Daw'!$G$10:$J$13</definedName>
    <definedName name="Daw">'Cities Daj_Dal_Daw'!#REF!</definedName>
    <definedName name="Dij">'Harvesting sites Dij'!$E$4:$K$46</definedName>
    <definedName name="Dik">'Harvesting sites Dik'!$E$4:$M$46</definedName>
    <definedName name="Djl">'Mobile refinery sites Djw'!#REF!</definedName>
    <definedName name="Djw">'Mobile refinery sites Djw'!$F$4:$I$10</definedName>
    <definedName name="Dkl">'Collecting sites Dkl'!$F$4:$I$12</definedName>
    <definedName name="Dlw">'Fixed refinery sites Dlw'!$F$4:$I$7</definedName>
    <definedName name="EmployeeCapacityOfArea">#REF!</definedName>
    <definedName name="EmployeeCost">#REF!</definedName>
    <definedName name="FacilityLocationCost">#REF!</definedName>
    <definedName name="FacilityLocationWarehouseCost">#REF!</definedName>
    <definedName name="GHGB">#REF!</definedName>
    <definedName name="GHGe">#REF!</definedName>
    <definedName name="GHGm">#REF!</definedName>
    <definedName name="GHGr">#REF!</definedName>
    <definedName name="HourseCapacityEmployee1">#REF!</definedName>
    <definedName name="j_1">'Harvesting sites Dij'!#REF!</definedName>
    <definedName name="NumberOfLaborHoursRequired">#REF!</definedName>
    <definedName name="operatingCosts">#REF!</definedName>
    <definedName name="operatingCostsInflation2017">#REF!</definedName>
    <definedName name="PercentageYield">#REF!</definedName>
    <definedName name="ProcessRate">#REF!</definedName>
    <definedName name="ProductionCapacity">#REF!</definedName>
    <definedName name="salary">#REF!</definedName>
    <definedName name="StorageCapacity">#REF!</definedName>
    <definedName name="StorageCapacityStorageCapacity">#REF!</definedName>
    <definedName name="Tillamook">#REF!</definedName>
    <definedName name="TransportationCostOfTruck">#REF!</definedName>
    <definedName name="TransportationCostOfTrucktrip">#REF!</definedName>
    <definedName name="Truck_CO2">#REF!</definedName>
    <definedName name="Truck_CO2_kgPerTonHour">#REF!</definedName>
    <definedName name="VarCostPerTon">#REF!</definedName>
    <definedName name="VarCostPerTonInflation">#REF!</definedName>
    <definedName name="VehicleCapacity">#REF!</definedName>
    <definedName name="WarehouseStorageCapacity">#REF!</definedName>
    <definedName name="Washingt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6" l="1"/>
  <c r="Y13" i="6"/>
  <c r="J13" i="6"/>
  <c r="AA13" i="6" s="1"/>
  <c r="I13" i="6"/>
  <c r="H13" i="6"/>
  <c r="G13" i="6"/>
  <c r="X13" i="6" s="1"/>
  <c r="F13" i="6"/>
  <c r="AA12" i="6"/>
  <c r="Z12" i="6"/>
  <c r="J12" i="6"/>
  <c r="I12" i="6"/>
  <c r="H12" i="6"/>
  <c r="Y12" i="6" s="1"/>
  <c r="G12" i="6"/>
  <c r="X12" i="6" s="1"/>
  <c r="F12" i="6"/>
  <c r="AA11" i="6"/>
  <c r="Z11" i="6"/>
  <c r="J11" i="6"/>
  <c r="I11" i="6"/>
  <c r="H11" i="6"/>
  <c r="Y11" i="6" s="1"/>
  <c r="G11" i="6"/>
  <c r="X11" i="6" s="1"/>
  <c r="F11" i="6"/>
  <c r="J10" i="6"/>
  <c r="AA10" i="6" s="1"/>
  <c r="I10" i="6"/>
  <c r="Z10" i="6" s="1"/>
  <c r="H10" i="6"/>
  <c r="Y10" i="6" s="1"/>
  <c r="G10" i="6"/>
  <c r="X10" i="6" s="1"/>
  <c r="F10" i="6"/>
  <c r="AA6" i="6"/>
  <c r="M6" i="6"/>
  <c r="AD6" i="6" s="1"/>
  <c r="L6" i="6"/>
  <c r="AC6" i="6" s="1"/>
  <c r="K6" i="6"/>
  <c r="AB6" i="6" s="1"/>
  <c r="I6" i="6"/>
  <c r="Z6" i="6" s="1"/>
  <c r="H6" i="6"/>
  <c r="Y6" i="6" s="1"/>
  <c r="G6" i="6"/>
  <c r="X6" i="6" s="1"/>
  <c r="F6" i="6"/>
  <c r="AC5" i="6"/>
  <c r="AA5" i="6"/>
  <c r="X5" i="6"/>
  <c r="M5" i="6"/>
  <c r="AD5" i="6" s="1"/>
  <c r="L5" i="6"/>
  <c r="K5" i="6"/>
  <c r="AB5" i="6" s="1"/>
  <c r="J5" i="6"/>
  <c r="I5" i="6"/>
  <c r="Z5" i="6" s="1"/>
  <c r="H5" i="6"/>
  <c r="Y5" i="6" s="1"/>
  <c r="F5" i="6"/>
  <c r="AC4" i="6"/>
  <c r="AA4" i="6"/>
  <c r="M4" i="6"/>
  <c r="AD4" i="6" s="1"/>
  <c r="K4" i="6"/>
  <c r="AB4" i="6" s="1"/>
  <c r="J4" i="6"/>
  <c r="I4" i="6"/>
  <c r="Z4" i="6" s="1"/>
  <c r="H4" i="6"/>
  <c r="Y4" i="6" s="1"/>
  <c r="G4" i="6"/>
  <c r="X4" i="6" s="1"/>
  <c r="F4" i="6"/>
  <c r="AB3" i="6"/>
  <c r="Z3" i="6"/>
  <c r="Y3" i="6"/>
  <c r="M3" i="6"/>
  <c r="AD3" i="6" s="1"/>
  <c r="L3" i="6"/>
  <c r="AC3" i="6" s="1"/>
  <c r="K3" i="6"/>
  <c r="J3" i="6"/>
  <c r="AA3" i="6" s="1"/>
  <c r="H3" i="6"/>
  <c r="G3" i="6"/>
  <c r="X3" i="6" s="1"/>
  <c r="F3" i="6"/>
  <c r="N7" i="5"/>
  <c r="M7" i="5"/>
  <c r="L7" i="5"/>
  <c r="G7" i="5" s="1"/>
  <c r="K7" i="5"/>
  <c r="I7" i="5"/>
  <c r="H7" i="5"/>
  <c r="F7" i="5"/>
  <c r="N6" i="5"/>
  <c r="M6" i="5"/>
  <c r="L6" i="5"/>
  <c r="G6" i="5" s="1"/>
  <c r="K6" i="5"/>
  <c r="I6" i="5"/>
  <c r="H6" i="5"/>
  <c r="F6" i="5"/>
  <c r="N5" i="5"/>
  <c r="M5" i="5"/>
  <c r="L5" i="5"/>
  <c r="G5" i="5" s="1"/>
  <c r="K5" i="5"/>
  <c r="I5" i="5"/>
  <c r="H5" i="5"/>
  <c r="F5" i="5"/>
  <c r="N4" i="5"/>
  <c r="L4" i="5"/>
  <c r="I4" i="5"/>
  <c r="H4" i="5"/>
  <c r="G4" i="5"/>
  <c r="F4" i="5"/>
  <c r="M10" i="3"/>
  <c r="H10" i="3" s="1"/>
  <c r="W10" i="3" s="1"/>
  <c r="L10" i="3"/>
  <c r="G10" i="3" s="1"/>
  <c r="V10" i="3" s="1"/>
  <c r="I10" i="3"/>
  <c r="X10" i="3" s="1"/>
  <c r="F10" i="3"/>
  <c r="U10" i="3" s="1"/>
  <c r="I9" i="3"/>
  <c r="X9" i="3" s="1"/>
  <c r="H9" i="3"/>
  <c r="W9" i="3" s="1"/>
  <c r="G9" i="3"/>
  <c r="V9" i="3" s="1"/>
  <c r="F9" i="3"/>
  <c r="U9" i="3" s="1"/>
  <c r="V8" i="3"/>
  <c r="U8" i="3"/>
  <c r="L8" i="3"/>
  <c r="G8" i="3" s="1"/>
  <c r="K8" i="3"/>
  <c r="F8" i="3" s="1"/>
  <c r="I8" i="3"/>
  <c r="X8" i="3" s="1"/>
  <c r="H8" i="3"/>
  <c r="W8" i="3" s="1"/>
  <c r="W7" i="3"/>
  <c r="N7" i="3"/>
  <c r="I7" i="3" s="1"/>
  <c r="X7" i="3" s="1"/>
  <c r="M7" i="3"/>
  <c r="H7" i="3" s="1"/>
  <c r="G7" i="3"/>
  <c r="V7" i="3" s="1"/>
  <c r="F7" i="3"/>
  <c r="U7" i="3" s="1"/>
  <c r="X6" i="3"/>
  <c r="W6" i="3"/>
  <c r="V6" i="3"/>
  <c r="I6" i="3"/>
  <c r="H6" i="3"/>
  <c r="G6" i="3"/>
  <c r="F6" i="3"/>
  <c r="U6" i="3" s="1"/>
  <c r="X5" i="3"/>
  <c r="N5" i="3"/>
  <c r="M5" i="3"/>
  <c r="L5" i="3"/>
  <c r="K5" i="3"/>
  <c r="I5" i="3"/>
  <c r="H5" i="3"/>
  <c r="W5" i="3" s="1"/>
  <c r="G5" i="3"/>
  <c r="V5" i="3" s="1"/>
  <c r="F5" i="3"/>
  <c r="U5" i="3" s="1"/>
  <c r="U4" i="3"/>
  <c r="N4" i="3"/>
  <c r="M4" i="3"/>
  <c r="H4" i="3" s="1"/>
  <c r="W4" i="3" s="1"/>
  <c r="L4" i="3"/>
  <c r="G4" i="3" s="1"/>
  <c r="V4" i="3" s="1"/>
  <c r="I4" i="3"/>
  <c r="X4" i="3" s="1"/>
  <c r="F4" i="3"/>
  <c r="N12" i="4"/>
  <c r="M12" i="4"/>
  <c r="L12" i="4"/>
  <c r="K12" i="4"/>
  <c r="F12" i="4" s="1"/>
  <c r="V12" i="4" s="1"/>
  <c r="I12" i="4"/>
  <c r="Y12" i="4" s="1"/>
  <c r="H12" i="4"/>
  <c r="X12" i="4" s="1"/>
  <c r="G12" i="4"/>
  <c r="W12" i="4" s="1"/>
  <c r="N11" i="4"/>
  <c r="I11" i="4" s="1"/>
  <c r="Y11" i="4" s="1"/>
  <c r="M11" i="4"/>
  <c r="H11" i="4" s="1"/>
  <c r="X11" i="4" s="1"/>
  <c r="L11" i="4"/>
  <c r="G11" i="4" s="1"/>
  <c r="W11" i="4" s="1"/>
  <c r="F11" i="4"/>
  <c r="V11" i="4" s="1"/>
  <c r="N10" i="4"/>
  <c r="I10" i="4" s="1"/>
  <c r="Y10" i="4" s="1"/>
  <c r="M10" i="4"/>
  <c r="L10" i="4"/>
  <c r="K10" i="4"/>
  <c r="F10" i="4" s="1"/>
  <c r="V10" i="4" s="1"/>
  <c r="H10" i="4"/>
  <c r="X10" i="4" s="1"/>
  <c r="G10" i="4"/>
  <c r="W10" i="4" s="1"/>
  <c r="Y9" i="4"/>
  <c r="N9" i="4"/>
  <c r="M9" i="4"/>
  <c r="H9" i="4" s="1"/>
  <c r="X9" i="4" s="1"/>
  <c r="L9" i="4"/>
  <c r="G9" i="4" s="1"/>
  <c r="W9" i="4" s="1"/>
  <c r="K9" i="4"/>
  <c r="F9" i="4" s="1"/>
  <c r="V9" i="4" s="1"/>
  <c r="I9" i="4"/>
  <c r="N8" i="4"/>
  <c r="M8" i="4"/>
  <c r="L8" i="4"/>
  <c r="K8" i="4"/>
  <c r="I8" i="4"/>
  <c r="Y8" i="4" s="1"/>
  <c r="H8" i="4"/>
  <c r="X8" i="4" s="1"/>
  <c r="G8" i="4"/>
  <c r="W8" i="4" s="1"/>
  <c r="F8" i="4"/>
  <c r="V8" i="4" s="1"/>
  <c r="N7" i="4"/>
  <c r="I7" i="4" s="1"/>
  <c r="Y7" i="4" s="1"/>
  <c r="M7" i="4"/>
  <c r="H7" i="4" s="1"/>
  <c r="X7" i="4" s="1"/>
  <c r="L7" i="4"/>
  <c r="G7" i="4" s="1"/>
  <c r="W7" i="4" s="1"/>
  <c r="K7" i="4"/>
  <c r="F7" i="4"/>
  <c r="V7" i="4" s="1"/>
  <c r="N6" i="4"/>
  <c r="I6" i="4" s="1"/>
  <c r="Y6" i="4" s="1"/>
  <c r="M6" i="4"/>
  <c r="L6" i="4"/>
  <c r="K6" i="4"/>
  <c r="F6" i="4" s="1"/>
  <c r="V6" i="4" s="1"/>
  <c r="H6" i="4"/>
  <c r="X6" i="4" s="1"/>
  <c r="G6" i="4"/>
  <c r="W6" i="4" s="1"/>
  <c r="Y5" i="4"/>
  <c r="N5" i="4"/>
  <c r="M5" i="4"/>
  <c r="H5" i="4" s="1"/>
  <c r="X5" i="4" s="1"/>
  <c r="L5" i="4"/>
  <c r="G5" i="4" s="1"/>
  <c r="W5" i="4" s="1"/>
  <c r="K5" i="4"/>
  <c r="F5" i="4" s="1"/>
  <c r="V5" i="4" s="1"/>
  <c r="I5" i="4"/>
  <c r="N4" i="4"/>
  <c r="M4" i="4"/>
  <c r="L4" i="4"/>
  <c r="K4" i="4"/>
  <c r="I4" i="4"/>
  <c r="Y4" i="4" s="1"/>
  <c r="H4" i="4"/>
  <c r="X4" i="4" s="1"/>
  <c r="G4" i="4"/>
  <c r="W4" i="4" s="1"/>
  <c r="F4" i="4"/>
  <c r="V4" i="4" s="1"/>
  <c r="V48" i="8"/>
  <c r="AG46" i="8"/>
  <c r="AF46" i="8"/>
  <c r="R46" i="8"/>
  <c r="J46" i="8" s="1"/>
  <c r="AH46" i="8" s="1"/>
  <c r="Q46" i="8"/>
  <c r="P46" i="8"/>
  <c r="O46" i="8"/>
  <c r="G46" i="8" s="1"/>
  <c r="AE46" i="8" s="1"/>
  <c r="N46" i="8"/>
  <c r="M46" i="8"/>
  <c r="K46" i="8"/>
  <c r="AI46" i="8" s="1"/>
  <c r="I46" i="8"/>
  <c r="H46" i="8"/>
  <c r="F46" i="8"/>
  <c r="AD46" i="8" s="1"/>
  <c r="E46" i="8"/>
  <c r="AC46" i="8" s="1"/>
  <c r="AC45" i="8"/>
  <c r="S45" i="8"/>
  <c r="K45" i="8" s="1"/>
  <c r="AI45" i="8" s="1"/>
  <c r="R45" i="8"/>
  <c r="J45" i="8" s="1"/>
  <c r="AH45" i="8" s="1"/>
  <c r="Q45" i="8"/>
  <c r="I45" i="8" s="1"/>
  <c r="AG45" i="8" s="1"/>
  <c r="O45" i="8"/>
  <c r="N45" i="8"/>
  <c r="M45" i="8"/>
  <c r="H45" i="8"/>
  <c r="AF45" i="8" s="1"/>
  <c r="G45" i="8"/>
  <c r="AE45" i="8" s="1"/>
  <c r="F45" i="8"/>
  <c r="AD45" i="8" s="1"/>
  <c r="E45" i="8"/>
  <c r="AE44" i="8"/>
  <c r="AD44" i="8"/>
  <c r="S44" i="8"/>
  <c r="K44" i="8" s="1"/>
  <c r="AI44" i="8" s="1"/>
  <c r="R44" i="8"/>
  <c r="P44" i="8"/>
  <c r="N44" i="8"/>
  <c r="F44" i="8" s="1"/>
  <c r="M44" i="8"/>
  <c r="E44" i="8" s="1"/>
  <c r="AC44" i="8" s="1"/>
  <c r="J44" i="8"/>
  <c r="AH44" i="8" s="1"/>
  <c r="I44" i="8"/>
  <c r="AG44" i="8" s="1"/>
  <c r="H44" i="8"/>
  <c r="AF44" i="8" s="1"/>
  <c r="G44" i="8"/>
  <c r="S43" i="8"/>
  <c r="K43" i="8" s="1"/>
  <c r="AI43" i="8" s="1"/>
  <c r="R43" i="8"/>
  <c r="J43" i="8" s="1"/>
  <c r="AH43" i="8" s="1"/>
  <c r="Q43" i="8"/>
  <c r="P43" i="8"/>
  <c r="O43" i="8"/>
  <c r="M43" i="8"/>
  <c r="E43" i="8" s="1"/>
  <c r="AC43" i="8" s="1"/>
  <c r="I43" i="8"/>
  <c r="AG43" i="8" s="1"/>
  <c r="H43" i="8"/>
  <c r="AF43" i="8" s="1"/>
  <c r="G43" i="8"/>
  <c r="AE43" i="8" s="1"/>
  <c r="F43" i="8"/>
  <c r="AD43" i="8" s="1"/>
  <c r="AE42" i="8"/>
  <c r="S42" i="8"/>
  <c r="K42" i="8" s="1"/>
  <c r="AI42" i="8" s="1"/>
  <c r="R42" i="8"/>
  <c r="Q42" i="8"/>
  <c r="P42" i="8"/>
  <c r="H42" i="8" s="1"/>
  <c r="AF42" i="8" s="1"/>
  <c r="O42" i="8"/>
  <c r="G42" i="8" s="1"/>
  <c r="N42" i="8"/>
  <c r="F42" i="8" s="1"/>
  <c r="AD42" i="8" s="1"/>
  <c r="M42" i="8"/>
  <c r="E42" i="8" s="1"/>
  <c r="AC42" i="8" s="1"/>
  <c r="J42" i="8"/>
  <c r="AH42" i="8" s="1"/>
  <c r="I42" i="8"/>
  <c r="AG42" i="8" s="1"/>
  <c r="AH41" i="8"/>
  <c r="AC41" i="8"/>
  <c r="S41" i="8"/>
  <c r="K41" i="8" s="1"/>
  <c r="AI41" i="8" s="1"/>
  <c r="Q41" i="8"/>
  <c r="P41" i="8"/>
  <c r="N41" i="8"/>
  <c r="F41" i="8" s="1"/>
  <c r="AD41" i="8" s="1"/>
  <c r="M41" i="8"/>
  <c r="J41" i="8"/>
  <c r="I41" i="8"/>
  <c r="AG41" i="8" s="1"/>
  <c r="H41" i="8"/>
  <c r="AF41" i="8" s="1"/>
  <c r="G41" i="8"/>
  <c r="AE41" i="8" s="1"/>
  <c r="E41" i="8"/>
  <c r="AF40" i="8"/>
  <c r="AE40" i="8"/>
  <c r="S40" i="8"/>
  <c r="R40" i="8"/>
  <c r="Q40" i="8"/>
  <c r="P40" i="8"/>
  <c r="H40" i="8" s="1"/>
  <c r="O40" i="8"/>
  <c r="G40" i="8" s="1"/>
  <c r="N40" i="8"/>
  <c r="F40" i="8" s="1"/>
  <c r="AD40" i="8" s="1"/>
  <c r="M40" i="8"/>
  <c r="E40" i="8" s="1"/>
  <c r="AC40" i="8" s="1"/>
  <c r="K40" i="8"/>
  <c r="AI40" i="8" s="1"/>
  <c r="J40" i="8"/>
  <c r="AH40" i="8" s="1"/>
  <c r="I40" i="8"/>
  <c r="AG40" i="8" s="1"/>
  <c r="AG39" i="8"/>
  <c r="AC39" i="8"/>
  <c r="S39" i="8"/>
  <c r="R39" i="8"/>
  <c r="J39" i="8" s="1"/>
  <c r="AH39" i="8" s="1"/>
  <c r="Q39" i="8"/>
  <c r="P39" i="8"/>
  <c r="H39" i="8" s="1"/>
  <c r="AF39" i="8" s="1"/>
  <c r="O39" i="8"/>
  <c r="G39" i="8" s="1"/>
  <c r="AE39" i="8" s="1"/>
  <c r="N39" i="8"/>
  <c r="M39" i="8"/>
  <c r="K39" i="8"/>
  <c r="AI39" i="8" s="1"/>
  <c r="I39" i="8"/>
  <c r="F39" i="8"/>
  <c r="AD39" i="8" s="1"/>
  <c r="E39" i="8"/>
  <c r="AH38" i="8"/>
  <c r="S38" i="8"/>
  <c r="R38" i="8"/>
  <c r="Q38" i="8"/>
  <c r="I38" i="8" s="1"/>
  <c r="AG38" i="8" s="1"/>
  <c r="P38" i="8"/>
  <c r="H38" i="8" s="1"/>
  <c r="AF38" i="8" s="1"/>
  <c r="O38" i="8"/>
  <c r="N38" i="8"/>
  <c r="M38" i="8"/>
  <c r="E38" i="8" s="1"/>
  <c r="AC38" i="8" s="1"/>
  <c r="K38" i="8"/>
  <c r="AI38" i="8" s="1"/>
  <c r="J38" i="8"/>
  <c r="G38" i="8"/>
  <c r="AE38" i="8" s="1"/>
  <c r="F38" i="8"/>
  <c r="AD38" i="8" s="1"/>
  <c r="AE37" i="8"/>
  <c r="AD37" i="8"/>
  <c r="AC37" i="8"/>
  <c r="S37" i="8"/>
  <c r="K37" i="8" s="1"/>
  <c r="AI37" i="8" s="1"/>
  <c r="R37" i="8"/>
  <c r="J37" i="8" s="1"/>
  <c r="AH37" i="8" s="1"/>
  <c r="Q37" i="8"/>
  <c r="P37" i="8"/>
  <c r="O37" i="8"/>
  <c r="N37" i="8"/>
  <c r="F37" i="8" s="1"/>
  <c r="I37" i="8"/>
  <c r="AG37" i="8" s="1"/>
  <c r="H37" i="8"/>
  <c r="AF37" i="8" s="1"/>
  <c r="G37" i="8"/>
  <c r="E37" i="8"/>
  <c r="AI36" i="8"/>
  <c r="AF36" i="8"/>
  <c r="S36" i="8"/>
  <c r="R36" i="8"/>
  <c r="J36" i="8" s="1"/>
  <c r="AH36" i="8" s="1"/>
  <c r="Q36" i="8"/>
  <c r="I36" i="8" s="1"/>
  <c r="AG36" i="8" s="1"/>
  <c r="P36" i="8"/>
  <c r="O36" i="8"/>
  <c r="G36" i="8" s="1"/>
  <c r="AE36" i="8" s="1"/>
  <c r="N36" i="8"/>
  <c r="F36" i="8" s="1"/>
  <c r="AD36" i="8" s="1"/>
  <c r="M36" i="8"/>
  <c r="E36" i="8" s="1"/>
  <c r="AC36" i="8" s="1"/>
  <c r="K36" i="8"/>
  <c r="H36" i="8"/>
  <c r="AF35" i="8"/>
  <c r="S35" i="8"/>
  <c r="K35" i="8" s="1"/>
  <c r="AI35" i="8" s="1"/>
  <c r="R35" i="8"/>
  <c r="Q35" i="8"/>
  <c r="P35" i="8"/>
  <c r="O35" i="8"/>
  <c r="G35" i="8" s="1"/>
  <c r="AE35" i="8" s="1"/>
  <c r="N35" i="8"/>
  <c r="F35" i="8" s="1"/>
  <c r="AD35" i="8" s="1"/>
  <c r="J35" i="8"/>
  <c r="AH35" i="8" s="1"/>
  <c r="I35" i="8"/>
  <c r="AG35" i="8" s="1"/>
  <c r="H35" i="8"/>
  <c r="E35" i="8"/>
  <c r="AC35" i="8" s="1"/>
  <c r="AH34" i="8"/>
  <c r="AG34" i="8"/>
  <c r="S34" i="8"/>
  <c r="R34" i="8"/>
  <c r="J34" i="8" s="1"/>
  <c r="Q34" i="8"/>
  <c r="I34" i="8" s="1"/>
  <c r="P34" i="8"/>
  <c r="H34" i="8" s="1"/>
  <c r="AF34" i="8" s="1"/>
  <c r="N34" i="8"/>
  <c r="F34" i="8" s="1"/>
  <c r="AD34" i="8" s="1"/>
  <c r="K34" i="8"/>
  <c r="AI34" i="8" s="1"/>
  <c r="G34" i="8"/>
  <c r="AE34" i="8" s="1"/>
  <c r="E34" i="8"/>
  <c r="AC34" i="8" s="1"/>
  <c r="AE33" i="8"/>
  <c r="AD33" i="8"/>
  <c r="AC33" i="8"/>
  <c r="S33" i="8"/>
  <c r="Q33" i="8"/>
  <c r="I33" i="8" s="1"/>
  <c r="AG33" i="8" s="1"/>
  <c r="P33" i="8"/>
  <c r="O33" i="8"/>
  <c r="N33" i="8"/>
  <c r="K33" i="8"/>
  <c r="AI33" i="8" s="1"/>
  <c r="J33" i="8"/>
  <c r="AH33" i="8" s="1"/>
  <c r="H33" i="8"/>
  <c r="AF33" i="8" s="1"/>
  <c r="G33" i="8"/>
  <c r="F33" i="8"/>
  <c r="E33" i="8"/>
  <c r="AH32" i="8"/>
  <c r="AD32" i="8"/>
  <c r="S32" i="8"/>
  <c r="R32" i="8"/>
  <c r="Q32" i="8"/>
  <c r="I32" i="8" s="1"/>
  <c r="AG32" i="8" s="1"/>
  <c r="P32" i="8"/>
  <c r="H32" i="8" s="1"/>
  <c r="AF32" i="8" s="1"/>
  <c r="O32" i="8"/>
  <c r="G32" i="8" s="1"/>
  <c r="AE32" i="8" s="1"/>
  <c r="K32" i="8"/>
  <c r="AI32" i="8" s="1"/>
  <c r="J32" i="8"/>
  <c r="F32" i="8"/>
  <c r="E32" i="8"/>
  <c r="AC32" i="8" s="1"/>
  <c r="AI31" i="8"/>
  <c r="AH31" i="8"/>
  <c r="AC31" i="8"/>
  <c r="S31" i="8"/>
  <c r="K31" i="8" s="1"/>
  <c r="R31" i="8"/>
  <c r="J31" i="8" s="1"/>
  <c r="P31" i="8"/>
  <c r="H31" i="8" s="1"/>
  <c r="AF31" i="8" s="1"/>
  <c r="O31" i="8"/>
  <c r="G31" i="8" s="1"/>
  <c r="AE31" i="8" s="1"/>
  <c r="N31" i="8"/>
  <c r="F31" i="8" s="1"/>
  <c r="AD31" i="8" s="1"/>
  <c r="I31" i="8"/>
  <c r="AG31" i="8" s="1"/>
  <c r="E31" i="8"/>
  <c r="AF30" i="8"/>
  <c r="AE30" i="8"/>
  <c r="AD30" i="8"/>
  <c r="AC30" i="8"/>
  <c r="S30" i="8"/>
  <c r="R30" i="8"/>
  <c r="Q30" i="8"/>
  <c r="O30" i="8"/>
  <c r="N30" i="8"/>
  <c r="F30" i="8" s="1"/>
  <c r="K30" i="8"/>
  <c r="AI30" i="8" s="1"/>
  <c r="J30" i="8"/>
  <c r="AH30" i="8" s="1"/>
  <c r="I30" i="8"/>
  <c r="AG30" i="8" s="1"/>
  <c r="H30" i="8"/>
  <c r="G30" i="8"/>
  <c r="E30" i="8"/>
  <c r="AI29" i="8"/>
  <c r="AH29" i="8"/>
  <c r="AG29" i="8"/>
  <c r="S29" i="8"/>
  <c r="Q29" i="8"/>
  <c r="I29" i="8" s="1"/>
  <c r="P29" i="8"/>
  <c r="H29" i="8" s="1"/>
  <c r="AF29" i="8" s="1"/>
  <c r="O29" i="8"/>
  <c r="G29" i="8" s="1"/>
  <c r="AE29" i="8" s="1"/>
  <c r="N29" i="8"/>
  <c r="F29" i="8" s="1"/>
  <c r="AD29" i="8" s="1"/>
  <c r="M29" i="8"/>
  <c r="E29" i="8" s="1"/>
  <c r="AC29" i="8" s="1"/>
  <c r="K29" i="8"/>
  <c r="J29" i="8"/>
  <c r="AI28" i="8"/>
  <c r="AD28" i="8"/>
  <c r="AC28" i="8"/>
  <c r="S28" i="8"/>
  <c r="R28" i="8"/>
  <c r="J28" i="8" s="1"/>
  <c r="AH28" i="8" s="1"/>
  <c r="Q28" i="8"/>
  <c r="I28" i="8" s="1"/>
  <c r="AG28" i="8" s="1"/>
  <c r="P28" i="8"/>
  <c r="O28" i="8"/>
  <c r="N28" i="8"/>
  <c r="F28" i="8" s="1"/>
  <c r="K28" i="8"/>
  <c r="H28" i="8"/>
  <c r="AF28" i="8" s="1"/>
  <c r="G28" i="8"/>
  <c r="AE28" i="8" s="1"/>
  <c r="E28" i="8"/>
  <c r="AI27" i="8"/>
  <c r="S27" i="8"/>
  <c r="R27" i="8"/>
  <c r="J27" i="8" s="1"/>
  <c r="AH27" i="8" s="1"/>
  <c r="Q27" i="8"/>
  <c r="I27" i="8" s="1"/>
  <c r="AG27" i="8" s="1"/>
  <c r="P27" i="8"/>
  <c r="H27" i="8" s="1"/>
  <c r="AF27" i="8" s="1"/>
  <c r="N27" i="8"/>
  <c r="K27" i="8"/>
  <c r="G27" i="8"/>
  <c r="AE27" i="8" s="1"/>
  <c r="F27" i="8"/>
  <c r="AD27" i="8" s="1"/>
  <c r="E27" i="8"/>
  <c r="AC27" i="8" s="1"/>
  <c r="AC26" i="8"/>
  <c r="S26" i="8"/>
  <c r="K26" i="8" s="1"/>
  <c r="AI26" i="8" s="1"/>
  <c r="R26" i="8"/>
  <c r="J26" i="8" s="1"/>
  <c r="AH26" i="8" s="1"/>
  <c r="Q26" i="8"/>
  <c r="I26" i="8" s="1"/>
  <c r="AG26" i="8" s="1"/>
  <c r="P26" i="8"/>
  <c r="H26" i="8" s="1"/>
  <c r="AF26" i="8" s="1"/>
  <c r="O26" i="8"/>
  <c r="N26" i="8"/>
  <c r="G26" i="8"/>
  <c r="AE26" i="8" s="1"/>
  <c r="F26" i="8"/>
  <c r="AD26" i="8" s="1"/>
  <c r="E26" i="8"/>
  <c r="AF25" i="8"/>
  <c r="AE25" i="8"/>
  <c r="AC25" i="8"/>
  <c r="S25" i="8"/>
  <c r="R25" i="8"/>
  <c r="Q25" i="8"/>
  <c r="P25" i="8"/>
  <c r="H25" i="8" s="1"/>
  <c r="O25" i="8"/>
  <c r="G25" i="8" s="1"/>
  <c r="K25" i="8"/>
  <c r="AI25" i="8" s="1"/>
  <c r="J25" i="8"/>
  <c r="AH25" i="8" s="1"/>
  <c r="I25" i="8"/>
  <c r="AG25" i="8" s="1"/>
  <c r="F25" i="8"/>
  <c r="AD25" i="8" s="1"/>
  <c r="E25" i="8"/>
  <c r="AG24" i="8"/>
  <c r="AF24" i="8"/>
  <c r="S24" i="8"/>
  <c r="K24" i="8" s="1"/>
  <c r="AI24" i="8" s="1"/>
  <c r="R24" i="8"/>
  <c r="J24" i="8" s="1"/>
  <c r="AH24" i="8" s="1"/>
  <c r="Q24" i="8"/>
  <c r="I24" i="8" s="1"/>
  <c r="N24" i="8"/>
  <c r="H24" i="8"/>
  <c r="G24" i="8"/>
  <c r="AE24" i="8" s="1"/>
  <c r="F24" i="8"/>
  <c r="AD24" i="8" s="1"/>
  <c r="E24" i="8"/>
  <c r="AC24" i="8" s="1"/>
  <c r="AC23" i="8"/>
  <c r="S23" i="8"/>
  <c r="K23" i="8" s="1"/>
  <c r="AI23" i="8" s="1"/>
  <c r="R23" i="8"/>
  <c r="J23" i="8" s="1"/>
  <c r="AH23" i="8" s="1"/>
  <c r="Q23" i="8"/>
  <c r="I23" i="8" s="1"/>
  <c r="AG23" i="8" s="1"/>
  <c r="P23" i="8"/>
  <c r="O23" i="8"/>
  <c r="N23" i="8"/>
  <c r="F23" i="8" s="1"/>
  <c r="AD23" i="8" s="1"/>
  <c r="H23" i="8"/>
  <c r="AF23" i="8" s="1"/>
  <c r="G23" i="8"/>
  <c r="AE23" i="8" s="1"/>
  <c r="E23" i="8"/>
  <c r="AG22" i="8"/>
  <c r="S22" i="8"/>
  <c r="R22" i="8"/>
  <c r="J22" i="8" s="1"/>
  <c r="AH22" i="8" s="1"/>
  <c r="Q22" i="8"/>
  <c r="I22" i="8" s="1"/>
  <c r="P22" i="8"/>
  <c r="O22" i="8"/>
  <c r="N22" i="8"/>
  <c r="K22" i="8"/>
  <c r="AI22" i="8" s="1"/>
  <c r="H22" i="8"/>
  <c r="AF22" i="8" s="1"/>
  <c r="G22" i="8"/>
  <c r="AE22" i="8" s="1"/>
  <c r="F22" i="8"/>
  <c r="AD22" i="8" s="1"/>
  <c r="E22" i="8"/>
  <c r="AC22" i="8" s="1"/>
  <c r="AE21" i="8"/>
  <c r="AD21" i="8"/>
  <c r="AC21" i="8"/>
  <c r="S21" i="8"/>
  <c r="K21" i="8" s="1"/>
  <c r="AI21" i="8" s="1"/>
  <c r="R21" i="8"/>
  <c r="J21" i="8" s="1"/>
  <c r="AH21" i="8" s="1"/>
  <c r="Q21" i="8"/>
  <c r="P21" i="8"/>
  <c r="O21" i="8"/>
  <c r="N21" i="8"/>
  <c r="F21" i="8" s="1"/>
  <c r="I21" i="8"/>
  <c r="AG21" i="8" s="1"/>
  <c r="H21" i="8"/>
  <c r="AF21" i="8" s="1"/>
  <c r="G21" i="8"/>
  <c r="E21" i="8"/>
  <c r="AG20" i="8"/>
  <c r="AF20" i="8"/>
  <c r="S20" i="8"/>
  <c r="R20" i="8"/>
  <c r="Q20" i="8"/>
  <c r="I20" i="8" s="1"/>
  <c r="O20" i="8"/>
  <c r="G20" i="8" s="1"/>
  <c r="AE20" i="8" s="1"/>
  <c r="N20" i="8"/>
  <c r="F20" i="8" s="1"/>
  <c r="AD20" i="8" s="1"/>
  <c r="K20" i="8"/>
  <c r="AI20" i="8" s="1"/>
  <c r="J20" i="8"/>
  <c r="AH20" i="8" s="1"/>
  <c r="H20" i="8"/>
  <c r="E20" i="8"/>
  <c r="AC20" i="8" s="1"/>
  <c r="AI19" i="8"/>
  <c r="AH19" i="8"/>
  <c r="AC19" i="8"/>
  <c r="S19" i="8"/>
  <c r="K19" i="8" s="1"/>
  <c r="Q19" i="8"/>
  <c r="O19" i="8"/>
  <c r="N19" i="8"/>
  <c r="F19" i="8" s="1"/>
  <c r="AD19" i="8" s="1"/>
  <c r="J19" i="8"/>
  <c r="I19" i="8"/>
  <c r="AG19" i="8" s="1"/>
  <c r="H19" i="8"/>
  <c r="AF19" i="8" s="1"/>
  <c r="G19" i="8"/>
  <c r="AE19" i="8" s="1"/>
  <c r="E19" i="8"/>
  <c r="AF18" i="8"/>
  <c r="AE18" i="8"/>
  <c r="AD18" i="8"/>
  <c r="AC18" i="8"/>
  <c r="S18" i="8"/>
  <c r="K18" i="8" s="1"/>
  <c r="AI18" i="8" s="1"/>
  <c r="R18" i="8"/>
  <c r="Q18" i="8"/>
  <c r="P18" i="8"/>
  <c r="O18" i="8"/>
  <c r="G18" i="8" s="1"/>
  <c r="N18" i="8"/>
  <c r="F18" i="8" s="1"/>
  <c r="J18" i="8"/>
  <c r="AH18" i="8" s="1"/>
  <c r="I18" i="8"/>
  <c r="AG18" i="8" s="1"/>
  <c r="H18" i="8"/>
  <c r="E18" i="8"/>
  <c r="AE17" i="8"/>
  <c r="S17" i="8"/>
  <c r="K17" i="8" s="1"/>
  <c r="AI17" i="8" s="1"/>
  <c r="R17" i="8"/>
  <c r="Q17" i="8"/>
  <c r="P17" i="8"/>
  <c r="H17" i="8" s="1"/>
  <c r="AF17" i="8" s="1"/>
  <c r="O17" i="8"/>
  <c r="N17" i="8"/>
  <c r="F17" i="8" s="1"/>
  <c r="AD17" i="8" s="1"/>
  <c r="M17" i="8"/>
  <c r="J17" i="8"/>
  <c r="AH17" i="8" s="1"/>
  <c r="I17" i="8"/>
  <c r="AG17" i="8" s="1"/>
  <c r="G17" i="8"/>
  <c r="E17" i="8"/>
  <c r="AC17" i="8" s="1"/>
  <c r="AG16" i="8"/>
  <c r="AF16" i="8"/>
  <c r="AE16" i="8"/>
  <c r="AD16" i="8"/>
  <c r="S16" i="8"/>
  <c r="R16" i="8"/>
  <c r="Q16" i="8"/>
  <c r="O16" i="8"/>
  <c r="G16" i="8" s="1"/>
  <c r="N16" i="8"/>
  <c r="F16" i="8" s="1"/>
  <c r="K16" i="8"/>
  <c r="AI16" i="8" s="1"/>
  <c r="J16" i="8"/>
  <c r="AH16" i="8" s="1"/>
  <c r="I16" i="8"/>
  <c r="H16" i="8"/>
  <c r="E16" i="8"/>
  <c r="AC16" i="8" s="1"/>
  <c r="AI15" i="8"/>
  <c r="AH15" i="8"/>
  <c r="AF15" i="8"/>
  <c r="S15" i="8"/>
  <c r="K15" i="8" s="1"/>
  <c r="R15" i="8"/>
  <c r="J15" i="8" s="1"/>
  <c r="Q15" i="8"/>
  <c r="P15" i="8"/>
  <c r="O15" i="8"/>
  <c r="G15" i="8" s="1"/>
  <c r="AE15" i="8" s="1"/>
  <c r="N15" i="8"/>
  <c r="F15" i="8" s="1"/>
  <c r="AD15" i="8" s="1"/>
  <c r="I15" i="8"/>
  <c r="AG15" i="8" s="1"/>
  <c r="H15" i="8"/>
  <c r="E15" i="8"/>
  <c r="AC15" i="8" s="1"/>
  <c r="AE14" i="8"/>
  <c r="AD14" i="8"/>
  <c r="AC14" i="8"/>
  <c r="R14" i="8"/>
  <c r="Q14" i="8"/>
  <c r="P14" i="8"/>
  <c r="N14" i="8"/>
  <c r="K14" i="8"/>
  <c r="AI14" i="8" s="1"/>
  <c r="J14" i="8"/>
  <c r="AH14" i="8" s="1"/>
  <c r="I14" i="8"/>
  <c r="AG14" i="8" s="1"/>
  <c r="H14" i="8"/>
  <c r="AF14" i="8" s="1"/>
  <c r="G14" i="8"/>
  <c r="F14" i="8"/>
  <c r="E14" i="8"/>
  <c r="AG13" i="8"/>
  <c r="AF13" i="8"/>
  <c r="S13" i="8"/>
  <c r="R13" i="8"/>
  <c r="Q13" i="8"/>
  <c r="I13" i="8" s="1"/>
  <c r="P13" i="8"/>
  <c r="H13" i="8" s="1"/>
  <c r="O13" i="8"/>
  <c r="G13" i="8" s="1"/>
  <c r="AE13" i="8" s="1"/>
  <c r="N13" i="8"/>
  <c r="F13" i="8" s="1"/>
  <c r="AD13" i="8" s="1"/>
  <c r="K13" i="8"/>
  <c r="AI13" i="8" s="1"/>
  <c r="J13" i="8"/>
  <c r="AH13" i="8" s="1"/>
  <c r="E13" i="8"/>
  <c r="AC13" i="8" s="1"/>
  <c r="AI12" i="8"/>
  <c r="AG12" i="8"/>
  <c r="AD12" i="8"/>
  <c r="S12" i="8"/>
  <c r="K12" i="8" s="1"/>
  <c r="R12" i="8"/>
  <c r="Q12" i="8"/>
  <c r="O12" i="8"/>
  <c r="G12" i="8" s="1"/>
  <c r="AE12" i="8" s="1"/>
  <c r="N12" i="8"/>
  <c r="J12" i="8"/>
  <c r="AH12" i="8" s="1"/>
  <c r="I12" i="8"/>
  <c r="H12" i="8"/>
  <c r="AF12" i="8" s="1"/>
  <c r="F12" i="8"/>
  <c r="E12" i="8"/>
  <c r="AC12" i="8" s="1"/>
  <c r="AG11" i="8"/>
  <c r="AF11" i="8"/>
  <c r="AE11" i="8"/>
  <c r="AD11" i="8"/>
  <c r="R11" i="8"/>
  <c r="Q11" i="8"/>
  <c r="P11" i="8"/>
  <c r="O11" i="8"/>
  <c r="G11" i="8" s="1"/>
  <c r="M11" i="8"/>
  <c r="E11" i="8" s="1"/>
  <c r="AC11" i="8" s="1"/>
  <c r="K11" i="8"/>
  <c r="AI11" i="8" s="1"/>
  <c r="J11" i="8"/>
  <c r="AH11" i="8" s="1"/>
  <c r="I11" i="8"/>
  <c r="H11" i="8"/>
  <c r="F11" i="8"/>
  <c r="AI10" i="8"/>
  <c r="AH10" i="8"/>
  <c r="AG10" i="8"/>
  <c r="S10" i="8"/>
  <c r="K10" i="8" s="1"/>
  <c r="R10" i="8"/>
  <c r="Q10" i="8"/>
  <c r="P10" i="8"/>
  <c r="H10" i="8" s="1"/>
  <c r="AF10" i="8" s="1"/>
  <c r="O10" i="8"/>
  <c r="G10" i="8" s="1"/>
  <c r="AE10" i="8" s="1"/>
  <c r="N10" i="8"/>
  <c r="F10" i="8" s="1"/>
  <c r="AD10" i="8" s="1"/>
  <c r="M10" i="8"/>
  <c r="J10" i="8"/>
  <c r="I10" i="8"/>
  <c r="E10" i="8"/>
  <c r="AC10" i="8" s="1"/>
  <c r="AG9" i="8"/>
  <c r="AF9" i="8"/>
  <c r="S9" i="8"/>
  <c r="R9" i="8"/>
  <c r="J9" i="8" s="1"/>
  <c r="AH9" i="8" s="1"/>
  <c r="Q9" i="8"/>
  <c r="O9" i="8"/>
  <c r="G9" i="8" s="1"/>
  <c r="AE9" i="8" s="1"/>
  <c r="N9" i="8"/>
  <c r="M9" i="8"/>
  <c r="K9" i="8"/>
  <c r="AI9" i="8" s="1"/>
  <c r="I9" i="8"/>
  <c r="H9" i="8"/>
  <c r="F9" i="8"/>
  <c r="AD9" i="8" s="1"/>
  <c r="E9" i="8"/>
  <c r="AC9" i="8" s="1"/>
  <c r="AE8" i="8"/>
  <c r="AC8" i="8"/>
  <c r="S8" i="8"/>
  <c r="R8" i="8"/>
  <c r="Q8" i="8"/>
  <c r="I8" i="8" s="1"/>
  <c r="AG8" i="8" s="1"/>
  <c r="P8" i="8"/>
  <c r="O8" i="8"/>
  <c r="N8" i="8"/>
  <c r="F8" i="8" s="1"/>
  <c r="AD8" i="8" s="1"/>
  <c r="M8" i="8"/>
  <c r="K8" i="8"/>
  <c r="AI8" i="8" s="1"/>
  <c r="J8" i="8"/>
  <c r="AH8" i="8" s="1"/>
  <c r="H8" i="8"/>
  <c r="AF8" i="8" s="1"/>
  <c r="G8" i="8"/>
  <c r="E8" i="8"/>
  <c r="AH7" i="8"/>
  <c r="S7" i="8"/>
  <c r="K7" i="8" s="1"/>
  <c r="AI7" i="8" s="1"/>
  <c r="R7" i="8"/>
  <c r="J7" i="8" s="1"/>
  <c r="Q7" i="8"/>
  <c r="I7" i="8" s="1"/>
  <c r="AG7" i="8" s="1"/>
  <c r="O7" i="8"/>
  <c r="N7" i="8"/>
  <c r="M7" i="8"/>
  <c r="E7" i="8" s="1"/>
  <c r="AC7" i="8" s="1"/>
  <c r="H7" i="8"/>
  <c r="AF7" i="8" s="1"/>
  <c r="G7" i="8"/>
  <c r="AE7" i="8" s="1"/>
  <c r="F7" i="8"/>
  <c r="AD7" i="8" s="1"/>
  <c r="AF6" i="8"/>
  <c r="AD6" i="8"/>
  <c r="S6" i="8"/>
  <c r="R6" i="8"/>
  <c r="J6" i="8" s="1"/>
  <c r="AH6" i="8" s="1"/>
  <c r="Q6" i="8"/>
  <c r="P6" i="8"/>
  <c r="O6" i="8"/>
  <c r="G6" i="8" s="1"/>
  <c r="AE6" i="8" s="1"/>
  <c r="N6" i="8"/>
  <c r="M6" i="8"/>
  <c r="E6" i="8" s="1"/>
  <c r="AC6" i="8" s="1"/>
  <c r="K6" i="8"/>
  <c r="AI6" i="8" s="1"/>
  <c r="I6" i="8"/>
  <c r="AG6" i="8" s="1"/>
  <c r="H6" i="8"/>
  <c r="F6" i="8"/>
  <c r="AI5" i="8"/>
  <c r="AC5" i="8"/>
  <c r="S5" i="8"/>
  <c r="R5" i="8"/>
  <c r="J5" i="8" s="1"/>
  <c r="AH5" i="8" s="1"/>
  <c r="Q5" i="8"/>
  <c r="P5" i="8"/>
  <c r="O5" i="8"/>
  <c r="G5" i="8" s="1"/>
  <c r="AE5" i="8" s="1"/>
  <c r="N5" i="8"/>
  <c r="M5" i="8"/>
  <c r="K5" i="8"/>
  <c r="I5" i="8"/>
  <c r="AG5" i="8" s="1"/>
  <c r="H5" i="8"/>
  <c r="AF5" i="8" s="1"/>
  <c r="F5" i="8"/>
  <c r="AD5" i="8" s="1"/>
  <c r="E5" i="8"/>
  <c r="AF4" i="8"/>
  <c r="AD4" i="8"/>
  <c r="AC4" i="8"/>
  <c r="S4" i="8"/>
  <c r="R4" i="8"/>
  <c r="O4" i="8"/>
  <c r="G4" i="8" s="1"/>
  <c r="AE4" i="8" s="1"/>
  <c r="K4" i="8"/>
  <c r="AI4" i="8" s="1"/>
  <c r="J4" i="8"/>
  <c r="AH4" i="8" s="1"/>
  <c r="I4" i="8"/>
  <c r="AG4" i="8" s="1"/>
  <c r="H4" i="8"/>
  <c r="F4" i="8"/>
  <c r="E4" i="8"/>
  <c r="AD48" i="2"/>
  <c r="AC48" i="2"/>
  <c r="AB48" i="2"/>
  <c r="AA48" i="2"/>
  <c r="Z48" i="2"/>
  <c r="Y48" i="2"/>
  <c r="X48" i="2"/>
  <c r="AQ46" i="2"/>
  <c r="AN46" i="2"/>
  <c r="V46" i="2"/>
  <c r="L46" i="2" s="1"/>
  <c r="AP46" i="2" s="1"/>
  <c r="U46" i="2"/>
  <c r="T46" i="2"/>
  <c r="J46" i="2" s="1"/>
  <c r="S46" i="2"/>
  <c r="R46" i="2"/>
  <c r="Q46" i="2"/>
  <c r="P46" i="2"/>
  <c r="O46" i="2"/>
  <c r="M46" i="2"/>
  <c r="K46" i="2"/>
  <c r="I46" i="2"/>
  <c r="AM46" i="2" s="1"/>
  <c r="H46" i="2"/>
  <c r="AL46" i="2" s="1"/>
  <c r="G46" i="2"/>
  <c r="AK46" i="2" s="1"/>
  <c r="F46" i="2"/>
  <c r="AJ46" i="2" s="1"/>
  <c r="E46" i="2"/>
  <c r="AI46" i="2" s="1"/>
  <c r="AP45" i="2"/>
  <c r="W45" i="2"/>
  <c r="V45" i="2"/>
  <c r="L45" i="2" s="1"/>
  <c r="U45" i="2"/>
  <c r="T45" i="2"/>
  <c r="S45" i="2"/>
  <c r="R45" i="2"/>
  <c r="Q45" i="2"/>
  <c r="P45" i="2"/>
  <c r="F45" i="2" s="1"/>
  <c r="AJ45" i="2" s="1"/>
  <c r="O45" i="2"/>
  <c r="M45" i="2"/>
  <c r="AQ45" i="2" s="1"/>
  <c r="K45" i="2"/>
  <c r="J45" i="2"/>
  <c r="AN45" i="2" s="1"/>
  <c r="I45" i="2"/>
  <c r="AM45" i="2" s="1"/>
  <c r="H45" i="2"/>
  <c r="AL45" i="2" s="1"/>
  <c r="G45" i="2"/>
  <c r="AK45" i="2" s="1"/>
  <c r="E45" i="2"/>
  <c r="AI45" i="2" s="1"/>
  <c r="AI44" i="2"/>
  <c r="W44" i="2"/>
  <c r="V44" i="2"/>
  <c r="U44" i="2"/>
  <c r="T44" i="2"/>
  <c r="S44" i="2"/>
  <c r="R44" i="2"/>
  <c r="H44" i="2" s="1"/>
  <c r="AL44" i="2" s="1"/>
  <c r="Q44" i="2"/>
  <c r="P44" i="2"/>
  <c r="F44" i="2" s="1"/>
  <c r="AJ44" i="2" s="1"/>
  <c r="O44" i="2"/>
  <c r="M44" i="2"/>
  <c r="AQ44" i="2" s="1"/>
  <c r="L44" i="2"/>
  <c r="AP44" i="2" s="1"/>
  <c r="K44" i="2"/>
  <c r="J44" i="2"/>
  <c r="AN44" i="2" s="1"/>
  <c r="I44" i="2"/>
  <c r="AM44" i="2" s="1"/>
  <c r="G44" i="2"/>
  <c r="AK44" i="2" s="1"/>
  <c r="E44" i="2"/>
  <c r="AM43" i="2"/>
  <c r="AK43" i="2"/>
  <c r="W43" i="2"/>
  <c r="V43" i="2"/>
  <c r="U43" i="2"/>
  <c r="T43" i="2"/>
  <c r="J43" i="2" s="1"/>
  <c r="AN43" i="2" s="1"/>
  <c r="S43" i="2"/>
  <c r="R43" i="2"/>
  <c r="H43" i="2" s="1"/>
  <c r="AL43" i="2" s="1"/>
  <c r="Q43" i="2"/>
  <c r="P43" i="2"/>
  <c r="O43" i="2"/>
  <c r="M43" i="2"/>
  <c r="AQ43" i="2" s="1"/>
  <c r="L43" i="2"/>
  <c r="AP43" i="2" s="1"/>
  <c r="K43" i="2"/>
  <c r="I43" i="2"/>
  <c r="G43" i="2"/>
  <c r="F43" i="2"/>
  <c r="AJ43" i="2" s="1"/>
  <c r="E43" i="2"/>
  <c r="AI43" i="2" s="1"/>
  <c r="AP42" i="2"/>
  <c r="AM42" i="2"/>
  <c r="W42" i="2"/>
  <c r="V42" i="2"/>
  <c r="L42" i="2" s="1"/>
  <c r="U42" i="2"/>
  <c r="T42" i="2"/>
  <c r="J42" i="2" s="1"/>
  <c r="AN42" i="2" s="1"/>
  <c r="S42" i="2"/>
  <c r="R42" i="2"/>
  <c r="Q42" i="2"/>
  <c r="P42" i="2"/>
  <c r="O42" i="2"/>
  <c r="M42" i="2"/>
  <c r="AQ42" i="2" s="1"/>
  <c r="K42" i="2"/>
  <c r="I42" i="2"/>
  <c r="H42" i="2"/>
  <c r="AL42" i="2" s="1"/>
  <c r="G42" i="2"/>
  <c r="AK42" i="2" s="1"/>
  <c r="F42" i="2"/>
  <c r="AJ42" i="2" s="1"/>
  <c r="E42" i="2"/>
  <c r="AI42" i="2" s="1"/>
  <c r="AP41" i="2"/>
  <c r="W41" i="2"/>
  <c r="V41" i="2"/>
  <c r="L41" i="2" s="1"/>
  <c r="U41" i="2"/>
  <c r="T41" i="2"/>
  <c r="S41" i="2"/>
  <c r="R41" i="2"/>
  <c r="Q41" i="2"/>
  <c r="P41" i="2"/>
  <c r="F41" i="2" s="1"/>
  <c r="AJ41" i="2" s="1"/>
  <c r="O41" i="2"/>
  <c r="M41" i="2"/>
  <c r="AQ41" i="2" s="1"/>
  <c r="K41" i="2"/>
  <c r="J41" i="2"/>
  <c r="AN41" i="2" s="1"/>
  <c r="I41" i="2"/>
  <c r="AM41" i="2" s="1"/>
  <c r="H41" i="2"/>
  <c r="AL41" i="2" s="1"/>
  <c r="G41" i="2"/>
  <c r="AK41" i="2" s="1"/>
  <c r="E41" i="2"/>
  <c r="AI41" i="2" s="1"/>
  <c r="AI40" i="2"/>
  <c r="W40" i="2"/>
  <c r="V40" i="2"/>
  <c r="U40" i="2"/>
  <c r="T40" i="2"/>
  <c r="S40" i="2"/>
  <c r="R40" i="2"/>
  <c r="H40" i="2" s="1"/>
  <c r="AL40" i="2" s="1"/>
  <c r="Q40" i="2"/>
  <c r="P40" i="2"/>
  <c r="F40" i="2" s="1"/>
  <c r="AJ40" i="2" s="1"/>
  <c r="O40" i="2"/>
  <c r="M40" i="2"/>
  <c r="AQ40" i="2" s="1"/>
  <c r="L40" i="2"/>
  <c r="AP40" i="2" s="1"/>
  <c r="K40" i="2"/>
  <c r="J40" i="2"/>
  <c r="AN40" i="2" s="1"/>
  <c r="I40" i="2"/>
  <c r="AM40" i="2" s="1"/>
  <c r="G40" i="2"/>
  <c r="AK40" i="2" s="1"/>
  <c r="E40" i="2"/>
  <c r="AM39" i="2"/>
  <c r="AK39" i="2"/>
  <c r="W39" i="2"/>
  <c r="V39" i="2"/>
  <c r="U39" i="2"/>
  <c r="T39" i="2"/>
  <c r="J39" i="2" s="1"/>
  <c r="AN39" i="2" s="1"/>
  <c r="S39" i="2"/>
  <c r="R39" i="2"/>
  <c r="H39" i="2" s="1"/>
  <c r="AL39" i="2" s="1"/>
  <c r="Q39" i="2"/>
  <c r="P39" i="2"/>
  <c r="O39" i="2"/>
  <c r="M39" i="2"/>
  <c r="AQ39" i="2" s="1"/>
  <c r="L39" i="2"/>
  <c r="AP39" i="2" s="1"/>
  <c r="K39" i="2"/>
  <c r="I39" i="2"/>
  <c r="G39" i="2"/>
  <c r="F39" i="2"/>
  <c r="AJ39" i="2" s="1"/>
  <c r="E39" i="2"/>
  <c r="AI39" i="2" s="1"/>
  <c r="AP38" i="2"/>
  <c r="AM38" i="2"/>
  <c r="W38" i="2"/>
  <c r="V38" i="2"/>
  <c r="L38" i="2" s="1"/>
  <c r="U38" i="2"/>
  <c r="T38" i="2"/>
  <c r="J38" i="2" s="1"/>
  <c r="AN38" i="2" s="1"/>
  <c r="S38" i="2"/>
  <c r="R38" i="2"/>
  <c r="Q38" i="2"/>
  <c r="P38" i="2"/>
  <c r="O38" i="2"/>
  <c r="M38" i="2"/>
  <c r="AQ38" i="2" s="1"/>
  <c r="K38" i="2"/>
  <c r="I38" i="2"/>
  <c r="H38" i="2"/>
  <c r="AL38" i="2" s="1"/>
  <c r="G38" i="2"/>
  <c r="AK38" i="2" s="1"/>
  <c r="F38" i="2"/>
  <c r="AJ38" i="2" s="1"/>
  <c r="E38" i="2"/>
  <c r="AI38" i="2" s="1"/>
  <c r="AP37" i="2"/>
  <c r="W37" i="2"/>
  <c r="V37" i="2"/>
  <c r="L37" i="2" s="1"/>
  <c r="U37" i="2"/>
  <c r="T37" i="2"/>
  <c r="S37" i="2"/>
  <c r="R37" i="2"/>
  <c r="Q37" i="2"/>
  <c r="P37" i="2"/>
  <c r="F37" i="2" s="1"/>
  <c r="AJ37" i="2" s="1"/>
  <c r="O37" i="2"/>
  <c r="M37" i="2"/>
  <c r="AQ37" i="2" s="1"/>
  <c r="K37" i="2"/>
  <c r="J37" i="2"/>
  <c r="AN37" i="2" s="1"/>
  <c r="I37" i="2"/>
  <c r="AM37" i="2" s="1"/>
  <c r="H37" i="2"/>
  <c r="AL37" i="2" s="1"/>
  <c r="G37" i="2"/>
  <c r="AK37" i="2" s="1"/>
  <c r="E37" i="2"/>
  <c r="AI37" i="2" s="1"/>
  <c r="AK36" i="2"/>
  <c r="W36" i="2"/>
  <c r="V36" i="2"/>
  <c r="T36" i="2"/>
  <c r="S36" i="2"/>
  <c r="R36" i="2"/>
  <c r="Q36" i="2"/>
  <c r="G36" i="2" s="1"/>
  <c r="P36" i="2"/>
  <c r="O36" i="2"/>
  <c r="E36" i="2" s="1"/>
  <c r="AI36" i="2" s="1"/>
  <c r="M36" i="2"/>
  <c r="AQ36" i="2" s="1"/>
  <c r="L36" i="2"/>
  <c r="AP36" i="2" s="1"/>
  <c r="K36" i="2"/>
  <c r="J36" i="2"/>
  <c r="AN36" i="2" s="1"/>
  <c r="I36" i="2"/>
  <c r="AM36" i="2" s="1"/>
  <c r="H36" i="2"/>
  <c r="AL36" i="2" s="1"/>
  <c r="F36" i="2"/>
  <c r="AJ36" i="2" s="1"/>
  <c r="AL35" i="2"/>
  <c r="AJ35" i="2"/>
  <c r="W35" i="2"/>
  <c r="V35" i="2"/>
  <c r="U35" i="2"/>
  <c r="T35" i="2"/>
  <c r="S35" i="2"/>
  <c r="I35" i="2" s="1"/>
  <c r="AM35" i="2" s="1"/>
  <c r="R35" i="2"/>
  <c r="Q35" i="2"/>
  <c r="G35" i="2" s="1"/>
  <c r="AK35" i="2" s="1"/>
  <c r="P35" i="2"/>
  <c r="O35" i="2"/>
  <c r="M35" i="2"/>
  <c r="AQ35" i="2" s="1"/>
  <c r="L35" i="2"/>
  <c r="AP35" i="2" s="1"/>
  <c r="K35" i="2"/>
  <c r="J35" i="2"/>
  <c r="AN35" i="2" s="1"/>
  <c r="H35" i="2"/>
  <c r="F35" i="2"/>
  <c r="E35" i="2"/>
  <c r="AI35" i="2" s="1"/>
  <c r="AL34" i="2"/>
  <c r="W34" i="2"/>
  <c r="V34" i="2"/>
  <c r="U34" i="2"/>
  <c r="K34" i="2" s="1"/>
  <c r="T34" i="2"/>
  <c r="S34" i="2"/>
  <c r="I34" i="2" s="1"/>
  <c r="AM34" i="2" s="1"/>
  <c r="R34" i="2"/>
  <c r="Q34" i="2"/>
  <c r="P34" i="2"/>
  <c r="O34" i="2"/>
  <c r="M34" i="2"/>
  <c r="AQ34" i="2" s="1"/>
  <c r="L34" i="2"/>
  <c r="AP34" i="2" s="1"/>
  <c r="J34" i="2"/>
  <c r="AN34" i="2" s="1"/>
  <c r="H34" i="2"/>
  <c r="G34" i="2"/>
  <c r="AK34" i="2" s="1"/>
  <c r="F34" i="2"/>
  <c r="AJ34" i="2" s="1"/>
  <c r="E34" i="2"/>
  <c r="AI34" i="2" s="1"/>
  <c r="AQ33" i="2"/>
  <c r="AN33" i="2"/>
  <c r="W33" i="2"/>
  <c r="M33" i="2" s="1"/>
  <c r="V33" i="2"/>
  <c r="U33" i="2"/>
  <c r="K33" i="2" s="1"/>
  <c r="T33" i="2"/>
  <c r="S33" i="2"/>
  <c r="R33" i="2"/>
  <c r="Q33" i="2"/>
  <c r="P33" i="2"/>
  <c r="O33" i="2"/>
  <c r="E33" i="2" s="1"/>
  <c r="AI33" i="2" s="1"/>
  <c r="L33" i="2"/>
  <c r="AP33" i="2" s="1"/>
  <c r="J33" i="2"/>
  <c r="I33" i="2"/>
  <c r="AM33" i="2" s="1"/>
  <c r="H33" i="2"/>
  <c r="AL33" i="2" s="1"/>
  <c r="G33" i="2"/>
  <c r="AK33" i="2" s="1"/>
  <c r="F33" i="2"/>
  <c r="AJ33" i="2" s="1"/>
  <c r="AQ32" i="2"/>
  <c r="W32" i="2"/>
  <c r="M32" i="2" s="1"/>
  <c r="V32" i="2"/>
  <c r="U32" i="2"/>
  <c r="T32" i="2"/>
  <c r="S32" i="2"/>
  <c r="R32" i="2"/>
  <c r="Q32" i="2"/>
  <c r="G32" i="2" s="1"/>
  <c r="AK32" i="2" s="1"/>
  <c r="P32" i="2"/>
  <c r="O32" i="2"/>
  <c r="E32" i="2" s="1"/>
  <c r="AI32" i="2" s="1"/>
  <c r="L32" i="2"/>
  <c r="AP32" i="2" s="1"/>
  <c r="K32" i="2"/>
  <c r="J32" i="2"/>
  <c r="AN32" i="2" s="1"/>
  <c r="I32" i="2"/>
  <c r="AM32" i="2" s="1"/>
  <c r="H32" i="2"/>
  <c r="AL32" i="2" s="1"/>
  <c r="F32" i="2"/>
  <c r="AJ32" i="2" s="1"/>
  <c r="AJ31" i="2"/>
  <c r="W31" i="2"/>
  <c r="U31" i="2"/>
  <c r="T31" i="2"/>
  <c r="S31" i="2"/>
  <c r="R31" i="2"/>
  <c r="H31" i="2" s="1"/>
  <c r="AL31" i="2" s="1"/>
  <c r="Q31" i="2"/>
  <c r="P31" i="2"/>
  <c r="F31" i="2" s="1"/>
  <c r="O31" i="2"/>
  <c r="M31" i="2"/>
  <c r="AQ31" i="2" s="1"/>
  <c r="L31" i="2"/>
  <c r="AP31" i="2" s="1"/>
  <c r="K31" i="2"/>
  <c r="J31" i="2"/>
  <c r="AN31" i="2" s="1"/>
  <c r="I31" i="2"/>
  <c r="AM31" i="2" s="1"/>
  <c r="G31" i="2"/>
  <c r="AK31" i="2" s="1"/>
  <c r="E31" i="2"/>
  <c r="AI31" i="2" s="1"/>
  <c r="AK30" i="2"/>
  <c r="W30" i="2"/>
  <c r="V30" i="2"/>
  <c r="U30" i="2"/>
  <c r="T30" i="2"/>
  <c r="J30" i="2" s="1"/>
  <c r="AN30" i="2" s="1"/>
  <c r="S30" i="2"/>
  <c r="R30" i="2"/>
  <c r="H30" i="2" s="1"/>
  <c r="AL30" i="2" s="1"/>
  <c r="Q30" i="2"/>
  <c r="P30" i="2"/>
  <c r="O30" i="2"/>
  <c r="M30" i="2"/>
  <c r="AQ30" i="2" s="1"/>
  <c r="L30" i="2"/>
  <c r="AP30" i="2" s="1"/>
  <c r="K30" i="2"/>
  <c r="I30" i="2"/>
  <c r="AM30" i="2" s="1"/>
  <c r="G30" i="2"/>
  <c r="F30" i="2"/>
  <c r="AJ30" i="2" s="1"/>
  <c r="E30" i="2"/>
  <c r="AI30" i="2" s="1"/>
  <c r="AP29" i="2"/>
  <c r="AM29" i="2"/>
  <c r="W29" i="2"/>
  <c r="V29" i="2"/>
  <c r="U29" i="2"/>
  <c r="T29" i="2"/>
  <c r="S29" i="2"/>
  <c r="R29" i="2"/>
  <c r="Q29" i="2"/>
  <c r="O29" i="2"/>
  <c r="M29" i="2"/>
  <c r="AQ29" i="2" s="1"/>
  <c r="L29" i="2"/>
  <c r="K29" i="2"/>
  <c r="J29" i="2"/>
  <c r="AN29" i="2" s="1"/>
  <c r="I29" i="2"/>
  <c r="H29" i="2"/>
  <c r="AL29" i="2" s="1"/>
  <c r="G29" i="2"/>
  <c r="AK29" i="2" s="1"/>
  <c r="F29" i="2"/>
  <c r="AJ29" i="2" s="1"/>
  <c r="E29" i="2"/>
  <c r="AI29" i="2" s="1"/>
  <c r="AQ28" i="2"/>
  <c r="AN28" i="2"/>
  <c r="W28" i="2"/>
  <c r="M28" i="2" s="1"/>
  <c r="V28" i="2"/>
  <c r="U28" i="2"/>
  <c r="K28" i="2" s="1"/>
  <c r="T28" i="2"/>
  <c r="S28" i="2"/>
  <c r="R28" i="2"/>
  <c r="Q28" i="2"/>
  <c r="P28" i="2"/>
  <c r="O28" i="2"/>
  <c r="E28" i="2" s="1"/>
  <c r="AI28" i="2" s="1"/>
  <c r="L28" i="2"/>
  <c r="AP28" i="2" s="1"/>
  <c r="J28" i="2"/>
  <c r="I28" i="2"/>
  <c r="AM28" i="2" s="1"/>
  <c r="H28" i="2"/>
  <c r="AL28" i="2" s="1"/>
  <c r="G28" i="2"/>
  <c r="AK28" i="2" s="1"/>
  <c r="F28" i="2"/>
  <c r="AJ28" i="2" s="1"/>
  <c r="AQ27" i="2"/>
  <c r="W27" i="2"/>
  <c r="M27" i="2" s="1"/>
  <c r="V27" i="2"/>
  <c r="U27" i="2"/>
  <c r="T27" i="2"/>
  <c r="S27" i="2"/>
  <c r="R27" i="2"/>
  <c r="Q27" i="2"/>
  <c r="G27" i="2" s="1"/>
  <c r="AK27" i="2" s="1"/>
  <c r="P27" i="2"/>
  <c r="O27" i="2"/>
  <c r="E27" i="2" s="1"/>
  <c r="AI27" i="2" s="1"/>
  <c r="L27" i="2"/>
  <c r="AP27" i="2" s="1"/>
  <c r="K27" i="2"/>
  <c r="J27" i="2"/>
  <c r="AN27" i="2" s="1"/>
  <c r="I27" i="2"/>
  <c r="AM27" i="2" s="1"/>
  <c r="H27" i="2"/>
  <c r="AL27" i="2" s="1"/>
  <c r="F27" i="2"/>
  <c r="AJ27" i="2" s="1"/>
  <c r="W26" i="2"/>
  <c r="V26" i="2"/>
  <c r="L26" i="2" s="1"/>
  <c r="AP26" i="2" s="1"/>
  <c r="U26" i="2"/>
  <c r="T26" i="2"/>
  <c r="J26" i="2" s="1"/>
  <c r="AN26" i="2" s="1"/>
  <c r="S26" i="2"/>
  <c r="R26" i="2"/>
  <c r="Q26" i="2"/>
  <c r="P26" i="2"/>
  <c r="F26" i="2" s="1"/>
  <c r="AJ26" i="2" s="1"/>
  <c r="O26" i="2"/>
  <c r="M26" i="2"/>
  <c r="AQ26" i="2" s="1"/>
  <c r="K26" i="2"/>
  <c r="I26" i="2"/>
  <c r="AM26" i="2" s="1"/>
  <c r="H26" i="2"/>
  <c r="AL26" i="2" s="1"/>
  <c r="G26" i="2"/>
  <c r="AK26" i="2" s="1"/>
  <c r="E26" i="2"/>
  <c r="AI26" i="2" s="1"/>
  <c r="AK25" i="2"/>
  <c r="AI25" i="2"/>
  <c r="W25" i="2"/>
  <c r="V25" i="2"/>
  <c r="L25" i="2" s="1"/>
  <c r="AP25" i="2" s="1"/>
  <c r="U25" i="2"/>
  <c r="T25" i="2"/>
  <c r="S25" i="2"/>
  <c r="R25" i="2"/>
  <c r="H25" i="2" s="1"/>
  <c r="AL25" i="2" s="1"/>
  <c r="Q25" i="2"/>
  <c r="P25" i="2"/>
  <c r="F25" i="2" s="1"/>
  <c r="AJ25" i="2" s="1"/>
  <c r="O25" i="2"/>
  <c r="M25" i="2"/>
  <c r="AQ25" i="2" s="1"/>
  <c r="K25" i="2"/>
  <c r="J25" i="2"/>
  <c r="AN25" i="2" s="1"/>
  <c r="I25" i="2"/>
  <c r="AM25" i="2" s="1"/>
  <c r="G25" i="2"/>
  <c r="E25" i="2"/>
  <c r="AM24" i="2"/>
  <c r="AK24" i="2"/>
  <c r="AI24" i="2"/>
  <c r="W24" i="2"/>
  <c r="V24" i="2"/>
  <c r="U24" i="2"/>
  <c r="T24" i="2"/>
  <c r="J24" i="2" s="1"/>
  <c r="AN24" i="2" s="1"/>
  <c r="S24" i="2"/>
  <c r="R24" i="2"/>
  <c r="H24" i="2" s="1"/>
  <c r="AL24" i="2" s="1"/>
  <c r="Q24" i="2"/>
  <c r="P24" i="2"/>
  <c r="F24" i="2" s="1"/>
  <c r="AJ24" i="2" s="1"/>
  <c r="O24" i="2"/>
  <c r="M24" i="2"/>
  <c r="AQ24" i="2" s="1"/>
  <c r="L24" i="2"/>
  <c r="AP24" i="2" s="1"/>
  <c r="K24" i="2"/>
  <c r="I24" i="2"/>
  <c r="G24" i="2"/>
  <c r="E24" i="2"/>
  <c r="AM23" i="2"/>
  <c r="AK23" i="2"/>
  <c r="W23" i="2"/>
  <c r="V23" i="2"/>
  <c r="L23" i="2" s="1"/>
  <c r="AP23" i="2" s="1"/>
  <c r="U23" i="2"/>
  <c r="T23" i="2"/>
  <c r="J23" i="2" s="1"/>
  <c r="AN23" i="2" s="1"/>
  <c r="S23" i="2"/>
  <c r="R23" i="2"/>
  <c r="H23" i="2" s="1"/>
  <c r="AL23" i="2" s="1"/>
  <c r="Q23" i="2"/>
  <c r="P23" i="2"/>
  <c r="O23" i="2"/>
  <c r="M23" i="2"/>
  <c r="AQ23" i="2" s="1"/>
  <c r="K23" i="2"/>
  <c r="I23" i="2"/>
  <c r="G23" i="2"/>
  <c r="F23" i="2"/>
  <c r="AJ23" i="2" s="1"/>
  <c r="E23" i="2"/>
  <c r="AI23" i="2" s="1"/>
  <c r="AM22" i="2"/>
  <c r="AI22" i="2"/>
  <c r="W22" i="2"/>
  <c r="V22" i="2"/>
  <c r="L22" i="2" s="1"/>
  <c r="AP22" i="2" s="1"/>
  <c r="U22" i="2"/>
  <c r="T22" i="2"/>
  <c r="J22" i="2" s="1"/>
  <c r="AN22" i="2" s="1"/>
  <c r="S22" i="2"/>
  <c r="R22" i="2"/>
  <c r="Q22" i="2"/>
  <c r="P22" i="2"/>
  <c r="F22" i="2" s="1"/>
  <c r="AJ22" i="2" s="1"/>
  <c r="O22" i="2"/>
  <c r="M22" i="2"/>
  <c r="AQ22" i="2" s="1"/>
  <c r="K22" i="2"/>
  <c r="I22" i="2"/>
  <c r="H22" i="2"/>
  <c r="AL22" i="2" s="1"/>
  <c r="G22" i="2"/>
  <c r="AK22" i="2" s="1"/>
  <c r="E22" i="2"/>
  <c r="AK21" i="2"/>
  <c r="AI21" i="2"/>
  <c r="W21" i="2"/>
  <c r="V21" i="2"/>
  <c r="L21" i="2" s="1"/>
  <c r="AP21" i="2" s="1"/>
  <c r="U21" i="2"/>
  <c r="T21" i="2"/>
  <c r="S21" i="2"/>
  <c r="R21" i="2"/>
  <c r="H21" i="2" s="1"/>
  <c r="AL21" i="2" s="1"/>
  <c r="Q21" i="2"/>
  <c r="P21" i="2"/>
  <c r="F21" i="2" s="1"/>
  <c r="AJ21" i="2" s="1"/>
  <c r="O21" i="2"/>
  <c r="M21" i="2"/>
  <c r="AQ21" i="2" s="1"/>
  <c r="K21" i="2"/>
  <c r="J21" i="2"/>
  <c r="AN21" i="2" s="1"/>
  <c r="I21" i="2"/>
  <c r="AM21" i="2" s="1"/>
  <c r="G21" i="2"/>
  <c r="E21" i="2"/>
  <c r="AM20" i="2"/>
  <c r="AK20" i="2"/>
  <c r="AI20" i="2"/>
  <c r="W20" i="2"/>
  <c r="V20" i="2"/>
  <c r="U20" i="2"/>
  <c r="T20" i="2"/>
  <c r="J20" i="2" s="1"/>
  <c r="AN20" i="2" s="1"/>
  <c r="S20" i="2"/>
  <c r="R20" i="2"/>
  <c r="H20" i="2" s="1"/>
  <c r="AL20" i="2" s="1"/>
  <c r="Q20" i="2"/>
  <c r="P20" i="2"/>
  <c r="F20" i="2" s="1"/>
  <c r="AJ20" i="2" s="1"/>
  <c r="O20" i="2"/>
  <c r="M20" i="2"/>
  <c r="AQ20" i="2" s="1"/>
  <c r="L20" i="2"/>
  <c r="AP20" i="2" s="1"/>
  <c r="K20" i="2"/>
  <c r="I20" i="2"/>
  <c r="G20" i="2"/>
  <c r="E20" i="2"/>
  <c r="AM19" i="2"/>
  <c r="AK19" i="2"/>
  <c r="W19" i="2"/>
  <c r="V19" i="2"/>
  <c r="L19" i="2" s="1"/>
  <c r="AP19" i="2" s="1"/>
  <c r="U19" i="2"/>
  <c r="T19" i="2"/>
  <c r="J19" i="2" s="1"/>
  <c r="AN19" i="2" s="1"/>
  <c r="S19" i="2"/>
  <c r="R19" i="2"/>
  <c r="H19" i="2" s="1"/>
  <c r="AL19" i="2" s="1"/>
  <c r="Q19" i="2"/>
  <c r="P19" i="2"/>
  <c r="O19" i="2"/>
  <c r="M19" i="2"/>
  <c r="AQ19" i="2" s="1"/>
  <c r="K19" i="2"/>
  <c r="I19" i="2"/>
  <c r="G19" i="2"/>
  <c r="F19" i="2"/>
  <c r="AJ19" i="2" s="1"/>
  <c r="E19" i="2"/>
  <c r="AI19" i="2" s="1"/>
  <c r="AM18" i="2"/>
  <c r="AI18" i="2"/>
  <c r="W18" i="2"/>
  <c r="V18" i="2"/>
  <c r="L18" i="2" s="1"/>
  <c r="AP18" i="2" s="1"/>
  <c r="U18" i="2"/>
  <c r="T18" i="2"/>
  <c r="J18" i="2" s="1"/>
  <c r="AN18" i="2" s="1"/>
  <c r="S18" i="2"/>
  <c r="R18" i="2"/>
  <c r="Q18" i="2"/>
  <c r="P18" i="2"/>
  <c r="F18" i="2" s="1"/>
  <c r="AJ18" i="2" s="1"/>
  <c r="O18" i="2"/>
  <c r="M18" i="2"/>
  <c r="AQ18" i="2" s="1"/>
  <c r="K18" i="2"/>
  <c r="I18" i="2"/>
  <c r="H18" i="2"/>
  <c r="AL18" i="2" s="1"/>
  <c r="G18" i="2"/>
  <c r="AK18" i="2" s="1"/>
  <c r="E18" i="2"/>
  <c r="AK17" i="2"/>
  <c r="AI17" i="2"/>
  <c r="W17" i="2"/>
  <c r="V17" i="2"/>
  <c r="L17" i="2" s="1"/>
  <c r="AP17" i="2" s="1"/>
  <c r="U17" i="2"/>
  <c r="T17" i="2"/>
  <c r="S17" i="2"/>
  <c r="R17" i="2"/>
  <c r="H17" i="2" s="1"/>
  <c r="AL17" i="2" s="1"/>
  <c r="Q17" i="2"/>
  <c r="P17" i="2"/>
  <c r="F17" i="2" s="1"/>
  <c r="AJ17" i="2" s="1"/>
  <c r="O17" i="2"/>
  <c r="M17" i="2"/>
  <c r="AQ17" i="2" s="1"/>
  <c r="K17" i="2"/>
  <c r="J17" i="2"/>
  <c r="AN17" i="2" s="1"/>
  <c r="I17" i="2"/>
  <c r="AM17" i="2" s="1"/>
  <c r="G17" i="2"/>
  <c r="E17" i="2"/>
  <c r="AM16" i="2"/>
  <c r="AK16" i="2"/>
  <c r="AI16" i="2"/>
  <c r="W16" i="2"/>
  <c r="V16" i="2"/>
  <c r="U16" i="2"/>
  <c r="T16" i="2"/>
  <c r="J16" i="2" s="1"/>
  <c r="AN16" i="2" s="1"/>
  <c r="S16" i="2"/>
  <c r="R16" i="2"/>
  <c r="H16" i="2" s="1"/>
  <c r="AL16" i="2" s="1"/>
  <c r="Q16" i="2"/>
  <c r="P16" i="2"/>
  <c r="F16" i="2" s="1"/>
  <c r="AJ16" i="2" s="1"/>
  <c r="O16" i="2"/>
  <c r="M16" i="2"/>
  <c r="AQ16" i="2" s="1"/>
  <c r="L16" i="2"/>
  <c r="AP16" i="2" s="1"/>
  <c r="K16" i="2"/>
  <c r="I16" i="2"/>
  <c r="G16" i="2"/>
  <c r="E16" i="2"/>
  <c r="AM15" i="2"/>
  <c r="AK15" i="2"/>
  <c r="W15" i="2"/>
  <c r="V15" i="2"/>
  <c r="L15" i="2" s="1"/>
  <c r="AP15" i="2" s="1"/>
  <c r="U15" i="2"/>
  <c r="T15" i="2"/>
  <c r="J15" i="2" s="1"/>
  <c r="AN15" i="2" s="1"/>
  <c r="S15" i="2"/>
  <c r="R15" i="2"/>
  <c r="H15" i="2" s="1"/>
  <c r="AL15" i="2" s="1"/>
  <c r="Q15" i="2"/>
  <c r="P15" i="2"/>
  <c r="O15" i="2"/>
  <c r="M15" i="2"/>
  <c r="AQ15" i="2" s="1"/>
  <c r="K15" i="2"/>
  <c r="I15" i="2"/>
  <c r="G15" i="2"/>
  <c r="F15" i="2"/>
  <c r="AJ15" i="2" s="1"/>
  <c r="E15" i="2"/>
  <c r="AI15" i="2" s="1"/>
  <c r="AM14" i="2"/>
  <c r="AI14" i="2"/>
  <c r="W14" i="2"/>
  <c r="V14" i="2"/>
  <c r="L14" i="2" s="1"/>
  <c r="AP14" i="2" s="1"/>
  <c r="U14" i="2"/>
  <c r="T14" i="2"/>
  <c r="J14" i="2" s="1"/>
  <c r="AN14" i="2" s="1"/>
  <c r="S14" i="2"/>
  <c r="R14" i="2"/>
  <c r="Q14" i="2"/>
  <c r="P14" i="2"/>
  <c r="F14" i="2" s="1"/>
  <c r="AJ14" i="2" s="1"/>
  <c r="O14" i="2"/>
  <c r="M14" i="2"/>
  <c r="AQ14" i="2" s="1"/>
  <c r="K14" i="2"/>
  <c r="I14" i="2"/>
  <c r="H14" i="2"/>
  <c r="AL14" i="2" s="1"/>
  <c r="G14" i="2"/>
  <c r="AK14" i="2" s="1"/>
  <c r="E14" i="2"/>
  <c r="AK13" i="2"/>
  <c r="AI13" i="2"/>
  <c r="W13" i="2"/>
  <c r="V13" i="2"/>
  <c r="L13" i="2" s="1"/>
  <c r="AP13" i="2" s="1"/>
  <c r="U13" i="2"/>
  <c r="T13" i="2"/>
  <c r="S13" i="2"/>
  <c r="R13" i="2"/>
  <c r="H13" i="2" s="1"/>
  <c r="AL13" i="2" s="1"/>
  <c r="Q13" i="2"/>
  <c r="P13" i="2"/>
  <c r="F13" i="2" s="1"/>
  <c r="AJ13" i="2" s="1"/>
  <c r="O13" i="2"/>
  <c r="M13" i="2"/>
  <c r="AQ13" i="2" s="1"/>
  <c r="K13" i="2"/>
  <c r="J13" i="2"/>
  <c r="AN13" i="2" s="1"/>
  <c r="I13" i="2"/>
  <c r="AM13" i="2" s="1"/>
  <c r="G13" i="2"/>
  <c r="E13" i="2"/>
  <c r="AM12" i="2"/>
  <c r="AK12" i="2"/>
  <c r="AI12" i="2"/>
  <c r="W12" i="2"/>
  <c r="V12" i="2"/>
  <c r="U12" i="2"/>
  <c r="T12" i="2"/>
  <c r="J12" i="2" s="1"/>
  <c r="AN12" i="2" s="1"/>
  <c r="S12" i="2"/>
  <c r="R12" i="2"/>
  <c r="H12" i="2" s="1"/>
  <c r="AL12" i="2" s="1"/>
  <c r="Q12" i="2"/>
  <c r="P12" i="2"/>
  <c r="F12" i="2" s="1"/>
  <c r="AJ12" i="2" s="1"/>
  <c r="O12" i="2"/>
  <c r="M12" i="2"/>
  <c r="AQ12" i="2" s="1"/>
  <c r="L12" i="2"/>
  <c r="AP12" i="2" s="1"/>
  <c r="K12" i="2"/>
  <c r="I12" i="2"/>
  <c r="G12" i="2"/>
  <c r="E12" i="2"/>
  <c r="AM11" i="2"/>
  <c r="AK11" i="2"/>
  <c r="W11" i="2"/>
  <c r="V11" i="2"/>
  <c r="L11" i="2" s="1"/>
  <c r="AP11" i="2" s="1"/>
  <c r="U11" i="2"/>
  <c r="T11" i="2"/>
  <c r="J11" i="2" s="1"/>
  <c r="AN11" i="2" s="1"/>
  <c r="S11" i="2"/>
  <c r="R11" i="2"/>
  <c r="H11" i="2" s="1"/>
  <c r="AL11" i="2" s="1"/>
  <c r="Q11" i="2"/>
  <c r="P11" i="2"/>
  <c r="O11" i="2"/>
  <c r="M11" i="2"/>
  <c r="AQ11" i="2" s="1"/>
  <c r="K11" i="2"/>
  <c r="I11" i="2"/>
  <c r="G11" i="2"/>
  <c r="F11" i="2"/>
  <c r="AJ11" i="2" s="1"/>
  <c r="E11" i="2"/>
  <c r="AI11" i="2" s="1"/>
  <c r="AM10" i="2"/>
  <c r="W10" i="2"/>
  <c r="V10" i="2"/>
  <c r="L10" i="2" s="1"/>
  <c r="AP10" i="2" s="1"/>
  <c r="U10" i="2"/>
  <c r="T10" i="2"/>
  <c r="J10" i="2" s="1"/>
  <c r="AN10" i="2" s="1"/>
  <c r="S10" i="2"/>
  <c r="R10" i="2"/>
  <c r="Q10" i="2"/>
  <c r="P10" i="2"/>
  <c r="F10" i="2" s="1"/>
  <c r="AJ10" i="2" s="1"/>
  <c r="O10" i="2"/>
  <c r="M10" i="2"/>
  <c r="AQ10" i="2" s="1"/>
  <c r="K10" i="2"/>
  <c r="I10" i="2"/>
  <c r="H10" i="2"/>
  <c r="AL10" i="2" s="1"/>
  <c r="G10" i="2"/>
  <c r="AK10" i="2" s="1"/>
  <c r="E10" i="2"/>
  <c r="AI10" i="2" s="1"/>
  <c r="AI9" i="2"/>
  <c r="W9" i="2"/>
  <c r="V9" i="2"/>
  <c r="L9" i="2" s="1"/>
  <c r="AP9" i="2" s="1"/>
  <c r="U9" i="2"/>
  <c r="T9" i="2"/>
  <c r="S9" i="2"/>
  <c r="R9" i="2"/>
  <c r="H9" i="2" s="1"/>
  <c r="AL9" i="2" s="1"/>
  <c r="Q9" i="2"/>
  <c r="P9" i="2"/>
  <c r="F9" i="2" s="1"/>
  <c r="AJ9" i="2" s="1"/>
  <c r="O9" i="2"/>
  <c r="M9" i="2"/>
  <c r="AQ9" i="2" s="1"/>
  <c r="K9" i="2"/>
  <c r="J9" i="2"/>
  <c r="AN9" i="2" s="1"/>
  <c r="I9" i="2"/>
  <c r="AM9" i="2" s="1"/>
  <c r="G9" i="2"/>
  <c r="AK9" i="2" s="1"/>
  <c r="E9" i="2"/>
  <c r="V8" i="2"/>
  <c r="U8" i="2"/>
  <c r="T8" i="2"/>
  <c r="S8" i="2"/>
  <c r="I8" i="2" s="1"/>
  <c r="AM8" i="2" s="1"/>
  <c r="R8" i="2"/>
  <c r="Q8" i="2"/>
  <c r="G8" i="2" s="1"/>
  <c r="AK8" i="2" s="1"/>
  <c r="P8" i="2"/>
  <c r="O8" i="2"/>
  <c r="E8" i="2" s="1"/>
  <c r="AI8" i="2" s="1"/>
  <c r="M8" i="2"/>
  <c r="AQ8" i="2" s="1"/>
  <c r="L8" i="2"/>
  <c r="AP8" i="2" s="1"/>
  <c r="K8" i="2"/>
  <c r="J8" i="2"/>
  <c r="AN8" i="2" s="1"/>
  <c r="H8" i="2"/>
  <c r="AL8" i="2" s="1"/>
  <c r="F8" i="2"/>
  <c r="AJ8" i="2" s="1"/>
  <c r="AL7" i="2"/>
  <c r="AJ7" i="2"/>
  <c r="W7" i="2"/>
  <c r="V7" i="2"/>
  <c r="U7" i="2"/>
  <c r="K7" i="2" s="1"/>
  <c r="T7" i="2"/>
  <c r="S7" i="2"/>
  <c r="I7" i="2" s="1"/>
  <c r="AM7" i="2" s="1"/>
  <c r="R7" i="2"/>
  <c r="Q7" i="2"/>
  <c r="G7" i="2" s="1"/>
  <c r="AK7" i="2" s="1"/>
  <c r="P7" i="2"/>
  <c r="O7" i="2"/>
  <c r="M7" i="2"/>
  <c r="AQ7" i="2" s="1"/>
  <c r="L7" i="2"/>
  <c r="AP7" i="2" s="1"/>
  <c r="J7" i="2"/>
  <c r="AN7" i="2" s="1"/>
  <c r="H7" i="2"/>
  <c r="F7" i="2"/>
  <c r="E7" i="2"/>
  <c r="AI7" i="2" s="1"/>
  <c r="AN6" i="2"/>
  <c r="AL6" i="2"/>
  <c r="W6" i="2"/>
  <c r="M6" i="2" s="1"/>
  <c r="AQ6" i="2" s="1"/>
  <c r="V6" i="2"/>
  <c r="U6" i="2"/>
  <c r="K6" i="2" s="1"/>
  <c r="T6" i="2"/>
  <c r="S6" i="2"/>
  <c r="I6" i="2" s="1"/>
  <c r="AM6" i="2" s="1"/>
  <c r="R6" i="2"/>
  <c r="Q6" i="2"/>
  <c r="P6" i="2"/>
  <c r="O6" i="2"/>
  <c r="E6" i="2" s="1"/>
  <c r="AI6" i="2" s="1"/>
  <c r="L6" i="2"/>
  <c r="AP6" i="2" s="1"/>
  <c r="J6" i="2"/>
  <c r="H6" i="2"/>
  <c r="G6" i="2"/>
  <c r="AK6" i="2" s="1"/>
  <c r="F6" i="2"/>
  <c r="AJ6" i="2" s="1"/>
  <c r="AN5" i="2"/>
  <c r="W5" i="2"/>
  <c r="W48" i="2" s="1"/>
  <c r="V5" i="2"/>
  <c r="U5" i="2"/>
  <c r="K5" i="2" s="1"/>
  <c r="T5" i="2"/>
  <c r="S5" i="2"/>
  <c r="R5" i="2"/>
  <c r="Q5" i="2"/>
  <c r="G5" i="2" s="1"/>
  <c r="AK5" i="2" s="1"/>
  <c r="P5" i="2"/>
  <c r="O5" i="2"/>
  <c r="O48" i="2" s="1"/>
  <c r="L5" i="2"/>
  <c r="AP5" i="2" s="1"/>
  <c r="J5" i="2"/>
  <c r="I5" i="2"/>
  <c r="AM5" i="2" s="1"/>
  <c r="H5" i="2"/>
  <c r="AL5" i="2" s="1"/>
  <c r="F5" i="2"/>
  <c r="AJ5" i="2" s="1"/>
  <c r="AQ4" i="2"/>
  <c r="V4" i="2"/>
  <c r="U4" i="2"/>
  <c r="U48" i="2" s="1"/>
  <c r="T4" i="2"/>
  <c r="S4" i="2"/>
  <c r="R4" i="2"/>
  <c r="R48" i="2" s="1"/>
  <c r="Q4" i="2"/>
  <c r="P4" i="2"/>
  <c r="P48" i="2" s="1"/>
  <c r="M4" i="2"/>
  <c r="L4" i="2"/>
  <c r="K4" i="2"/>
  <c r="I4" i="2"/>
  <c r="AM4" i="2" s="1"/>
  <c r="G4" i="2"/>
  <c r="F4" i="2"/>
  <c r="AJ4" i="2" s="1"/>
  <c r="E4" i="2"/>
  <c r="L48" i="2" l="1"/>
  <c r="AC48" i="8"/>
  <c r="I48" i="2"/>
  <c r="T48" i="2"/>
  <c r="H4" i="2"/>
  <c r="S48" i="2"/>
  <c r="J4" i="2"/>
  <c r="K48" i="2"/>
  <c r="AP4" i="2"/>
  <c r="AF48" i="8"/>
  <c r="AE7" i="6"/>
  <c r="V48" i="2"/>
  <c r="AG48" i="8"/>
  <c r="M48" i="2"/>
  <c r="AI4" i="2"/>
  <c r="E5" i="2"/>
  <c r="AI5" i="2" s="1"/>
  <c r="M5" i="2"/>
  <c r="AQ5" i="2" s="1"/>
  <c r="AH48" i="8"/>
  <c r="F48" i="2"/>
  <c r="AI48" i="8"/>
  <c r="AD48" i="8"/>
  <c r="G48" i="2"/>
  <c r="Q48" i="2"/>
  <c r="AK4" i="2"/>
  <c r="AE48" i="8"/>
  <c r="V14" i="4"/>
  <c r="J48" i="2" l="1"/>
  <c r="AN4" i="2"/>
  <c r="E48" i="2"/>
  <c r="H48" i="2"/>
  <c r="AL4" i="2"/>
  <c r="AQ48" i="2" s="1"/>
  <c r="AK48" i="8"/>
</calcChain>
</file>

<file path=xl/sharedStrings.xml><?xml version="1.0" encoding="utf-8"?>
<sst xmlns="http://schemas.openxmlformats.org/spreadsheetml/2006/main" count="505" uniqueCount="182">
  <si>
    <t>Arch Cape Creek</t>
  </si>
  <si>
    <t>45°48'12.8"N 123°55'38.7"W</t>
  </si>
  <si>
    <t>Coal Creek</t>
  </si>
  <si>
    <t>45°48'08.7"N 123°52'38.3"W</t>
  </si>
  <si>
    <t>Grassy Lake Creek</t>
  </si>
  <si>
    <t>45°48'11.0"N 123°50'08.7"W</t>
  </si>
  <si>
    <t>Necanicum Hwy</t>
  </si>
  <si>
    <t>45°48'15.6"N 123°46'50.3"W</t>
  </si>
  <si>
    <t>Lost Creek</t>
  </si>
  <si>
    <t>45°48'06.7"N 123°43'14.7"W</t>
  </si>
  <si>
    <t>Osweg Creek</t>
  </si>
  <si>
    <t>45°50'57.4"N 123°32'15.2"W</t>
  </si>
  <si>
    <t>Military Creek</t>
  </si>
  <si>
    <t>45°48'54.6"N 123°29'21.2"W</t>
  </si>
  <si>
    <t>Northrup Creek Rd</t>
  </si>
  <si>
    <t>45°58'11.2"N 123°25'22.5"W</t>
  </si>
  <si>
    <t>Cooperage Rd</t>
  </si>
  <si>
    <t>46°01'22.9"N 123°37'30.5"W</t>
  </si>
  <si>
    <t>California Barrel Rd</t>
  </si>
  <si>
    <t>46°03'39.4"N 123°40'26.0"W</t>
  </si>
  <si>
    <t>46°06'24.0"N 123°44'15.0"W</t>
  </si>
  <si>
    <t>Nehalem</t>
  </si>
  <si>
    <t xml:space="preserve">46°04'58.8"N 123°41'33.6"W </t>
  </si>
  <si>
    <t>Neverstill Rd</t>
  </si>
  <si>
    <t>45°59'33.2"N 123°20'04.7"W</t>
  </si>
  <si>
    <t>Clatsop County, Oregon</t>
  </si>
  <si>
    <t>Wallace Rd</t>
  </si>
  <si>
    <t>45°59'37.7"N 123°16'32.7"W</t>
  </si>
  <si>
    <t>Mist</t>
  </si>
  <si>
    <t>46°01'05.0"N 123°14'44.0"W</t>
  </si>
  <si>
    <t>Lindgren</t>
  </si>
  <si>
    <t>46°01'54.1"N 123°14'50.1"W</t>
  </si>
  <si>
    <t>46°04'58.2"N 123°15'29.1"W</t>
  </si>
  <si>
    <t>Fall</t>
  </si>
  <si>
    <t>Black</t>
  </si>
  <si>
    <t>45°56'27.2"N 123°10'17.7"W</t>
  </si>
  <si>
    <t>Pittsburg</t>
  </si>
  <si>
    <t>45°54'04.5"N 123°08'26.5"W</t>
  </si>
  <si>
    <t>McDonald</t>
  </si>
  <si>
    <t>45°47'38.5"N 123°13'01.4"W</t>
  </si>
  <si>
    <t>Columbia F</t>
  </si>
  <si>
    <t>45°52'02.5"N 123°07'06.4"W</t>
  </si>
  <si>
    <t>45°50'04.9"N 123°00'40.1"W</t>
  </si>
  <si>
    <t>46°00'28.1"N 123°02'42.1"W</t>
  </si>
  <si>
    <t>45°54'13.2"N 123°51'14.8"W</t>
  </si>
  <si>
    <t>45°44'29.2"N 123°49'37.0"W</t>
  </si>
  <si>
    <t>Tillamook County, Oregon</t>
  </si>
  <si>
    <t>Columbia County, Oregon</t>
  </si>
  <si>
    <t>45°41'29.6"N 123°51'48.1"W</t>
  </si>
  <si>
    <t>45°35'02.5"N 123°51'41.7"W</t>
  </si>
  <si>
    <t>45°32'32.4"N 123°40'46.2"W</t>
  </si>
  <si>
    <t>45°35'13.3"N 123°31'55.3"W</t>
  </si>
  <si>
    <t>45°36'34.6"N 123°24'01.4"W</t>
  </si>
  <si>
    <t>45°16'56.2"N 123°49'10.3"W</t>
  </si>
  <si>
    <t>45°11'53.7"N 123°49'51.9"W</t>
  </si>
  <si>
    <t>45°08'54.2"N 123°57'27.2"W</t>
  </si>
  <si>
    <t>45°21'20.7"N 123°37'11.2"W</t>
  </si>
  <si>
    <t>Washington County, Oregon</t>
  </si>
  <si>
    <t>45°42'55.0"N 123°11'56.7"W</t>
  </si>
  <si>
    <t>45°42'11.6"N 123°12'11.2"W</t>
  </si>
  <si>
    <t>45°38'56.1"N 123°19'31.5"W</t>
  </si>
  <si>
    <t>45°31'59.4"N 123°11'25.6"W</t>
  </si>
  <si>
    <t>45°31'25.9"N 123°21'27.5"W</t>
  </si>
  <si>
    <t>45°29'30.4"N 123°24'56.0"W</t>
  </si>
  <si>
    <t>45°28'06.9"N 123°16'02.8"W</t>
  </si>
  <si>
    <t>45°44'49.1"N 123°03'45.8"W</t>
  </si>
  <si>
    <t>Palmer Rd</t>
  </si>
  <si>
    <t>Sunset</t>
  </si>
  <si>
    <t>Scappoose</t>
  </si>
  <si>
    <t>Clatskanie</t>
  </si>
  <si>
    <t>Gravel</t>
  </si>
  <si>
    <t>Wheeler</t>
  </si>
  <si>
    <t>Foley</t>
  </si>
  <si>
    <t>Berry</t>
  </si>
  <si>
    <t>Ben</t>
  </si>
  <si>
    <t>Rutherford</t>
  </si>
  <si>
    <t>Jackson</t>
  </si>
  <si>
    <t>Three Rivers</t>
  </si>
  <si>
    <t>Oretown</t>
  </si>
  <si>
    <t>South Fork</t>
  </si>
  <si>
    <t>West Fork</t>
  </si>
  <si>
    <t>West Fork Dairy</t>
  </si>
  <si>
    <t>Wilson River</t>
  </si>
  <si>
    <t>Sylvia</t>
  </si>
  <si>
    <t>Stimson</t>
  </si>
  <si>
    <t>William Rd</t>
  </si>
  <si>
    <t>SW Summit</t>
  </si>
  <si>
    <t>Panther</t>
  </si>
  <si>
    <t>Harvesting site</t>
  </si>
  <si>
    <t>Fb 8n</t>
  </si>
  <si>
    <t>45°38'41.0"N 123°38'53.4"W</t>
  </si>
  <si>
    <t>45°47'49.9"N 123°49'01.5"W</t>
  </si>
  <si>
    <t>46°03'48.6"N 123°41'19.9"W</t>
  </si>
  <si>
    <t>45°59'35.7"N 123°15'20.8"W</t>
  </si>
  <si>
    <t>45°50'27.0"N 123°12'55.0"W</t>
  </si>
  <si>
    <t>45°36'38.9"N 123°14'29.2"W</t>
  </si>
  <si>
    <t>45°20'51.6"N 123°48'56.7"W</t>
  </si>
  <si>
    <t>45°37'21.0"N 123°51'22.7"W</t>
  </si>
  <si>
    <t>North Fork</t>
  </si>
  <si>
    <t>Nehalem HN</t>
  </si>
  <si>
    <t>Timber Rd</t>
  </si>
  <si>
    <t>Fir</t>
  </si>
  <si>
    <t>Wilson</t>
  </si>
  <si>
    <t>Collecting site</t>
  </si>
  <si>
    <t>45°47'22.1"N 123°49'04.7"W</t>
  </si>
  <si>
    <t>45°55'24.1"N 123°29'33.1"W</t>
  </si>
  <si>
    <t>Neha</t>
  </si>
  <si>
    <t>45°59'05.3"N 123°14'45.5"W</t>
  </si>
  <si>
    <t>Pit</t>
  </si>
  <si>
    <t>45°54'27.2"N 123°07'53.3"W</t>
  </si>
  <si>
    <t>Cedar</t>
  </si>
  <si>
    <t>45°21'10.3"N 123°48'37.3"W</t>
  </si>
  <si>
    <t>Minich</t>
  </si>
  <si>
    <t>45°35'23.6"N 123°52'25.3"W</t>
  </si>
  <si>
    <t>45°34'57.8"N 123°33'09.3"W</t>
  </si>
  <si>
    <t>Howell</t>
  </si>
  <si>
    <t>45°34'11.4"N 123°11'56.8"W</t>
  </si>
  <si>
    <t>45°41'09.9"N 123°11'48.3"W</t>
  </si>
  <si>
    <t>45°27'57.0"N 123°45'47.8"W</t>
  </si>
  <si>
    <t>Fishhawk</t>
  </si>
  <si>
    <t>45°56'31.2"N 123°32'04.8"W</t>
  </si>
  <si>
    <t>45°55'13.7"N 123°08'25.0"W</t>
  </si>
  <si>
    <t>Dandy</t>
  </si>
  <si>
    <t>45°39'09.7"N 123°08'40.9"W</t>
  </si>
  <si>
    <t>City</t>
  </si>
  <si>
    <t>Population</t>
  </si>
  <si>
    <t>Astoria, Clatsop County</t>
  </si>
  <si>
    <t>St. Helens,Columbia County</t>
  </si>
  <si>
    <t>Tillamook, Tillamook County</t>
  </si>
  <si>
    <t>Portland, Washington County</t>
  </si>
  <si>
    <t>Fixed Refiney</t>
  </si>
  <si>
    <t>3950 NW 264th Ave Hillsboro, OR 97124</t>
  </si>
  <si>
    <t>Warehouse 01</t>
  </si>
  <si>
    <t xml:space="preserve">55 SW 345th Ave Cornelius, OR 97123 </t>
  </si>
  <si>
    <t>Warehouse 02</t>
  </si>
  <si>
    <t>S Union Ridge Pkwy Ridgefield, WA 98642</t>
  </si>
  <si>
    <t>Warehouse 03</t>
  </si>
  <si>
    <t xml:space="preserve">1560 Downriver Dr. Woodland, WA 98674 </t>
  </si>
  <si>
    <t>Warehouse 04</t>
  </si>
  <si>
    <t>45°48'31.6"N 122°40'09.5"W</t>
  </si>
  <si>
    <t>45°31'11.3"N 123°02'02.2"W</t>
  </si>
  <si>
    <t>45°54'45.9"N 122°45'09.6"W</t>
  </si>
  <si>
    <t>45°32'52.1"N 122°56'53.5"W</t>
  </si>
  <si>
    <t>i</t>
  </si>
  <si>
    <t>k</t>
  </si>
  <si>
    <t>j</t>
  </si>
  <si>
    <t>l</t>
  </si>
  <si>
    <t>a</t>
  </si>
  <si>
    <t>w</t>
  </si>
  <si>
    <t>j=1</t>
  </si>
  <si>
    <t>j=2</t>
  </si>
  <si>
    <t>j=3</t>
  </si>
  <si>
    <t>j=4</t>
  </si>
  <si>
    <t>j=6</t>
  </si>
  <si>
    <t>j=7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</si>
  <si>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</si>
  <si>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</si>
  <si>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</si>
  <si>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</si>
  <si>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</si>
  <si>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</si>
  <si>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</si>
  <si>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</si>
  <si>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</si>
  <si>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l=1</t>
  </si>
  <si>
    <t>l=2</t>
  </si>
  <si>
    <t>l=3</t>
  </si>
  <si>
    <t>l=4</t>
  </si>
  <si>
    <t>w=1</t>
  </si>
  <si>
    <t>w=2</t>
  </si>
  <si>
    <t>w=3</t>
  </si>
  <si>
    <t>w=4</t>
  </si>
  <si>
    <t>j=5</t>
  </si>
  <si>
    <t>Avail emp.</t>
  </si>
  <si>
    <t>time</t>
  </si>
  <si>
    <t>distanace</t>
  </si>
  <si>
    <t>-</t>
  </si>
  <si>
    <t>dist</t>
  </si>
  <si>
    <t>Necanicum</t>
  </si>
  <si>
    <t>Fish</t>
  </si>
  <si>
    <t>time by truck</t>
  </si>
  <si>
    <t>time by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</si>
</sst>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3" borderId="3" xfId="0" applyFont="1" applyFill="1" applyBorder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3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8"/>
  <sheetViews>
    <sheetView tabSelected="1" workbookViewId="0">
      <selection activeCell="O2" sqref="O2"/>
    </sheetView>
  </sheetViews>
  <sheetFormatPr defaultRowHeight="14.4" x14ac:dyDescent="0.3"/>
  <cols>
    <col min="2" max="2" width="3.6640625" style="1" bestFit="1" customWidth="1"/>
    <col min="3" max="3" width="18.33203125" bestFit="1" customWidth="1"/>
    <col min="4" max="4" width="25.88671875" bestFit="1" customWidth="1"/>
    <col min="5" max="5" width="6.5546875" customWidth="1"/>
    <col min="6" max="6" width="5.6640625" customWidth="1"/>
    <col min="8" max="12" width="5.6640625" customWidth="1"/>
    <col min="13" max="13" width="9" customWidth="1"/>
    <col min="14" max="14" width="5.6640625" customWidth="1"/>
    <col min="15" max="15" width="6.5546875" customWidth="1"/>
    <col min="16" max="16" width="5.6640625" customWidth="1"/>
    <col min="18" max="26" width="5.6640625" customWidth="1"/>
    <col min="28" max="33" width="5.6640625" customWidth="1"/>
  </cols>
  <sheetData>
    <row r="1" spans="1:43" x14ac:dyDescent="0.3">
      <c r="E1" s="22" t="s">
        <v>180</v>
      </c>
      <c r="F1" s="22"/>
      <c r="G1" s="22"/>
      <c r="H1" s="22"/>
      <c r="I1" s="22"/>
      <c r="J1" s="22"/>
      <c r="K1" s="22"/>
      <c r="L1" s="22"/>
      <c r="M1" s="22"/>
      <c r="O1" s="22" t="s">
        <v>181</v>
      </c>
      <c r="P1" s="22"/>
      <c r="Q1" s="22"/>
      <c r="R1" s="22"/>
      <c r="S1" s="22"/>
      <c r="T1" s="22"/>
      <c r="U1" s="22"/>
      <c r="V1" s="22"/>
      <c r="W1" s="22"/>
      <c r="AE1" s="17"/>
    </row>
    <row r="2" spans="1:43" x14ac:dyDescent="0.3">
      <c r="E2" t="s">
        <v>104</v>
      </c>
      <c r="F2" t="s">
        <v>105</v>
      </c>
      <c r="G2" s="11" t="s">
        <v>107</v>
      </c>
      <c r="H2" s="12" t="s">
        <v>109</v>
      </c>
      <c r="I2" s="10" t="s">
        <v>111</v>
      </c>
      <c r="J2" t="s">
        <v>113</v>
      </c>
      <c r="K2" t="s">
        <v>114</v>
      </c>
      <c r="L2" s="7" t="s">
        <v>116</v>
      </c>
      <c r="M2" s="9" t="s">
        <v>117</v>
      </c>
      <c r="N2" s="8"/>
      <c r="O2" t="s">
        <v>104</v>
      </c>
      <c r="P2" t="s">
        <v>105</v>
      </c>
      <c r="Q2" s="11" t="s">
        <v>107</v>
      </c>
      <c r="R2" s="12" t="s">
        <v>109</v>
      </c>
      <c r="S2" s="10" t="s">
        <v>111</v>
      </c>
      <c r="T2" t="s">
        <v>113</v>
      </c>
      <c r="U2" t="s">
        <v>114</v>
      </c>
      <c r="V2" s="7" t="s">
        <v>116</v>
      </c>
      <c r="W2" s="9" t="s">
        <v>117</v>
      </c>
      <c r="X2" t="s">
        <v>176</v>
      </c>
      <c r="Z2" t="s">
        <v>105</v>
      </c>
      <c r="AA2" s="11" t="s">
        <v>107</v>
      </c>
      <c r="AB2" s="12" t="s">
        <v>109</v>
      </c>
      <c r="AC2" s="10" t="s">
        <v>111</v>
      </c>
      <c r="AD2" t="s">
        <v>113</v>
      </c>
      <c r="AE2" t="s">
        <v>114</v>
      </c>
      <c r="AF2" s="7" t="s">
        <v>116</v>
      </c>
      <c r="AG2" s="9" t="s">
        <v>117</v>
      </c>
    </row>
    <row r="3" spans="1:43" x14ac:dyDescent="0.3">
      <c r="A3" t="s">
        <v>143</v>
      </c>
      <c r="B3" s="6" t="s">
        <v>143</v>
      </c>
      <c r="C3" s="4" t="s">
        <v>88</v>
      </c>
      <c r="D3" s="4"/>
      <c r="E3" t="s">
        <v>155</v>
      </c>
      <c r="F3" t="s">
        <v>156</v>
      </c>
      <c r="G3" t="s">
        <v>157</v>
      </c>
      <c r="H3" t="s">
        <v>158</v>
      </c>
      <c r="I3" t="s">
        <v>159</v>
      </c>
      <c r="J3" t="s">
        <v>160</v>
      </c>
      <c r="K3" t="s">
        <v>161</v>
      </c>
      <c r="L3" t="s">
        <v>162</v>
      </c>
      <c r="M3" t="s">
        <v>163</v>
      </c>
      <c r="O3" t="s">
        <v>155</v>
      </c>
      <c r="P3" t="s">
        <v>156</v>
      </c>
      <c r="Q3" t="s">
        <v>157</v>
      </c>
      <c r="R3" t="s">
        <v>158</v>
      </c>
      <c r="S3" t="s">
        <v>159</v>
      </c>
      <c r="T3" t="s">
        <v>160</v>
      </c>
      <c r="U3" t="s">
        <v>161</v>
      </c>
      <c r="V3" t="s">
        <v>162</v>
      </c>
      <c r="W3" t="s">
        <v>163</v>
      </c>
      <c r="Y3" t="s">
        <v>155</v>
      </c>
      <c r="Z3" t="s">
        <v>156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</row>
    <row r="4" spans="1:43" x14ac:dyDescent="0.3">
      <c r="A4">
        <v>1</v>
      </c>
      <c r="B4" s="23" t="s">
        <v>25</v>
      </c>
      <c r="C4" t="s">
        <v>0</v>
      </c>
      <c r="D4" t="s">
        <v>1</v>
      </c>
      <c r="E4">
        <f>O4*(1/0.75)</f>
        <v>1.3333333333333333</v>
      </c>
      <c r="F4">
        <f>P4*(1/0.75)</f>
        <v>1.7555555555555555</v>
      </c>
      <c r="G4">
        <f>Q4*(1/0.75)</f>
        <v>2.3111111111111109</v>
      </c>
      <c r="H4">
        <f>R4*(1/0.75)</f>
        <v>2.5333333333333332</v>
      </c>
      <c r="I4">
        <f t="shared" ref="I4:M4" si="0">S4*(1/0.75)</f>
        <v>2.0888888888888886</v>
      </c>
      <c r="J4">
        <f t="shared" si="0"/>
        <v>1.5111111111111111</v>
      </c>
      <c r="K4">
        <f t="shared" si="0"/>
        <v>2.4</v>
      </c>
      <c r="L4">
        <f t="shared" si="0"/>
        <v>2.4222222222222221</v>
      </c>
      <c r="M4">
        <f t="shared" si="0"/>
        <v>2</v>
      </c>
      <c r="O4">
        <v>1</v>
      </c>
      <c r="P4">
        <f>1+19/60</f>
        <v>1.3166666666666667</v>
      </c>
      <c r="Q4">
        <f>1+44/60</f>
        <v>1.7333333333333334</v>
      </c>
      <c r="R4">
        <f>1+54/60</f>
        <v>1.9</v>
      </c>
      <c r="S4">
        <f>1+34/60</f>
        <v>1.5666666666666667</v>
      </c>
      <c r="T4">
        <f>1+8/60</f>
        <v>1.1333333333333333</v>
      </c>
      <c r="U4">
        <f>1+48/60</f>
        <v>1.8</v>
      </c>
      <c r="V4">
        <f>1+49/60</f>
        <v>1.8166666666666667</v>
      </c>
      <c r="W4">
        <v>1.5</v>
      </c>
      <c r="Y4">
        <v>22.3</v>
      </c>
      <c r="Z4">
        <v>42.8</v>
      </c>
      <c r="AA4">
        <v>61.8</v>
      </c>
      <c r="AB4">
        <v>69.2</v>
      </c>
      <c r="AC4">
        <v>47.7</v>
      </c>
      <c r="AD4">
        <v>28.4</v>
      </c>
      <c r="AF4">
        <v>67.3</v>
      </c>
      <c r="AG4">
        <v>58.5</v>
      </c>
      <c r="AI4">
        <f t="shared" ref="AI4:AI46" si="1">Y4/E4</f>
        <v>16.725000000000001</v>
      </c>
      <c r="AJ4">
        <f t="shared" ref="AJ4:AJ46" si="2">Z4/F4</f>
        <v>24.379746835443036</v>
      </c>
      <c r="AK4">
        <f t="shared" ref="AK4:AK46" si="3">AA4/G4</f>
        <v>26.740384615384617</v>
      </c>
      <c r="AL4">
        <f t="shared" ref="AL4:AL46" si="4">AB4/H4</f>
        <v>27.315789473684212</v>
      </c>
      <c r="AM4">
        <f t="shared" ref="AM4:AM46" si="5">AC4/I4</f>
        <v>22.835106382978729</v>
      </c>
      <c r="AN4">
        <f t="shared" ref="AN4:AN46" si="6">AD4/J4</f>
        <v>18.794117647058822</v>
      </c>
      <c r="AP4">
        <f t="shared" ref="AP4:AP46" si="7">AF4/L4</f>
        <v>27.784403669724771</v>
      </c>
      <c r="AQ4">
        <f t="shared" ref="AQ4:AQ46" si="8">AG4/M4</f>
        <v>29.25</v>
      </c>
    </row>
    <row r="5" spans="1:43" x14ac:dyDescent="0.3">
      <c r="A5">
        <v>2</v>
      </c>
      <c r="B5" s="23"/>
      <c r="C5" t="s">
        <v>2</v>
      </c>
      <c r="D5" t="s">
        <v>3</v>
      </c>
      <c r="E5">
        <f t="shared" ref="E5:E46" si="9">O5*(1/0.75)</f>
        <v>0.8666666666666667</v>
      </c>
      <c r="F5">
        <f t="shared" ref="F5:F46" si="10">P5*(1/0.75)</f>
        <v>1.8222222222222222</v>
      </c>
      <c r="G5">
        <f t="shared" ref="G5:G46" si="11">Q5*(1/0.75)</f>
        <v>2.4</v>
      </c>
      <c r="H5">
        <f t="shared" ref="H5:H46" si="12">R5*(1/0.75)</f>
        <v>2.6222222222222222</v>
      </c>
      <c r="I5">
        <f t="shared" ref="I5:I46" si="13">S5*(1/0.75)</f>
        <v>1.7333333333333334</v>
      </c>
      <c r="J5">
        <f t="shared" ref="J5:J46" si="14">T5*(1/0.75)</f>
        <v>1.1555555555555554</v>
      </c>
      <c r="K5">
        <f t="shared" ref="K5:K46" si="15">U5*(1/0.75)</f>
        <v>2.0444444444444443</v>
      </c>
      <c r="L5">
        <f t="shared" ref="L5:L46" si="16">V5*(1/0.75)</f>
        <v>2.5111111111111111</v>
      </c>
      <c r="M5">
        <f t="shared" ref="M5:M46" si="17">W5*(1/0.75)</f>
        <v>2.1111111111111112</v>
      </c>
      <c r="O5">
        <f>39/60</f>
        <v>0.65</v>
      </c>
      <c r="P5">
        <f>1+22/60</f>
        <v>1.3666666666666667</v>
      </c>
      <c r="Q5">
        <f>1+48/60</f>
        <v>1.8</v>
      </c>
      <c r="R5">
        <f>1+58/60</f>
        <v>1.9666666666666668</v>
      </c>
      <c r="S5">
        <f>1+18/60</f>
        <v>1.3</v>
      </c>
      <c r="T5">
        <f>52/60</f>
        <v>0.8666666666666667</v>
      </c>
      <c r="U5">
        <f>1+32/60</f>
        <v>1.5333333333333332</v>
      </c>
      <c r="V5">
        <f>1+53/60</f>
        <v>1.8833333333333333</v>
      </c>
      <c r="W5">
        <f>1+35/60</f>
        <v>1.5833333333333335</v>
      </c>
      <c r="Y5">
        <v>12.2</v>
      </c>
      <c r="Z5">
        <v>43.2</v>
      </c>
      <c r="AA5">
        <v>62.2</v>
      </c>
      <c r="AB5">
        <v>69.599999999999994</v>
      </c>
      <c r="AC5">
        <v>40.299999999999997</v>
      </c>
      <c r="AD5">
        <v>21</v>
      </c>
      <c r="AF5">
        <v>67.8</v>
      </c>
      <c r="AG5">
        <v>59</v>
      </c>
      <c r="AI5">
        <f t="shared" si="1"/>
        <v>14.076923076923075</v>
      </c>
      <c r="AJ5">
        <f t="shared" si="2"/>
        <v>23.707317073170735</v>
      </c>
      <c r="AK5">
        <f t="shared" si="3"/>
        <v>25.916666666666668</v>
      </c>
      <c r="AL5">
        <f t="shared" si="4"/>
        <v>26.542372881355931</v>
      </c>
      <c r="AM5">
        <f t="shared" si="5"/>
        <v>23.249999999999996</v>
      </c>
      <c r="AN5">
        <f t="shared" si="6"/>
        <v>18.173076923076923</v>
      </c>
      <c r="AP5">
        <f t="shared" si="7"/>
        <v>27</v>
      </c>
      <c r="AQ5">
        <f t="shared" si="8"/>
        <v>27.94736842105263</v>
      </c>
    </row>
    <row r="6" spans="1:43" x14ac:dyDescent="0.3">
      <c r="A6">
        <v>3</v>
      </c>
      <c r="B6" s="23"/>
      <c r="C6" t="s">
        <v>4</v>
      </c>
      <c r="D6" t="s">
        <v>5</v>
      </c>
      <c r="E6">
        <f t="shared" si="9"/>
        <v>0.13333333333333333</v>
      </c>
      <c r="F6">
        <f t="shared" si="10"/>
        <v>1.1111111111111112</v>
      </c>
      <c r="G6">
        <f t="shared" si="11"/>
        <v>1.6666666666666665</v>
      </c>
      <c r="H6">
        <f t="shared" si="12"/>
        <v>1.8888888888888888</v>
      </c>
      <c r="I6">
        <f t="shared" si="13"/>
        <v>1.2444444444444445</v>
      </c>
      <c r="J6">
        <f t="shared" si="14"/>
        <v>0.66666666666666663</v>
      </c>
      <c r="K6">
        <f t="shared" si="15"/>
        <v>1.5555555555555556</v>
      </c>
      <c r="L6">
        <f t="shared" si="16"/>
        <v>1.7777777777777777</v>
      </c>
      <c r="M6">
        <f t="shared" si="17"/>
        <v>1.3777777777777778</v>
      </c>
      <c r="O6">
        <f>6/60</f>
        <v>0.1</v>
      </c>
      <c r="P6">
        <f>50/60</f>
        <v>0.83333333333333337</v>
      </c>
      <c r="Q6">
        <f>1+15/60</f>
        <v>1.25</v>
      </c>
      <c r="R6">
        <f>1+25/60</f>
        <v>1.4166666666666667</v>
      </c>
      <c r="S6">
        <f>56/60</f>
        <v>0.93333333333333335</v>
      </c>
      <c r="T6">
        <f>30/60</f>
        <v>0.5</v>
      </c>
      <c r="U6">
        <f>1+10/60</f>
        <v>1.1666666666666667</v>
      </c>
      <c r="V6">
        <f>1+20/60</f>
        <v>1.3333333333333333</v>
      </c>
      <c r="W6">
        <f>1+2/60</f>
        <v>1.0333333333333334</v>
      </c>
      <c r="Y6">
        <v>1.4</v>
      </c>
      <c r="Z6">
        <v>32.5</v>
      </c>
      <c r="AA6">
        <v>51.5</v>
      </c>
      <c r="AB6">
        <v>58.9</v>
      </c>
      <c r="AC6">
        <v>37.1</v>
      </c>
      <c r="AD6">
        <v>17.8</v>
      </c>
      <c r="AF6">
        <v>57.1</v>
      </c>
      <c r="AG6">
        <v>48.3</v>
      </c>
      <c r="AI6">
        <f t="shared" si="1"/>
        <v>10.5</v>
      </c>
      <c r="AJ6">
        <f t="shared" si="2"/>
        <v>29.25</v>
      </c>
      <c r="AK6">
        <f t="shared" si="3"/>
        <v>30.900000000000002</v>
      </c>
      <c r="AL6">
        <f t="shared" si="4"/>
        <v>31.182352941176472</v>
      </c>
      <c r="AM6">
        <f t="shared" si="5"/>
        <v>29.8125</v>
      </c>
      <c r="AN6">
        <f t="shared" si="6"/>
        <v>26.700000000000003</v>
      </c>
      <c r="AP6">
        <f t="shared" si="7"/>
        <v>32.118750000000006</v>
      </c>
      <c r="AQ6">
        <f t="shared" si="8"/>
        <v>35.056451612903224</v>
      </c>
    </row>
    <row r="7" spans="1:43" x14ac:dyDescent="0.3">
      <c r="A7">
        <v>4</v>
      </c>
      <c r="B7" s="23"/>
      <c r="C7" t="s">
        <v>6</v>
      </c>
      <c r="D7" t="s">
        <v>7</v>
      </c>
      <c r="E7">
        <f t="shared" si="9"/>
        <v>8.8888888888888878E-2</v>
      </c>
      <c r="F7">
        <f t="shared" si="10"/>
        <v>0.88888888888888884</v>
      </c>
      <c r="G7">
        <f t="shared" si="11"/>
        <v>1.4444444444444442</v>
      </c>
      <c r="H7">
        <f t="shared" si="12"/>
        <v>1.6666666666666665</v>
      </c>
      <c r="I7">
        <f t="shared" si="13"/>
        <v>1.2222222222222221</v>
      </c>
      <c r="J7">
        <f t="shared" si="14"/>
        <v>0.64444444444444438</v>
      </c>
      <c r="K7">
        <f t="shared" si="15"/>
        <v>1.5333333333333332</v>
      </c>
      <c r="L7">
        <f t="shared" si="16"/>
        <v>1.5555555555555556</v>
      </c>
      <c r="M7">
        <f t="shared" si="17"/>
        <v>1.1555555555555554</v>
      </c>
      <c r="O7">
        <f>4/60</f>
        <v>6.6666666666666666E-2</v>
      </c>
      <c r="P7">
        <f>40/60</f>
        <v>0.66666666666666663</v>
      </c>
      <c r="Q7">
        <f>1+5/60</f>
        <v>1.0833333333333333</v>
      </c>
      <c r="R7">
        <f>1+15/60</f>
        <v>1.25</v>
      </c>
      <c r="S7">
        <f>55/60</f>
        <v>0.91666666666666663</v>
      </c>
      <c r="T7">
        <f>29/60</f>
        <v>0.48333333333333334</v>
      </c>
      <c r="U7">
        <f>1+9/60</f>
        <v>1.1499999999999999</v>
      </c>
      <c r="V7">
        <f>1+10/60</f>
        <v>1.1666666666666667</v>
      </c>
      <c r="W7">
        <f>52/60</f>
        <v>0.8666666666666667</v>
      </c>
      <c r="Y7">
        <v>2.4</v>
      </c>
      <c r="Z7">
        <v>28.7</v>
      </c>
      <c r="AA7">
        <v>47.7</v>
      </c>
      <c r="AB7">
        <v>55.1</v>
      </c>
      <c r="AC7">
        <v>38.6</v>
      </c>
      <c r="AD7">
        <v>19.3</v>
      </c>
      <c r="AF7">
        <v>53.2</v>
      </c>
      <c r="AG7">
        <v>44.4</v>
      </c>
      <c r="AI7">
        <f t="shared" si="1"/>
        <v>27.000000000000004</v>
      </c>
      <c r="AJ7">
        <f t="shared" si="2"/>
        <v>32.287500000000001</v>
      </c>
      <c r="AK7">
        <f t="shared" si="3"/>
        <v>33.023076923076928</v>
      </c>
      <c r="AL7">
        <f t="shared" si="4"/>
        <v>33.06</v>
      </c>
      <c r="AM7">
        <f t="shared" si="5"/>
        <v>31.581818181818186</v>
      </c>
      <c r="AN7">
        <f t="shared" si="6"/>
        <v>29.948275862068972</v>
      </c>
      <c r="AP7">
        <f t="shared" si="7"/>
        <v>34.200000000000003</v>
      </c>
      <c r="AQ7">
        <f t="shared" si="8"/>
        <v>38.423076923076927</v>
      </c>
    </row>
    <row r="8" spans="1:43" x14ac:dyDescent="0.3">
      <c r="A8">
        <v>5</v>
      </c>
      <c r="B8" s="23"/>
      <c r="C8" t="s">
        <v>8</v>
      </c>
      <c r="D8" t="s">
        <v>9</v>
      </c>
      <c r="E8">
        <f t="shared" si="9"/>
        <v>0.31111111111111112</v>
      </c>
      <c r="F8">
        <f t="shared" si="10"/>
        <v>1.0666666666666667</v>
      </c>
      <c r="G8">
        <f t="shared" si="11"/>
        <v>1.6222222222222222</v>
      </c>
      <c r="H8">
        <f t="shared" si="12"/>
        <v>1.8444444444444443</v>
      </c>
      <c r="I8">
        <f t="shared" si="13"/>
        <v>1.4444444444444442</v>
      </c>
      <c r="J8">
        <f t="shared" si="14"/>
        <v>0.8666666666666667</v>
      </c>
      <c r="K8">
        <f t="shared" si="15"/>
        <v>1.7555555555555555</v>
      </c>
      <c r="L8">
        <f t="shared" si="16"/>
        <v>1.7333333333333334</v>
      </c>
      <c r="M8">
        <f t="shared" si="17"/>
        <v>1.3333333333333333</v>
      </c>
      <c r="O8">
        <f>14/60</f>
        <v>0.23333333333333334</v>
      </c>
      <c r="P8">
        <f>48/60</f>
        <v>0.8</v>
      </c>
      <c r="Q8">
        <f>1+13/60</f>
        <v>1.2166666666666668</v>
      </c>
      <c r="R8">
        <f>1+23/60</f>
        <v>1.3833333333333333</v>
      </c>
      <c r="S8">
        <f>1+5/60</f>
        <v>1.0833333333333333</v>
      </c>
      <c r="T8">
        <f>39/60</f>
        <v>0.65</v>
      </c>
      <c r="U8">
        <f>1+19/60</f>
        <v>1.3166666666666667</v>
      </c>
      <c r="V8">
        <f>1+18/60</f>
        <v>1.3</v>
      </c>
      <c r="W8">
        <v>1</v>
      </c>
      <c r="Y8">
        <v>6.5</v>
      </c>
      <c r="Z8">
        <v>31</v>
      </c>
      <c r="AA8">
        <v>50</v>
      </c>
      <c r="AB8">
        <v>57.4</v>
      </c>
      <c r="AC8">
        <v>42.7</v>
      </c>
      <c r="AD8">
        <v>23.4</v>
      </c>
      <c r="AF8">
        <v>55.5</v>
      </c>
      <c r="AG8">
        <v>46.7</v>
      </c>
      <c r="AI8">
        <f t="shared" si="1"/>
        <v>20.892857142857142</v>
      </c>
      <c r="AJ8">
        <f t="shared" si="2"/>
        <v>29.0625</v>
      </c>
      <c r="AK8">
        <f t="shared" si="3"/>
        <v>30.82191780821918</v>
      </c>
      <c r="AL8">
        <f t="shared" si="4"/>
        <v>31.120481927710845</v>
      </c>
      <c r="AM8">
        <f t="shared" si="5"/>
        <v>29.561538461538468</v>
      </c>
      <c r="AN8">
        <f t="shared" si="6"/>
        <v>26.999999999999996</v>
      </c>
      <c r="AP8">
        <f t="shared" si="7"/>
        <v>32.019230769230766</v>
      </c>
      <c r="AQ8">
        <f t="shared" si="8"/>
        <v>35.025000000000006</v>
      </c>
    </row>
    <row r="9" spans="1:43" x14ac:dyDescent="0.3">
      <c r="A9">
        <v>6</v>
      </c>
      <c r="B9" s="23"/>
      <c r="C9" t="s">
        <v>10</v>
      </c>
      <c r="D9" s="5" t="s">
        <v>11</v>
      </c>
      <c r="E9">
        <f t="shared" si="9"/>
        <v>0.73333333333333339</v>
      </c>
      <c r="F9">
        <f t="shared" si="10"/>
        <v>0.31111111111111112</v>
      </c>
      <c r="G9">
        <f t="shared" si="11"/>
        <v>0.8666666666666667</v>
      </c>
      <c r="H9">
        <f t="shared" si="12"/>
        <v>1.0222222222222221</v>
      </c>
      <c r="I9">
        <f t="shared" si="13"/>
        <v>1.8666666666666665</v>
      </c>
      <c r="J9">
        <f t="shared" si="14"/>
        <v>1.2888888888888888</v>
      </c>
      <c r="K9">
        <f t="shared" si="15"/>
        <v>1.1111111111111112</v>
      </c>
      <c r="L9">
        <f t="shared" si="16"/>
        <v>0.91111111111111109</v>
      </c>
      <c r="M9">
        <f t="shared" si="17"/>
        <v>0.51111111111111107</v>
      </c>
      <c r="O9">
        <f>33/60</f>
        <v>0.55000000000000004</v>
      </c>
      <c r="P9">
        <f>14/60</f>
        <v>0.23333333333333334</v>
      </c>
      <c r="Q9" s="16">
        <f>39/60</f>
        <v>0.65</v>
      </c>
      <c r="R9">
        <f>46/60</f>
        <v>0.76666666666666672</v>
      </c>
      <c r="S9">
        <f>1+24/60</f>
        <v>1.4</v>
      </c>
      <c r="T9">
        <f>58/60</f>
        <v>0.96666666666666667</v>
      </c>
      <c r="U9">
        <f>50/60</f>
        <v>0.83333333333333337</v>
      </c>
      <c r="V9">
        <f>41/60</f>
        <v>0.68333333333333335</v>
      </c>
      <c r="W9">
        <f>23/60</f>
        <v>0.38333333333333336</v>
      </c>
      <c r="Y9">
        <v>24.2</v>
      </c>
      <c r="Z9">
        <v>9.1</v>
      </c>
      <c r="AA9">
        <v>28.1</v>
      </c>
      <c r="AB9">
        <v>33.299999999999997</v>
      </c>
      <c r="AC9">
        <v>60.4</v>
      </c>
      <c r="AD9">
        <v>41.1</v>
      </c>
      <c r="AF9">
        <v>31.4</v>
      </c>
      <c r="AG9">
        <v>22.6</v>
      </c>
      <c r="AI9">
        <f t="shared" si="1"/>
        <v>32.999999999999993</v>
      </c>
      <c r="AJ9">
        <f t="shared" si="2"/>
        <v>29.25</v>
      </c>
      <c r="AK9">
        <f t="shared" si="3"/>
        <v>32.423076923076927</v>
      </c>
      <c r="AL9">
        <f t="shared" si="4"/>
        <v>32.576086956521742</v>
      </c>
      <c r="AM9">
        <f t="shared" si="5"/>
        <v>32.357142857142861</v>
      </c>
      <c r="AN9">
        <f t="shared" si="6"/>
        <v>31.887931034482762</v>
      </c>
      <c r="AP9">
        <f t="shared" si="7"/>
        <v>34.463414634146339</v>
      </c>
      <c r="AQ9">
        <f t="shared" si="8"/>
        <v>44.217391304347835</v>
      </c>
    </row>
    <row r="10" spans="1:43" x14ac:dyDescent="0.3">
      <c r="A10">
        <v>7</v>
      </c>
      <c r="B10" s="23"/>
      <c r="C10" t="s">
        <v>12</v>
      </c>
      <c r="D10" t="s">
        <v>13</v>
      </c>
      <c r="E10">
        <f t="shared" si="9"/>
        <v>0.82222222222222219</v>
      </c>
      <c r="F10">
        <f t="shared" si="10"/>
        <v>0.39999999999999997</v>
      </c>
      <c r="G10">
        <f t="shared" si="11"/>
        <v>0.95555555555555549</v>
      </c>
      <c r="H10">
        <f t="shared" si="12"/>
        <v>0.91111111111111109</v>
      </c>
      <c r="I10">
        <f t="shared" si="13"/>
        <v>1.8</v>
      </c>
      <c r="J10">
        <f t="shared" si="14"/>
        <v>1.3777777777777778</v>
      </c>
      <c r="K10">
        <f t="shared" si="15"/>
        <v>1.0222222222222221</v>
      </c>
      <c r="L10">
        <f t="shared" si="16"/>
        <v>0.82222222222222219</v>
      </c>
      <c r="M10">
        <f t="shared" si="17"/>
        <v>0.42222222222222217</v>
      </c>
      <c r="O10">
        <f>37/60</f>
        <v>0.6166666666666667</v>
      </c>
      <c r="P10">
        <f>18/60</f>
        <v>0.3</v>
      </c>
      <c r="Q10" s="16">
        <f>43/60</f>
        <v>0.71666666666666667</v>
      </c>
      <c r="R10">
        <f>41/60</f>
        <v>0.68333333333333335</v>
      </c>
      <c r="S10">
        <f>1+21/60</f>
        <v>1.35</v>
      </c>
      <c r="T10">
        <f>1+2/60</f>
        <v>1.0333333333333334</v>
      </c>
      <c r="U10">
        <f>46/60</f>
        <v>0.76666666666666672</v>
      </c>
      <c r="V10">
        <f>37/60</f>
        <v>0.6166666666666667</v>
      </c>
      <c r="W10">
        <f>19/60</f>
        <v>0.31666666666666665</v>
      </c>
      <c r="Y10">
        <v>28</v>
      </c>
      <c r="Z10">
        <v>12.9</v>
      </c>
      <c r="AA10">
        <v>31.9</v>
      </c>
      <c r="AB10">
        <v>29.5</v>
      </c>
      <c r="AC10">
        <v>66</v>
      </c>
      <c r="AD10">
        <v>44.9</v>
      </c>
      <c r="AF10">
        <v>27.6</v>
      </c>
      <c r="AG10">
        <v>18.8</v>
      </c>
      <c r="AI10">
        <f t="shared" si="1"/>
        <v>34.054054054054056</v>
      </c>
      <c r="AJ10">
        <f t="shared" si="2"/>
        <v>32.250000000000007</v>
      </c>
      <c r="AK10">
        <f t="shared" si="3"/>
        <v>33.383720930232556</v>
      </c>
      <c r="AL10">
        <f t="shared" si="4"/>
        <v>32.378048780487802</v>
      </c>
      <c r="AM10">
        <f t="shared" si="5"/>
        <v>36.666666666666664</v>
      </c>
      <c r="AN10">
        <f t="shared" si="6"/>
        <v>32.588709677419352</v>
      </c>
      <c r="AP10">
        <f t="shared" si="7"/>
        <v>33.567567567567572</v>
      </c>
      <c r="AQ10">
        <f t="shared" si="8"/>
        <v>44.526315789473692</v>
      </c>
    </row>
    <row r="11" spans="1:43" x14ac:dyDescent="0.3">
      <c r="A11">
        <v>8</v>
      </c>
      <c r="B11" s="23"/>
      <c r="C11" t="s">
        <v>14</v>
      </c>
      <c r="D11" t="s">
        <v>15</v>
      </c>
      <c r="E11">
        <f t="shared" si="9"/>
        <v>1.2</v>
      </c>
      <c r="F11">
        <f t="shared" si="10"/>
        <v>0.22222222222222221</v>
      </c>
      <c r="G11">
        <f t="shared" si="11"/>
        <v>0.37777777777777777</v>
      </c>
      <c r="H11">
        <f t="shared" si="12"/>
        <v>0.75555555555555554</v>
      </c>
      <c r="I11">
        <f t="shared" si="13"/>
        <v>2.3555555555555552</v>
      </c>
      <c r="J11">
        <f t="shared" si="14"/>
        <v>1.7555555555555555</v>
      </c>
      <c r="K11">
        <f t="shared" si="15"/>
        <v>1.6444444444444444</v>
      </c>
      <c r="L11">
        <f t="shared" si="16"/>
        <v>1.4444444444444442</v>
      </c>
      <c r="M11">
        <f t="shared" si="17"/>
        <v>1.0444444444444443</v>
      </c>
      <c r="O11">
        <f>54/60</f>
        <v>0.9</v>
      </c>
      <c r="P11">
        <f>10/60</f>
        <v>0.16666666666666666</v>
      </c>
      <c r="Q11" s="16">
        <f>17/60</f>
        <v>0.28333333333333333</v>
      </c>
      <c r="R11">
        <f>34/60</f>
        <v>0.56666666666666665</v>
      </c>
      <c r="S11">
        <f>1+46/60</f>
        <v>1.7666666666666666</v>
      </c>
      <c r="T11">
        <f>1+19/60</f>
        <v>1.3166666666666667</v>
      </c>
      <c r="U11">
        <f>1+14/60</f>
        <v>1.2333333333333334</v>
      </c>
      <c r="V11">
        <f>1+5/60</f>
        <v>1.0833333333333333</v>
      </c>
      <c r="W11">
        <f>47/60</f>
        <v>0.78333333333333333</v>
      </c>
      <c r="Y11">
        <v>38</v>
      </c>
      <c r="Z11">
        <v>6.9</v>
      </c>
      <c r="AA11">
        <v>12.3</v>
      </c>
      <c r="AB11">
        <v>23.3</v>
      </c>
      <c r="AC11">
        <v>74.2</v>
      </c>
      <c r="AD11">
        <v>54.9</v>
      </c>
      <c r="AF11">
        <v>47.5</v>
      </c>
      <c r="AG11">
        <v>38.6</v>
      </c>
      <c r="AI11">
        <f t="shared" si="1"/>
        <v>31.666666666666668</v>
      </c>
      <c r="AJ11">
        <f t="shared" si="2"/>
        <v>31.050000000000004</v>
      </c>
      <c r="AK11">
        <f t="shared" si="3"/>
        <v>32.558823529411768</v>
      </c>
      <c r="AL11">
        <f t="shared" si="4"/>
        <v>30.838235294117649</v>
      </c>
      <c r="AM11">
        <f t="shared" si="5"/>
        <v>31.500000000000007</v>
      </c>
      <c r="AN11">
        <f t="shared" si="6"/>
        <v>31.272151898734176</v>
      </c>
      <c r="AP11">
        <f t="shared" si="7"/>
        <v>32.884615384615387</v>
      </c>
      <c r="AQ11">
        <f t="shared" si="8"/>
        <v>36.957446808510646</v>
      </c>
    </row>
    <row r="12" spans="1:43" x14ac:dyDescent="0.3">
      <c r="A12">
        <v>9</v>
      </c>
      <c r="B12" s="23"/>
      <c r="C12" t="s">
        <v>16</v>
      </c>
      <c r="D12" t="s">
        <v>17</v>
      </c>
      <c r="E12">
        <f t="shared" si="9"/>
        <v>1.3777777777777778</v>
      </c>
      <c r="F12">
        <f t="shared" si="10"/>
        <v>0.39999999999999997</v>
      </c>
      <c r="G12">
        <f t="shared" si="11"/>
        <v>0.8666666666666667</v>
      </c>
      <c r="H12">
        <f t="shared" si="12"/>
        <v>1.2444444444444445</v>
      </c>
      <c r="I12">
        <f t="shared" si="13"/>
        <v>2.5333333333333332</v>
      </c>
      <c r="J12">
        <f t="shared" si="14"/>
        <v>1.9333333333333331</v>
      </c>
      <c r="K12">
        <f t="shared" si="15"/>
        <v>1.8222222222222222</v>
      </c>
      <c r="L12">
        <f t="shared" si="16"/>
        <v>1.6222222222222222</v>
      </c>
      <c r="M12">
        <f t="shared" si="17"/>
        <v>1.2222222222222221</v>
      </c>
      <c r="O12">
        <f>1+2/60</f>
        <v>1.0333333333333334</v>
      </c>
      <c r="P12">
        <f>18/60</f>
        <v>0.3</v>
      </c>
      <c r="Q12" s="16">
        <f>39/60</f>
        <v>0.65</v>
      </c>
      <c r="R12">
        <f>56/60</f>
        <v>0.93333333333333335</v>
      </c>
      <c r="S12">
        <f>1+54/60</f>
        <v>1.9</v>
      </c>
      <c r="T12">
        <f>1+27/60</f>
        <v>1.45</v>
      </c>
      <c r="U12">
        <f>1+22/60</f>
        <v>1.3666666666666667</v>
      </c>
      <c r="V12">
        <f>1+13/60</f>
        <v>1.2166666666666668</v>
      </c>
      <c r="W12">
        <f>55/60</f>
        <v>0.91666666666666663</v>
      </c>
      <c r="Y12">
        <v>42.2</v>
      </c>
      <c r="Z12">
        <v>11.1</v>
      </c>
      <c r="AA12">
        <v>28.1</v>
      </c>
      <c r="AB12">
        <v>39.200000000000003</v>
      </c>
      <c r="AC12">
        <v>78.400000000000006</v>
      </c>
      <c r="AD12">
        <v>59.2</v>
      </c>
      <c r="AF12">
        <v>51.7</v>
      </c>
      <c r="AG12">
        <v>42.9</v>
      </c>
      <c r="AI12">
        <f t="shared" si="1"/>
        <v>30.62903225806452</v>
      </c>
      <c r="AJ12">
        <f t="shared" si="2"/>
        <v>27.75</v>
      </c>
      <c r="AK12">
        <f t="shared" si="3"/>
        <v>32.423076923076927</v>
      </c>
      <c r="AL12">
        <f t="shared" si="4"/>
        <v>31.500000000000004</v>
      </c>
      <c r="AM12">
        <f t="shared" si="5"/>
        <v>30.947368421052634</v>
      </c>
      <c r="AN12">
        <f t="shared" si="6"/>
        <v>30.62068965517242</v>
      </c>
      <c r="AP12">
        <f t="shared" si="7"/>
        <v>31.86986301369863</v>
      </c>
      <c r="AQ12">
        <f t="shared" si="8"/>
        <v>35.1</v>
      </c>
    </row>
    <row r="13" spans="1:43" x14ac:dyDescent="0.3">
      <c r="A13">
        <v>10</v>
      </c>
      <c r="B13" s="23"/>
      <c r="C13" t="s">
        <v>18</v>
      </c>
      <c r="D13" t="s">
        <v>19</v>
      </c>
      <c r="E13">
        <f t="shared" si="9"/>
        <v>1.5777777777777777</v>
      </c>
      <c r="F13">
        <f t="shared" si="10"/>
        <v>0.6</v>
      </c>
      <c r="G13">
        <f t="shared" si="11"/>
        <v>1.0888888888888888</v>
      </c>
      <c r="H13">
        <f t="shared" si="12"/>
        <v>1.4444444444444442</v>
      </c>
      <c r="I13">
        <f t="shared" si="13"/>
        <v>2.7333333333333329</v>
      </c>
      <c r="J13">
        <f t="shared" si="14"/>
        <v>2.1555555555555554</v>
      </c>
      <c r="K13">
        <f t="shared" si="15"/>
        <v>2.0444444444444443</v>
      </c>
      <c r="L13">
        <f t="shared" si="16"/>
        <v>1.8222222222222222</v>
      </c>
      <c r="M13">
        <f t="shared" si="17"/>
        <v>1.4222222222222221</v>
      </c>
      <c r="O13">
        <f>1+11/60</f>
        <v>1.1833333333333333</v>
      </c>
      <c r="P13">
        <f>27/60</f>
        <v>0.45</v>
      </c>
      <c r="Q13" s="16">
        <f>49/60</f>
        <v>0.81666666666666665</v>
      </c>
      <c r="R13">
        <f>1+5/60</f>
        <v>1.0833333333333333</v>
      </c>
      <c r="S13">
        <f>2+3/60</f>
        <v>2.0499999999999998</v>
      </c>
      <c r="T13">
        <f>1+37/60</f>
        <v>1.6166666666666667</v>
      </c>
      <c r="U13">
        <f>1+32/60</f>
        <v>1.5333333333333332</v>
      </c>
      <c r="V13">
        <f>1+22/60</f>
        <v>1.3666666666666667</v>
      </c>
      <c r="W13">
        <f>1+4/60</f>
        <v>1.0666666666666667</v>
      </c>
      <c r="Y13">
        <v>46.9</v>
      </c>
      <c r="Z13">
        <v>15.8</v>
      </c>
      <c r="AA13">
        <v>32.799999999999997</v>
      </c>
      <c r="AB13">
        <v>43.8</v>
      </c>
      <c r="AC13">
        <v>83.1</v>
      </c>
      <c r="AD13">
        <v>63.8</v>
      </c>
      <c r="AF13">
        <v>56.3</v>
      </c>
      <c r="AG13">
        <v>47.5</v>
      </c>
      <c r="AI13">
        <f t="shared" si="1"/>
        <v>29.725352112676056</v>
      </c>
      <c r="AJ13">
        <f t="shared" si="2"/>
        <v>26.333333333333336</v>
      </c>
      <c r="AK13">
        <f t="shared" si="3"/>
        <v>30.122448979591837</v>
      </c>
      <c r="AL13">
        <f t="shared" si="4"/>
        <v>30.323076923076925</v>
      </c>
      <c r="AM13">
        <f t="shared" si="5"/>
        <v>30.402439024390247</v>
      </c>
      <c r="AN13">
        <f t="shared" si="6"/>
        <v>29.597938144329898</v>
      </c>
      <c r="AP13">
        <f t="shared" si="7"/>
        <v>30.896341463414632</v>
      </c>
      <c r="AQ13">
        <f t="shared" si="8"/>
        <v>33.398437500000007</v>
      </c>
    </row>
    <row r="14" spans="1:43" x14ac:dyDescent="0.3">
      <c r="A14">
        <v>11</v>
      </c>
      <c r="B14" s="23"/>
      <c r="C14" t="s">
        <v>66</v>
      </c>
      <c r="D14" t="s">
        <v>20</v>
      </c>
      <c r="E14">
        <f t="shared" si="9"/>
        <v>1.7555555555555555</v>
      </c>
      <c r="F14">
        <f t="shared" si="10"/>
        <v>0.88888888888888884</v>
      </c>
      <c r="G14">
        <f t="shared" si="11"/>
        <v>1.3777777777777778</v>
      </c>
      <c r="H14">
        <f t="shared" si="12"/>
        <v>1.7555555555555555</v>
      </c>
      <c r="I14">
        <f t="shared" si="13"/>
        <v>2.6888888888888887</v>
      </c>
      <c r="J14">
        <f t="shared" si="14"/>
        <v>2.0888888888888886</v>
      </c>
      <c r="K14">
        <f t="shared" si="15"/>
        <v>2.333333333333333</v>
      </c>
      <c r="L14">
        <f t="shared" si="16"/>
        <v>2.1333333333333333</v>
      </c>
      <c r="M14">
        <f t="shared" si="17"/>
        <v>1.7333333333333334</v>
      </c>
      <c r="O14">
        <f>1+19/60</f>
        <v>1.3166666666666667</v>
      </c>
      <c r="P14">
        <f>40/60</f>
        <v>0.66666666666666663</v>
      </c>
      <c r="Q14" s="16">
        <f>1+2/60</f>
        <v>1.0333333333333334</v>
      </c>
      <c r="R14">
        <f>1+19/60</f>
        <v>1.3166666666666667</v>
      </c>
      <c r="S14">
        <f>2+1/60</f>
        <v>2.0166666666666666</v>
      </c>
      <c r="T14">
        <f>1+34/60</f>
        <v>1.5666666666666667</v>
      </c>
      <c r="U14">
        <f>1+45/60</f>
        <v>1.75</v>
      </c>
      <c r="V14">
        <f>1+36/60</f>
        <v>1.6</v>
      </c>
      <c r="W14">
        <f>1+18/60</f>
        <v>1.3</v>
      </c>
      <c r="Y14">
        <v>48.3</v>
      </c>
      <c r="Z14">
        <v>21.8</v>
      </c>
      <c r="AA14">
        <v>38.799999999999997</v>
      </c>
      <c r="AB14">
        <v>49.8</v>
      </c>
      <c r="AC14">
        <v>80.3</v>
      </c>
      <c r="AD14">
        <v>61</v>
      </c>
      <c r="AF14">
        <v>62.3</v>
      </c>
      <c r="AG14">
        <v>53.5</v>
      </c>
      <c r="AI14">
        <f t="shared" si="1"/>
        <v>27.5126582278481</v>
      </c>
      <c r="AJ14">
        <f t="shared" si="2"/>
        <v>24.525000000000002</v>
      </c>
      <c r="AK14">
        <f t="shared" si="3"/>
        <v>28.161290322580644</v>
      </c>
      <c r="AL14">
        <f t="shared" si="4"/>
        <v>28.367088607594937</v>
      </c>
      <c r="AM14">
        <f t="shared" si="5"/>
        <v>29.863636363636367</v>
      </c>
      <c r="AN14">
        <f t="shared" si="6"/>
        <v>29.202127659574472</v>
      </c>
      <c r="AP14">
        <f t="shared" si="7"/>
        <v>29.203125</v>
      </c>
      <c r="AQ14">
        <f t="shared" si="8"/>
        <v>30.865384615384613</v>
      </c>
    </row>
    <row r="15" spans="1:43" x14ac:dyDescent="0.3">
      <c r="A15">
        <v>12</v>
      </c>
      <c r="B15" s="23"/>
      <c r="C15" t="s">
        <v>21</v>
      </c>
      <c r="D15" t="s">
        <v>22</v>
      </c>
      <c r="E15">
        <f t="shared" si="9"/>
        <v>1.6666666666666665</v>
      </c>
      <c r="F15">
        <f t="shared" si="10"/>
        <v>0.68888888888888888</v>
      </c>
      <c r="G15">
        <f t="shared" si="11"/>
        <v>1.1777777777777776</v>
      </c>
      <c r="H15">
        <f t="shared" si="12"/>
        <v>1.5333333333333332</v>
      </c>
      <c r="I15">
        <f t="shared" si="13"/>
        <v>2.7555555555555555</v>
      </c>
      <c r="J15">
        <f t="shared" si="14"/>
        <v>2.1555555555555554</v>
      </c>
      <c r="K15">
        <f t="shared" si="15"/>
        <v>2.1333333333333333</v>
      </c>
      <c r="L15">
        <f t="shared" si="16"/>
        <v>1.911111111111111</v>
      </c>
      <c r="M15">
        <f t="shared" si="17"/>
        <v>1.5111111111111111</v>
      </c>
      <c r="O15">
        <f>1+15/60</f>
        <v>1.25</v>
      </c>
      <c r="P15">
        <f>31/60</f>
        <v>0.51666666666666672</v>
      </c>
      <c r="Q15" s="16">
        <f>53/60</f>
        <v>0.8833333333333333</v>
      </c>
      <c r="R15">
        <f>1+9/60</f>
        <v>1.1499999999999999</v>
      </c>
      <c r="S15">
        <f>2+4/60</f>
        <v>2.0666666666666669</v>
      </c>
      <c r="T15">
        <f>1+37/60</f>
        <v>1.6166666666666667</v>
      </c>
      <c r="U15">
        <f>1+36/60</f>
        <v>1.6</v>
      </c>
      <c r="V15">
        <f>1+26/60</f>
        <v>1.4333333333333333</v>
      </c>
      <c r="W15">
        <f>1+8/60</f>
        <v>1.1333333333333333</v>
      </c>
      <c r="Y15">
        <v>50.1</v>
      </c>
      <c r="Z15">
        <v>19</v>
      </c>
      <c r="AA15">
        <v>36</v>
      </c>
      <c r="AB15">
        <v>47.1</v>
      </c>
      <c r="AC15">
        <v>83.9</v>
      </c>
      <c r="AD15">
        <v>64.599999999999994</v>
      </c>
      <c r="AF15">
        <v>59.6</v>
      </c>
      <c r="AG15">
        <v>50.8</v>
      </c>
      <c r="AI15">
        <f t="shared" si="1"/>
        <v>30.060000000000002</v>
      </c>
      <c r="AJ15">
        <f t="shared" si="2"/>
        <v>27.580645161290324</v>
      </c>
      <c r="AK15">
        <f t="shared" si="3"/>
        <v>30.566037735849061</v>
      </c>
      <c r="AL15">
        <f t="shared" si="4"/>
        <v>30.717391304347828</v>
      </c>
      <c r="AM15">
        <f t="shared" si="5"/>
        <v>30.447580645161292</v>
      </c>
      <c r="AN15">
        <f t="shared" si="6"/>
        <v>29.969072164948454</v>
      </c>
      <c r="AP15">
        <f t="shared" si="7"/>
        <v>31.186046511627911</v>
      </c>
      <c r="AQ15">
        <f t="shared" si="8"/>
        <v>33.617647058823529</v>
      </c>
    </row>
    <row r="16" spans="1:43" x14ac:dyDescent="0.3">
      <c r="A16">
        <v>13</v>
      </c>
      <c r="B16" s="23"/>
      <c r="C16" t="s">
        <v>23</v>
      </c>
      <c r="D16" t="s">
        <v>24</v>
      </c>
      <c r="E16">
        <f t="shared" si="9"/>
        <v>1.3555555555555554</v>
      </c>
      <c r="F16">
        <f t="shared" si="10"/>
        <v>0.37777777777777777</v>
      </c>
      <c r="G16">
        <f t="shared" si="11"/>
        <v>0.17777777777777776</v>
      </c>
      <c r="H16">
        <f t="shared" si="12"/>
        <v>0.55555555555555558</v>
      </c>
      <c r="I16">
        <f t="shared" si="13"/>
        <v>2.5111111111111111</v>
      </c>
      <c r="J16">
        <f t="shared" si="14"/>
        <v>1.911111111111111</v>
      </c>
      <c r="K16">
        <f t="shared" si="15"/>
        <v>1.8</v>
      </c>
      <c r="L16">
        <f t="shared" si="16"/>
        <v>1.4888888888888889</v>
      </c>
      <c r="M16">
        <f t="shared" si="17"/>
        <v>1.0222222222222221</v>
      </c>
      <c r="O16">
        <f>1+1/60</f>
        <v>1.0166666666666666</v>
      </c>
      <c r="P16">
        <f>17/60</f>
        <v>0.28333333333333333</v>
      </c>
      <c r="Q16" s="16">
        <f>8/60</f>
        <v>0.13333333333333333</v>
      </c>
      <c r="R16">
        <f>25/60</f>
        <v>0.41666666666666669</v>
      </c>
      <c r="S16">
        <f>1+53/60</f>
        <v>1.8833333333333333</v>
      </c>
      <c r="T16">
        <f>1+26/60</f>
        <v>1.4333333333333333</v>
      </c>
      <c r="U16">
        <f>1+21/60</f>
        <v>1.35</v>
      </c>
      <c r="V16">
        <f>1+7/60</f>
        <v>1.1166666666666667</v>
      </c>
      <c r="W16">
        <f>46/60</f>
        <v>0.76666666666666672</v>
      </c>
      <c r="Y16">
        <v>43.8</v>
      </c>
      <c r="Z16">
        <v>12.7</v>
      </c>
      <c r="AA16">
        <v>6.3</v>
      </c>
      <c r="AB16">
        <v>17.3</v>
      </c>
      <c r="AC16">
        <v>80</v>
      </c>
      <c r="AD16">
        <v>60.7</v>
      </c>
      <c r="AF16">
        <v>51.7</v>
      </c>
      <c r="AG16">
        <v>35.700000000000003</v>
      </c>
      <c r="AI16">
        <f t="shared" si="1"/>
        <v>32.311475409836071</v>
      </c>
      <c r="AJ16">
        <f t="shared" si="2"/>
        <v>33.617647058823529</v>
      </c>
      <c r="AK16">
        <f t="shared" si="3"/>
        <v>35.4375</v>
      </c>
      <c r="AL16">
        <f t="shared" si="4"/>
        <v>31.14</v>
      </c>
      <c r="AM16">
        <f t="shared" si="5"/>
        <v>31.858407079646017</v>
      </c>
      <c r="AN16">
        <f t="shared" si="6"/>
        <v>31.761627906976749</v>
      </c>
      <c r="AP16">
        <f t="shared" si="7"/>
        <v>34.723880597014926</v>
      </c>
      <c r="AQ16">
        <f t="shared" si="8"/>
        <v>34.923913043478265</v>
      </c>
    </row>
    <row r="17" spans="1:43" x14ac:dyDescent="0.3">
      <c r="A17">
        <v>14</v>
      </c>
      <c r="B17" s="23"/>
      <c r="C17" t="s">
        <v>67</v>
      </c>
      <c r="D17" t="s">
        <v>44</v>
      </c>
      <c r="E17">
        <f t="shared" si="9"/>
        <v>0.55555555555555558</v>
      </c>
      <c r="F17">
        <f t="shared" si="10"/>
        <v>0.71111111111111103</v>
      </c>
      <c r="G17">
        <f t="shared" si="11"/>
        <v>1.0888888888888888</v>
      </c>
      <c r="H17">
        <f t="shared" si="12"/>
        <v>1.4888888888888889</v>
      </c>
      <c r="I17">
        <f t="shared" si="13"/>
        <v>1.6888888888888887</v>
      </c>
      <c r="J17">
        <f t="shared" si="14"/>
        <v>1.1111111111111112</v>
      </c>
      <c r="K17">
        <f t="shared" si="15"/>
        <v>1.5777777777777777</v>
      </c>
      <c r="L17">
        <f t="shared" si="16"/>
        <v>1.3777777777777778</v>
      </c>
      <c r="M17">
        <f t="shared" si="17"/>
        <v>0.97777777777777763</v>
      </c>
      <c r="O17">
        <f>25/60</f>
        <v>0.41666666666666669</v>
      </c>
      <c r="P17">
        <f>32/60</f>
        <v>0.53333333333333333</v>
      </c>
      <c r="Q17">
        <f>49/60</f>
        <v>0.81666666666666665</v>
      </c>
      <c r="R17">
        <f>1+7/60</f>
        <v>1.1166666666666667</v>
      </c>
      <c r="S17">
        <f>1+16/60</f>
        <v>1.2666666666666666</v>
      </c>
      <c r="T17">
        <f>50/60</f>
        <v>0.83333333333333337</v>
      </c>
      <c r="U17">
        <f>1+11/60</f>
        <v>1.1833333333333333</v>
      </c>
      <c r="V17">
        <f>1+2/60</f>
        <v>1.0333333333333334</v>
      </c>
      <c r="W17">
        <f>44/60</f>
        <v>0.73333333333333328</v>
      </c>
      <c r="Y17">
        <v>15.4</v>
      </c>
      <c r="Z17">
        <v>25.1</v>
      </c>
      <c r="AA17">
        <v>37.799999999999997</v>
      </c>
      <c r="AB17">
        <v>51.5</v>
      </c>
      <c r="AC17">
        <v>51.6</v>
      </c>
      <c r="AD17">
        <v>32.299999999999997</v>
      </c>
      <c r="AF17">
        <v>49.7</v>
      </c>
      <c r="AG17">
        <v>40.9</v>
      </c>
      <c r="AI17">
        <f t="shared" si="1"/>
        <v>27.72</v>
      </c>
      <c r="AJ17">
        <f t="shared" si="2"/>
        <v>35.296875000000007</v>
      </c>
      <c r="AK17">
        <f t="shared" si="3"/>
        <v>34.714285714285715</v>
      </c>
      <c r="AL17">
        <f t="shared" si="4"/>
        <v>34.589552238805972</v>
      </c>
      <c r="AM17">
        <f t="shared" si="5"/>
        <v>30.552631578947373</v>
      </c>
      <c r="AN17">
        <f t="shared" si="6"/>
        <v>29.069999999999997</v>
      </c>
      <c r="AP17">
        <f t="shared" si="7"/>
        <v>36.072580645161295</v>
      </c>
      <c r="AQ17">
        <f t="shared" si="8"/>
        <v>41.82954545454546</v>
      </c>
    </row>
    <row r="18" spans="1:43" x14ac:dyDescent="0.3">
      <c r="A18">
        <v>15</v>
      </c>
      <c r="B18" s="24" t="s">
        <v>47</v>
      </c>
      <c r="C18" s="11" t="s">
        <v>26</v>
      </c>
      <c r="D18" s="11" t="s">
        <v>27</v>
      </c>
      <c r="E18">
        <f t="shared" si="9"/>
        <v>1.6888888888888887</v>
      </c>
      <c r="F18">
        <f t="shared" si="10"/>
        <v>0.71111111111111103</v>
      </c>
      <c r="G18">
        <f t="shared" si="11"/>
        <v>0.33333333333333331</v>
      </c>
      <c r="H18">
        <f t="shared" si="12"/>
        <v>0.6</v>
      </c>
      <c r="I18">
        <f t="shared" si="13"/>
        <v>2.6222222222222222</v>
      </c>
      <c r="J18">
        <f t="shared" si="14"/>
        <v>2.2444444444444445</v>
      </c>
      <c r="K18">
        <f t="shared" si="15"/>
        <v>1.8444444444444443</v>
      </c>
      <c r="L18">
        <f t="shared" si="16"/>
        <v>1.3777777777777778</v>
      </c>
      <c r="M18">
        <f t="shared" si="17"/>
        <v>1.8444444444444443</v>
      </c>
      <c r="O18">
        <f>1+16/60</f>
        <v>1.2666666666666666</v>
      </c>
      <c r="P18">
        <f>32/60</f>
        <v>0.53333333333333333</v>
      </c>
      <c r="Q18">
        <f>15/60</f>
        <v>0.25</v>
      </c>
      <c r="R18">
        <f>27/60</f>
        <v>0.45</v>
      </c>
      <c r="S18">
        <f>1+58/60</f>
        <v>1.9666666666666668</v>
      </c>
      <c r="T18">
        <f>1+41/60</f>
        <v>1.6833333333333333</v>
      </c>
      <c r="U18">
        <f>1+23/60</f>
        <v>1.3833333333333333</v>
      </c>
      <c r="V18">
        <f>1+2/60</f>
        <v>1.0333333333333334</v>
      </c>
      <c r="W18">
        <f>1+23/60</f>
        <v>1.3833333333333333</v>
      </c>
      <c r="Y18">
        <v>51.2</v>
      </c>
      <c r="Z18">
        <v>20.100000000000001</v>
      </c>
      <c r="AA18">
        <v>7.4</v>
      </c>
      <c r="AB18">
        <v>14.6</v>
      </c>
      <c r="AC18">
        <v>85.9</v>
      </c>
      <c r="AD18">
        <v>68.099999999999994</v>
      </c>
      <c r="AF18">
        <v>49.7</v>
      </c>
      <c r="AG18">
        <v>40</v>
      </c>
      <c r="AI18">
        <f t="shared" si="1"/>
        <v>30.315789473684216</v>
      </c>
      <c r="AJ18">
        <f t="shared" si="2"/>
        <v>28.265625000000007</v>
      </c>
      <c r="AK18">
        <f t="shared" si="3"/>
        <v>22.200000000000003</v>
      </c>
      <c r="AL18">
        <f t="shared" si="4"/>
        <v>24.333333333333332</v>
      </c>
      <c r="AM18">
        <f t="shared" si="5"/>
        <v>32.75847457627119</v>
      </c>
      <c r="AN18">
        <f t="shared" si="6"/>
        <v>30.341584158415838</v>
      </c>
      <c r="AP18">
        <f t="shared" si="7"/>
        <v>36.072580645161295</v>
      </c>
      <c r="AQ18">
        <f t="shared" si="8"/>
        <v>21.686746987951807</v>
      </c>
    </row>
    <row r="19" spans="1:43" x14ac:dyDescent="0.3">
      <c r="A19">
        <v>16</v>
      </c>
      <c r="B19" s="25"/>
      <c r="C19" s="12" t="s">
        <v>28</v>
      </c>
      <c r="D19" s="12" t="s">
        <v>29</v>
      </c>
      <c r="E19">
        <f t="shared" si="9"/>
        <v>1.5777777777777777</v>
      </c>
      <c r="F19">
        <f t="shared" si="10"/>
        <v>0.6</v>
      </c>
      <c r="G19">
        <f t="shared" si="11"/>
        <v>0.22222222222222221</v>
      </c>
      <c r="H19">
        <f t="shared" si="12"/>
        <v>0.48888888888888882</v>
      </c>
      <c r="I19">
        <f t="shared" si="13"/>
        <v>2.5111111111111111</v>
      </c>
      <c r="J19">
        <f t="shared" si="14"/>
        <v>2.1333333333333333</v>
      </c>
      <c r="K19">
        <f t="shared" si="15"/>
        <v>1.7333333333333334</v>
      </c>
      <c r="L19">
        <f t="shared" si="16"/>
        <v>1.4222222222222221</v>
      </c>
      <c r="M19">
        <f t="shared" si="17"/>
        <v>0.95555555555555549</v>
      </c>
      <c r="O19">
        <f>1+11/60</f>
        <v>1.1833333333333333</v>
      </c>
      <c r="P19">
        <f>27/60</f>
        <v>0.45</v>
      </c>
      <c r="Q19">
        <f>10/60</f>
        <v>0.16666666666666666</v>
      </c>
      <c r="R19">
        <f>22/60</f>
        <v>0.36666666666666664</v>
      </c>
      <c r="S19">
        <f>1+53/60</f>
        <v>1.8833333333333333</v>
      </c>
      <c r="T19">
        <f>1+36/60</f>
        <v>1.6</v>
      </c>
      <c r="U19">
        <f>1+18/60</f>
        <v>1.3</v>
      </c>
      <c r="V19">
        <f>1+4/60</f>
        <v>1.0666666666666667</v>
      </c>
      <c r="W19">
        <f>43/60</f>
        <v>0.71666666666666667</v>
      </c>
      <c r="Y19">
        <v>51</v>
      </c>
      <c r="Z19">
        <v>19.899999999999999</v>
      </c>
      <c r="AA19">
        <v>7.1</v>
      </c>
      <c r="AB19">
        <v>14.1</v>
      </c>
      <c r="AC19">
        <v>85.5</v>
      </c>
      <c r="AD19">
        <v>67.900000000000006</v>
      </c>
      <c r="AF19">
        <v>48.5</v>
      </c>
      <c r="AG19">
        <v>32.5</v>
      </c>
      <c r="AI19">
        <f t="shared" si="1"/>
        <v>32.323943661971832</v>
      </c>
      <c r="AJ19">
        <f t="shared" si="2"/>
        <v>33.166666666666664</v>
      </c>
      <c r="AK19">
        <f t="shared" si="3"/>
        <v>31.95</v>
      </c>
      <c r="AL19">
        <f t="shared" si="4"/>
        <v>28.840909090909093</v>
      </c>
      <c r="AM19">
        <f t="shared" si="5"/>
        <v>34.048672566371685</v>
      </c>
      <c r="AN19">
        <f t="shared" si="6"/>
        <v>31.828125000000004</v>
      </c>
      <c r="AP19">
        <f t="shared" si="7"/>
        <v>34.101562500000007</v>
      </c>
      <c r="AQ19">
        <f t="shared" si="8"/>
        <v>34.011627906976749</v>
      </c>
    </row>
    <row r="20" spans="1:43" x14ac:dyDescent="0.3">
      <c r="A20">
        <v>17</v>
      </c>
      <c r="B20" s="25"/>
      <c r="C20" s="12" t="s">
        <v>30</v>
      </c>
      <c r="D20" s="12" t="s">
        <v>31</v>
      </c>
      <c r="E20">
        <f t="shared" si="9"/>
        <v>1.6222222222222222</v>
      </c>
      <c r="F20">
        <f t="shared" si="10"/>
        <v>0.64444444444444438</v>
      </c>
      <c r="G20">
        <f t="shared" si="11"/>
        <v>0.26666666666666666</v>
      </c>
      <c r="H20">
        <f t="shared" si="12"/>
        <v>0.53333333333333333</v>
      </c>
      <c r="I20">
        <f t="shared" si="13"/>
        <v>2.5555555555555554</v>
      </c>
      <c r="J20">
        <f t="shared" si="14"/>
        <v>2.1777777777777776</v>
      </c>
      <c r="K20">
        <f t="shared" si="15"/>
        <v>1.7777777777777777</v>
      </c>
      <c r="L20">
        <f t="shared" si="16"/>
        <v>1.4666666666666668</v>
      </c>
      <c r="M20">
        <f t="shared" si="17"/>
        <v>1</v>
      </c>
      <c r="O20">
        <f>1+13/60</f>
        <v>1.2166666666666668</v>
      </c>
      <c r="P20">
        <f>29/60</f>
        <v>0.48333333333333334</v>
      </c>
      <c r="Q20">
        <f>12/60</f>
        <v>0.2</v>
      </c>
      <c r="R20">
        <f>24/60</f>
        <v>0.4</v>
      </c>
      <c r="S20">
        <f>1+55/60</f>
        <v>1.9166666666666665</v>
      </c>
      <c r="T20">
        <f>1+38/60</f>
        <v>1.6333333333333333</v>
      </c>
      <c r="U20">
        <f>1+20/60</f>
        <v>1.3333333333333333</v>
      </c>
      <c r="V20">
        <f>1+6/60</f>
        <v>1.1000000000000001</v>
      </c>
      <c r="W20">
        <f>45/60</f>
        <v>0.75</v>
      </c>
      <c r="Y20">
        <v>52.1</v>
      </c>
      <c r="Z20">
        <v>21</v>
      </c>
      <c r="AA20">
        <v>8.3000000000000007</v>
      </c>
      <c r="AB20">
        <v>15.3</v>
      </c>
      <c r="AC20">
        <v>86.7</v>
      </c>
      <c r="AD20">
        <v>69.099999999999994</v>
      </c>
      <c r="AF20">
        <v>49.7</v>
      </c>
      <c r="AG20">
        <v>33.700000000000003</v>
      </c>
      <c r="AI20">
        <f t="shared" si="1"/>
        <v>32.116438356164387</v>
      </c>
      <c r="AJ20">
        <f t="shared" si="2"/>
        <v>32.58620689655173</v>
      </c>
      <c r="AK20">
        <f t="shared" si="3"/>
        <v>31.125000000000004</v>
      </c>
      <c r="AL20">
        <f t="shared" si="4"/>
        <v>28.6875</v>
      </c>
      <c r="AM20">
        <f t="shared" si="5"/>
        <v>33.926086956521743</v>
      </c>
      <c r="AN20">
        <f t="shared" si="6"/>
        <v>31.729591836734695</v>
      </c>
      <c r="AP20">
        <f t="shared" si="7"/>
        <v>33.886363636363633</v>
      </c>
      <c r="AQ20">
        <f t="shared" si="8"/>
        <v>33.700000000000003</v>
      </c>
    </row>
    <row r="21" spans="1:43" x14ac:dyDescent="0.3">
      <c r="A21">
        <v>18</v>
      </c>
      <c r="B21" s="25"/>
      <c r="C21" s="12" t="s">
        <v>33</v>
      </c>
      <c r="D21" s="12" t="s">
        <v>32</v>
      </c>
      <c r="E21">
        <f t="shared" si="9"/>
        <v>1.8222222222222222</v>
      </c>
      <c r="F21">
        <f t="shared" si="10"/>
        <v>0.84444444444444433</v>
      </c>
      <c r="G21">
        <f t="shared" si="11"/>
        <v>0.35555555555555551</v>
      </c>
      <c r="H21">
        <f t="shared" si="12"/>
        <v>0.73333333333333339</v>
      </c>
      <c r="I21">
        <f t="shared" si="13"/>
        <v>2.7555555555555555</v>
      </c>
      <c r="J21">
        <f t="shared" si="14"/>
        <v>2.3777777777777773</v>
      </c>
      <c r="K21">
        <f t="shared" si="15"/>
        <v>1.9777777777777779</v>
      </c>
      <c r="L21">
        <f t="shared" si="16"/>
        <v>1.6666666666666665</v>
      </c>
      <c r="M21">
        <f t="shared" si="17"/>
        <v>1.2</v>
      </c>
      <c r="O21">
        <f>1+22/60</f>
        <v>1.3666666666666667</v>
      </c>
      <c r="P21">
        <f>38/60</f>
        <v>0.6333333333333333</v>
      </c>
      <c r="Q21">
        <f>16/60</f>
        <v>0.26666666666666666</v>
      </c>
      <c r="R21">
        <f>33/60</f>
        <v>0.55000000000000004</v>
      </c>
      <c r="S21">
        <f>2+4/60</f>
        <v>2.0666666666666669</v>
      </c>
      <c r="T21">
        <f>1+47/60</f>
        <v>1.7833333333333332</v>
      </c>
      <c r="U21">
        <f>1+29/60</f>
        <v>1.4833333333333334</v>
      </c>
      <c r="V21">
        <f>1+15/60</f>
        <v>1.25</v>
      </c>
      <c r="W21">
        <f>54/60</f>
        <v>0.9</v>
      </c>
      <c r="Y21">
        <v>56.7</v>
      </c>
      <c r="Z21">
        <v>25.6</v>
      </c>
      <c r="AA21">
        <v>8.9</v>
      </c>
      <c r="AB21">
        <v>19.899999999999999</v>
      </c>
      <c r="AC21">
        <v>91.2</v>
      </c>
      <c r="AD21">
        <v>73.599999999999994</v>
      </c>
      <c r="AF21">
        <v>54.3</v>
      </c>
      <c r="AG21">
        <v>38.299999999999997</v>
      </c>
      <c r="AI21">
        <f t="shared" si="1"/>
        <v>31.115853658536587</v>
      </c>
      <c r="AJ21">
        <f t="shared" si="2"/>
        <v>30.315789473684216</v>
      </c>
      <c r="AK21">
        <f t="shared" si="3"/>
        <v>25.031250000000004</v>
      </c>
      <c r="AL21">
        <f t="shared" si="4"/>
        <v>27.136363636363633</v>
      </c>
      <c r="AM21">
        <f t="shared" si="5"/>
        <v>33.096774193548391</v>
      </c>
      <c r="AN21">
        <f t="shared" si="6"/>
        <v>30.953271028037388</v>
      </c>
      <c r="AP21">
        <f t="shared" si="7"/>
        <v>32.58</v>
      </c>
      <c r="AQ21">
        <f t="shared" si="8"/>
        <v>31.916666666666664</v>
      </c>
    </row>
    <row r="22" spans="1:43" x14ac:dyDescent="0.3">
      <c r="A22">
        <v>19</v>
      </c>
      <c r="B22" s="25"/>
      <c r="C22" s="12" t="s">
        <v>34</v>
      </c>
      <c r="D22" s="12" t="s">
        <v>35</v>
      </c>
      <c r="E22">
        <f t="shared" si="9"/>
        <v>1.8222222222222222</v>
      </c>
      <c r="F22">
        <f t="shared" si="10"/>
        <v>0.84444444444444433</v>
      </c>
      <c r="G22">
        <f t="shared" si="11"/>
        <v>0.31111111111111112</v>
      </c>
      <c r="H22">
        <f t="shared" si="12"/>
        <v>0.53333333333333333</v>
      </c>
      <c r="I22">
        <f t="shared" si="13"/>
        <v>2.4666666666666668</v>
      </c>
      <c r="J22">
        <f t="shared" si="14"/>
        <v>2.4</v>
      </c>
      <c r="K22">
        <f t="shared" si="15"/>
        <v>1.6888888888888887</v>
      </c>
      <c r="L22">
        <f t="shared" si="16"/>
        <v>1.4</v>
      </c>
      <c r="M22">
        <f t="shared" si="17"/>
        <v>0.91111111111111109</v>
      </c>
      <c r="O22">
        <f>1+22/60</f>
        <v>1.3666666666666667</v>
      </c>
      <c r="P22">
        <f>38/60</f>
        <v>0.6333333333333333</v>
      </c>
      <c r="Q22">
        <f>14/60</f>
        <v>0.23333333333333334</v>
      </c>
      <c r="R22">
        <f>24/60</f>
        <v>0.4</v>
      </c>
      <c r="S22">
        <f>1+51/60</f>
        <v>1.85</v>
      </c>
      <c r="T22">
        <f>1+48/60</f>
        <v>1.8</v>
      </c>
      <c r="U22">
        <f>1+16/60</f>
        <v>1.2666666666666666</v>
      </c>
      <c r="V22">
        <f>1+3/60</f>
        <v>1.05</v>
      </c>
      <c r="W22">
        <f>41/60</f>
        <v>0.68333333333333335</v>
      </c>
      <c r="Y22">
        <v>56</v>
      </c>
      <c r="Z22">
        <v>24.9</v>
      </c>
      <c r="AA22">
        <v>5.9</v>
      </c>
      <c r="AB22">
        <v>11.6</v>
      </c>
      <c r="AC22">
        <v>77.599999999999994</v>
      </c>
      <c r="AD22">
        <v>72.900000000000006</v>
      </c>
      <c r="AF22">
        <v>40.700000000000003</v>
      </c>
      <c r="AG22">
        <v>24.7</v>
      </c>
      <c r="AI22">
        <f t="shared" si="1"/>
        <v>30.73170731707317</v>
      </c>
      <c r="AJ22">
        <f t="shared" si="2"/>
        <v>29.486842105263161</v>
      </c>
      <c r="AK22">
        <f t="shared" si="3"/>
        <v>18.964285714285715</v>
      </c>
      <c r="AL22">
        <f t="shared" si="4"/>
        <v>21.75</v>
      </c>
      <c r="AM22">
        <f t="shared" si="5"/>
        <v>31.459459459459456</v>
      </c>
      <c r="AN22">
        <f t="shared" si="6"/>
        <v>30.375000000000004</v>
      </c>
      <c r="AP22">
        <f t="shared" si="7"/>
        <v>29.071428571428577</v>
      </c>
      <c r="AQ22">
        <f t="shared" si="8"/>
        <v>27.109756097560975</v>
      </c>
    </row>
    <row r="23" spans="1:43" x14ac:dyDescent="0.3">
      <c r="A23">
        <v>20</v>
      </c>
      <c r="B23" s="25"/>
      <c r="C23" s="12" t="s">
        <v>36</v>
      </c>
      <c r="D23" s="12" t="s">
        <v>37</v>
      </c>
      <c r="E23">
        <f t="shared" si="9"/>
        <v>1.6666666666666665</v>
      </c>
      <c r="F23">
        <f t="shared" si="10"/>
        <v>0.84444444444444433</v>
      </c>
      <c r="G23">
        <f t="shared" si="11"/>
        <v>0.31111111111111112</v>
      </c>
      <c r="H23">
        <f t="shared" si="12"/>
        <v>8.8888888888888878E-2</v>
      </c>
      <c r="I23">
        <f t="shared" si="13"/>
        <v>2.1555555555555554</v>
      </c>
      <c r="J23">
        <f t="shared" si="14"/>
        <v>2.2222222222222219</v>
      </c>
      <c r="K23">
        <f t="shared" si="15"/>
        <v>1.3777777777777778</v>
      </c>
      <c r="L23">
        <f t="shared" si="16"/>
        <v>1.0888888888888888</v>
      </c>
      <c r="M23">
        <f t="shared" si="17"/>
        <v>0.6</v>
      </c>
      <c r="O23">
        <f>1+15/60</f>
        <v>1.25</v>
      </c>
      <c r="P23">
        <f>38/60</f>
        <v>0.6333333333333333</v>
      </c>
      <c r="Q23">
        <f>14/60</f>
        <v>0.23333333333333334</v>
      </c>
      <c r="R23">
        <f>4/60</f>
        <v>6.6666666666666666E-2</v>
      </c>
      <c r="S23">
        <f>1+37/60</f>
        <v>1.6166666666666667</v>
      </c>
      <c r="T23">
        <f>1+40/60</f>
        <v>1.6666666666666665</v>
      </c>
      <c r="U23">
        <f>1+2/60</f>
        <v>1.0333333333333334</v>
      </c>
      <c r="V23">
        <f>49/60</f>
        <v>0.81666666666666665</v>
      </c>
      <c r="W23">
        <f>27/60</f>
        <v>0.45</v>
      </c>
      <c r="Y23">
        <v>56.6</v>
      </c>
      <c r="Z23">
        <v>29.1</v>
      </c>
      <c r="AA23">
        <v>10.1</v>
      </c>
      <c r="AB23">
        <v>0.9</v>
      </c>
      <c r="AC23">
        <v>72.8</v>
      </c>
      <c r="AD23">
        <v>73.5</v>
      </c>
      <c r="AF23">
        <v>35.9</v>
      </c>
      <c r="AG23">
        <v>19.899999999999999</v>
      </c>
      <c r="AI23">
        <f t="shared" si="1"/>
        <v>33.96</v>
      </c>
      <c r="AJ23">
        <f t="shared" si="2"/>
        <v>34.46052631578948</v>
      </c>
      <c r="AK23">
        <f t="shared" si="3"/>
        <v>32.464285714285715</v>
      </c>
      <c r="AL23">
        <f t="shared" si="4"/>
        <v>10.125000000000002</v>
      </c>
      <c r="AM23">
        <f t="shared" si="5"/>
        <v>33.773195876288661</v>
      </c>
      <c r="AN23">
        <f t="shared" si="6"/>
        <v>33.075000000000003</v>
      </c>
      <c r="AP23">
        <f t="shared" si="7"/>
        <v>32.969387755102041</v>
      </c>
      <c r="AQ23">
        <f t="shared" si="8"/>
        <v>33.166666666666664</v>
      </c>
    </row>
    <row r="24" spans="1:43" x14ac:dyDescent="0.3">
      <c r="A24">
        <v>21</v>
      </c>
      <c r="B24" s="25"/>
      <c r="C24" s="12" t="s">
        <v>38</v>
      </c>
      <c r="D24" s="12" t="s">
        <v>39</v>
      </c>
      <c r="E24">
        <f t="shared" si="9"/>
        <v>1.4666666666666668</v>
      </c>
      <c r="F24">
        <f t="shared" si="10"/>
        <v>1.0444444444444443</v>
      </c>
      <c r="G24">
        <f t="shared" si="11"/>
        <v>0.64444444444444438</v>
      </c>
      <c r="H24">
        <f t="shared" si="12"/>
        <v>0.48888888888888882</v>
      </c>
      <c r="I24">
        <f t="shared" si="13"/>
        <v>1.8888888888888888</v>
      </c>
      <c r="J24">
        <f t="shared" si="14"/>
        <v>2</v>
      </c>
      <c r="K24">
        <f t="shared" si="15"/>
        <v>1.1333333333333333</v>
      </c>
      <c r="L24">
        <f t="shared" si="16"/>
        <v>0.73333333333333339</v>
      </c>
      <c r="M24">
        <f t="shared" si="17"/>
        <v>0.26666666666666666</v>
      </c>
      <c r="O24">
        <f>1+6/60</f>
        <v>1.1000000000000001</v>
      </c>
      <c r="P24">
        <f>47/60</f>
        <v>0.78333333333333333</v>
      </c>
      <c r="Q24">
        <f>29/60</f>
        <v>0.48333333333333334</v>
      </c>
      <c r="R24">
        <f>22/60</f>
        <v>0.36666666666666664</v>
      </c>
      <c r="S24">
        <f>1+25/60</f>
        <v>1.4166666666666667</v>
      </c>
      <c r="T24">
        <f>1+30/60</f>
        <v>1.5</v>
      </c>
      <c r="U24">
        <f>51/60</f>
        <v>0.85</v>
      </c>
      <c r="V24">
        <f>33/60</f>
        <v>0.55000000000000004</v>
      </c>
      <c r="W24">
        <f>12/60</f>
        <v>0.2</v>
      </c>
      <c r="Y24">
        <v>47.4</v>
      </c>
      <c r="Z24">
        <v>32.299999999999997</v>
      </c>
      <c r="AA24">
        <v>21.5</v>
      </c>
      <c r="AB24">
        <v>12.8</v>
      </c>
      <c r="AC24">
        <v>71.7</v>
      </c>
      <c r="AD24">
        <v>75.400000000000006</v>
      </c>
      <c r="AF24">
        <v>25</v>
      </c>
      <c r="AG24">
        <v>9</v>
      </c>
      <c r="AI24">
        <f t="shared" si="1"/>
        <v>32.318181818181813</v>
      </c>
      <c r="AJ24">
        <f t="shared" si="2"/>
        <v>30.925531914893618</v>
      </c>
      <c r="AK24">
        <f t="shared" si="3"/>
        <v>33.362068965517246</v>
      </c>
      <c r="AL24">
        <f t="shared" si="4"/>
        <v>26.181818181818187</v>
      </c>
      <c r="AM24">
        <f t="shared" si="5"/>
        <v>37.958823529411767</v>
      </c>
      <c r="AN24">
        <f t="shared" si="6"/>
        <v>37.700000000000003</v>
      </c>
      <c r="AP24">
        <f t="shared" si="7"/>
        <v>34.090909090909086</v>
      </c>
      <c r="AQ24">
        <f t="shared" si="8"/>
        <v>33.75</v>
      </c>
    </row>
    <row r="25" spans="1:43" x14ac:dyDescent="0.3">
      <c r="A25">
        <v>22</v>
      </c>
      <c r="B25" s="25"/>
      <c r="C25" s="12" t="s">
        <v>40</v>
      </c>
      <c r="D25" s="12" t="s">
        <v>41</v>
      </c>
      <c r="E25">
        <f t="shared" si="9"/>
        <v>1.7555555555555555</v>
      </c>
      <c r="F25">
        <f t="shared" si="10"/>
        <v>0.95555555555555549</v>
      </c>
      <c r="G25">
        <f t="shared" si="11"/>
        <v>0.39999999999999997</v>
      </c>
      <c r="H25">
        <f t="shared" si="12"/>
        <v>0.22222222222222221</v>
      </c>
      <c r="I25">
        <f t="shared" si="13"/>
        <v>2.2666666666666666</v>
      </c>
      <c r="J25">
        <f t="shared" si="14"/>
        <v>2.3111111111111109</v>
      </c>
      <c r="K25">
        <f t="shared" si="15"/>
        <v>1.4888888888888889</v>
      </c>
      <c r="L25">
        <f t="shared" si="16"/>
        <v>1.1777777777777776</v>
      </c>
      <c r="M25">
        <f t="shared" si="17"/>
        <v>0.71111111111111103</v>
      </c>
      <c r="O25">
        <f>1+19/60</f>
        <v>1.3166666666666667</v>
      </c>
      <c r="P25">
        <f>43/60</f>
        <v>0.71666666666666667</v>
      </c>
      <c r="Q25">
        <f>18/60</f>
        <v>0.3</v>
      </c>
      <c r="R25">
        <f>10/60</f>
        <v>0.16666666666666666</v>
      </c>
      <c r="S25">
        <f>1+42/60</f>
        <v>1.7</v>
      </c>
      <c r="T25">
        <f>1+44/60</f>
        <v>1.7333333333333334</v>
      </c>
      <c r="U25">
        <f>1+7/60</f>
        <v>1.1166666666666667</v>
      </c>
      <c r="V25">
        <f>53/60</f>
        <v>0.8833333333333333</v>
      </c>
      <c r="W25">
        <f>32/60</f>
        <v>0.53333333333333333</v>
      </c>
      <c r="Y25">
        <v>59.7</v>
      </c>
      <c r="Z25">
        <v>32.299999999999997</v>
      </c>
      <c r="AA25">
        <v>13.3</v>
      </c>
      <c r="AB25">
        <v>4.3</v>
      </c>
      <c r="AC25">
        <v>76</v>
      </c>
      <c r="AD25">
        <v>76.599999999999994</v>
      </c>
      <c r="AF25">
        <v>39</v>
      </c>
      <c r="AG25">
        <v>23</v>
      </c>
      <c r="AI25">
        <f t="shared" si="1"/>
        <v>34.006329113924053</v>
      </c>
      <c r="AJ25">
        <f t="shared" si="2"/>
        <v>33.802325581395351</v>
      </c>
      <c r="AK25">
        <f t="shared" si="3"/>
        <v>33.250000000000007</v>
      </c>
      <c r="AL25">
        <f t="shared" si="4"/>
        <v>19.350000000000001</v>
      </c>
      <c r="AM25">
        <f t="shared" si="5"/>
        <v>33.529411764705884</v>
      </c>
      <c r="AN25">
        <f t="shared" si="6"/>
        <v>33.144230769230766</v>
      </c>
      <c r="AP25">
        <f t="shared" si="7"/>
        <v>33.113207547169814</v>
      </c>
      <c r="AQ25">
        <f t="shared" si="8"/>
        <v>32.343750000000007</v>
      </c>
    </row>
    <row r="26" spans="1:43" x14ac:dyDescent="0.3">
      <c r="A26">
        <v>23</v>
      </c>
      <c r="B26" s="25"/>
      <c r="C26" s="12" t="s">
        <v>68</v>
      </c>
      <c r="D26" s="12" t="s">
        <v>42</v>
      </c>
      <c r="E26">
        <f t="shared" si="9"/>
        <v>1.9777777777777779</v>
      </c>
      <c r="F26">
        <f t="shared" si="10"/>
        <v>1.1555555555555554</v>
      </c>
      <c r="G26">
        <f t="shared" si="11"/>
        <v>0.6</v>
      </c>
      <c r="H26">
        <f t="shared" si="12"/>
        <v>0.42222222222222217</v>
      </c>
      <c r="I26">
        <f t="shared" si="13"/>
        <v>2.4444444444444446</v>
      </c>
      <c r="J26">
        <f t="shared" si="14"/>
        <v>2.5333333333333332</v>
      </c>
      <c r="K26">
        <f t="shared" si="15"/>
        <v>1.6888888888888887</v>
      </c>
      <c r="L26">
        <f t="shared" si="16"/>
        <v>1.2888888888888888</v>
      </c>
      <c r="M26">
        <f t="shared" si="17"/>
        <v>0.91111111111111109</v>
      </c>
      <c r="O26">
        <f>1+29/60</f>
        <v>1.4833333333333334</v>
      </c>
      <c r="P26">
        <f>52/60</f>
        <v>0.8666666666666667</v>
      </c>
      <c r="Q26">
        <f>27/60</f>
        <v>0.45</v>
      </c>
      <c r="R26">
        <f>19/60</f>
        <v>0.31666666666666665</v>
      </c>
      <c r="S26">
        <f>1+50/60</f>
        <v>1.8333333333333335</v>
      </c>
      <c r="T26">
        <f>1+54/60</f>
        <v>1.9</v>
      </c>
      <c r="U26">
        <f>1+16/60</f>
        <v>1.2666666666666666</v>
      </c>
      <c r="V26">
        <f>58/60</f>
        <v>0.96666666666666667</v>
      </c>
      <c r="W26">
        <f>41/60</f>
        <v>0.68333333333333335</v>
      </c>
      <c r="Y26">
        <v>67.099999999999994</v>
      </c>
      <c r="Z26">
        <v>39.700000000000003</v>
      </c>
      <c r="AA26">
        <v>20.7</v>
      </c>
      <c r="AB26">
        <v>11.7</v>
      </c>
      <c r="AC26">
        <v>92.3</v>
      </c>
      <c r="AD26">
        <v>84.1</v>
      </c>
      <c r="AF26">
        <v>45.6</v>
      </c>
      <c r="AG26">
        <v>30.4</v>
      </c>
      <c r="AI26">
        <f t="shared" si="1"/>
        <v>33.926966292134829</v>
      </c>
      <c r="AJ26">
        <f t="shared" si="2"/>
        <v>34.355769230769234</v>
      </c>
      <c r="AK26">
        <f t="shared" si="3"/>
        <v>34.5</v>
      </c>
      <c r="AL26">
        <f t="shared" si="4"/>
        <v>27.710526315789476</v>
      </c>
      <c r="AM26">
        <f t="shared" si="5"/>
        <v>37.759090909090908</v>
      </c>
      <c r="AN26">
        <f t="shared" si="6"/>
        <v>33.19736842105263</v>
      </c>
      <c r="AP26">
        <f t="shared" si="7"/>
        <v>35.379310344827594</v>
      </c>
      <c r="AQ26">
        <f t="shared" si="8"/>
        <v>33.365853658536587</v>
      </c>
    </row>
    <row r="27" spans="1:43" x14ac:dyDescent="0.3">
      <c r="A27">
        <v>24</v>
      </c>
      <c r="B27" s="26"/>
      <c r="C27" s="13" t="s">
        <v>69</v>
      </c>
      <c r="D27" s="13" t="s">
        <v>43</v>
      </c>
      <c r="E27">
        <f t="shared" si="9"/>
        <v>2.1555555555555554</v>
      </c>
      <c r="F27">
        <f t="shared" si="10"/>
        <v>1.1777777777777776</v>
      </c>
      <c r="G27">
        <f t="shared" si="11"/>
        <v>0.64444444444444438</v>
      </c>
      <c r="H27">
        <f t="shared" si="12"/>
        <v>0.66666666666666663</v>
      </c>
      <c r="I27">
        <f t="shared" si="13"/>
        <v>2.7111111111111108</v>
      </c>
      <c r="J27">
        <f t="shared" si="14"/>
        <v>2.7333333333333329</v>
      </c>
      <c r="K27">
        <f t="shared" si="15"/>
        <v>1.9333333333333331</v>
      </c>
      <c r="L27">
        <f t="shared" si="16"/>
        <v>1.6222222222222222</v>
      </c>
      <c r="M27">
        <f t="shared" si="17"/>
        <v>1.1555555555555554</v>
      </c>
      <c r="O27">
        <f>1+37/60</f>
        <v>1.6166666666666667</v>
      </c>
      <c r="P27">
        <f>53/60</f>
        <v>0.8833333333333333</v>
      </c>
      <c r="Q27">
        <f>29/60</f>
        <v>0.48333333333333334</v>
      </c>
      <c r="R27">
        <f>30/60</f>
        <v>0.5</v>
      </c>
      <c r="S27">
        <f>2+2/60</f>
        <v>2.0333333333333332</v>
      </c>
      <c r="T27">
        <f>2+3/60</f>
        <v>2.0499999999999998</v>
      </c>
      <c r="U27">
        <f>1+27/60</f>
        <v>1.45</v>
      </c>
      <c r="V27">
        <f>1+13/60</f>
        <v>1.2166666666666668</v>
      </c>
      <c r="W27">
        <f>52/60</f>
        <v>0.8666666666666667</v>
      </c>
      <c r="Y27">
        <v>68</v>
      </c>
      <c r="Z27">
        <v>36.9</v>
      </c>
      <c r="AA27">
        <v>17.899999999999999</v>
      </c>
      <c r="AB27">
        <v>17</v>
      </c>
      <c r="AC27">
        <v>88.3</v>
      </c>
      <c r="AD27">
        <v>84.9</v>
      </c>
      <c r="AF27">
        <v>51.4</v>
      </c>
      <c r="AG27">
        <v>35.4</v>
      </c>
      <c r="AI27">
        <f t="shared" si="1"/>
        <v>31.546391752577321</v>
      </c>
      <c r="AJ27">
        <f t="shared" si="2"/>
        <v>31.330188679245285</v>
      </c>
      <c r="AK27">
        <f t="shared" si="3"/>
        <v>27.77586206896552</v>
      </c>
      <c r="AL27">
        <f t="shared" si="4"/>
        <v>25.5</v>
      </c>
      <c r="AM27">
        <f t="shared" si="5"/>
        <v>32.569672131147541</v>
      </c>
      <c r="AN27">
        <f t="shared" si="6"/>
        <v>31.060975609756103</v>
      </c>
      <c r="AP27">
        <f t="shared" si="7"/>
        <v>31.684931506849313</v>
      </c>
      <c r="AQ27">
        <f t="shared" si="8"/>
        <v>30.634615384615387</v>
      </c>
    </row>
    <row r="28" spans="1:43" x14ac:dyDescent="0.3">
      <c r="A28">
        <v>25</v>
      </c>
      <c r="B28" s="27" t="s">
        <v>46</v>
      </c>
      <c r="C28" s="10" t="s">
        <v>70</v>
      </c>
      <c r="D28" s="10" t="s">
        <v>45</v>
      </c>
      <c r="E28">
        <f t="shared" si="9"/>
        <v>0.22222222222222221</v>
      </c>
      <c r="F28">
        <f t="shared" si="10"/>
        <v>1.1777777777777776</v>
      </c>
      <c r="G28">
        <f t="shared" si="11"/>
        <v>1.7555555555555555</v>
      </c>
      <c r="H28">
        <f t="shared" si="12"/>
        <v>1.9555555555555557</v>
      </c>
      <c r="I28">
        <f t="shared" si="13"/>
        <v>1.1333333333333333</v>
      </c>
      <c r="J28">
        <f t="shared" si="14"/>
        <v>0.55555555555555558</v>
      </c>
      <c r="K28">
        <f t="shared" si="15"/>
        <v>1.4444444444444442</v>
      </c>
      <c r="L28">
        <f t="shared" si="16"/>
        <v>1.8666666666666665</v>
      </c>
      <c r="M28">
        <f t="shared" si="17"/>
        <v>1.4666666666666668</v>
      </c>
      <c r="O28">
        <f>10/60</f>
        <v>0.16666666666666666</v>
      </c>
      <c r="P28">
        <f>53/60</f>
        <v>0.8833333333333333</v>
      </c>
      <c r="Q28">
        <f>1+19/60</f>
        <v>1.3166666666666667</v>
      </c>
      <c r="R28">
        <f>1+28/60</f>
        <v>1.4666666666666668</v>
      </c>
      <c r="S28">
        <f>51/60</f>
        <v>0.85</v>
      </c>
      <c r="T28">
        <f>25/60</f>
        <v>0.41666666666666669</v>
      </c>
      <c r="U28">
        <f>1+5/60</f>
        <v>1.0833333333333333</v>
      </c>
      <c r="V28">
        <f>1+24/60</f>
        <v>1.4</v>
      </c>
      <c r="W28">
        <f>1+6/60</f>
        <v>1.1000000000000001</v>
      </c>
      <c r="Y28">
        <v>4.5</v>
      </c>
      <c r="Z28">
        <v>35.6</v>
      </c>
      <c r="AA28">
        <v>54.5</v>
      </c>
      <c r="AB28">
        <v>61.9</v>
      </c>
      <c r="AC28">
        <v>33.9</v>
      </c>
      <c r="AD28">
        <v>14.6</v>
      </c>
      <c r="AF28">
        <v>60.1</v>
      </c>
      <c r="AG28">
        <v>51.3</v>
      </c>
      <c r="AI28">
        <f t="shared" si="1"/>
        <v>20.25</v>
      </c>
      <c r="AJ28">
        <f t="shared" si="2"/>
        <v>30.226415094339629</v>
      </c>
      <c r="AK28">
        <f t="shared" si="3"/>
        <v>31.044303797468356</v>
      </c>
      <c r="AL28">
        <f t="shared" si="4"/>
        <v>31.653409090909086</v>
      </c>
      <c r="AM28">
        <f t="shared" si="5"/>
        <v>29.911764705882351</v>
      </c>
      <c r="AN28">
        <f t="shared" si="6"/>
        <v>26.279999999999998</v>
      </c>
      <c r="AP28">
        <f t="shared" si="7"/>
        <v>32.196428571428577</v>
      </c>
      <c r="AQ28">
        <f t="shared" si="8"/>
        <v>34.97727272727272</v>
      </c>
    </row>
    <row r="29" spans="1:43" x14ac:dyDescent="0.3">
      <c r="A29">
        <v>26</v>
      </c>
      <c r="B29" s="28"/>
      <c r="C29" t="s">
        <v>71</v>
      </c>
      <c r="D29" t="s">
        <v>48</v>
      </c>
      <c r="E29">
        <f t="shared" si="9"/>
        <v>0.35555555555555551</v>
      </c>
      <c r="F29">
        <f t="shared" si="10"/>
        <v>1.3333333333333333</v>
      </c>
      <c r="G29">
        <f t="shared" si="11"/>
        <v>1.8888888888888888</v>
      </c>
      <c r="H29">
        <f t="shared" si="12"/>
        <v>2.0888888888888886</v>
      </c>
      <c r="I29">
        <f t="shared" si="13"/>
        <v>1.3777777777777778</v>
      </c>
      <c r="J29">
        <f t="shared" si="14"/>
        <v>0.79999999999999993</v>
      </c>
      <c r="K29">
        <f t="shared" si="15"/>
        <v>1.6888888888888887</v>
      </c>
      <c r="L29">
        <f t="shared" si="16"/>
        <v>2.2888888888888888</v>
      </c>
      <c r="M29">
        <f t="shared" si="17"/>
        <v>1.5999999999999999</v>
      </c>
      <c r="O29">
        <f>16/60</f>
        <v>0.26666666666666666</v>
      </c>
      <c r="P29">
        <v>1</v>
      </c>
      <c r="Q29">
        <f>1+25/60</f>
        <v>1.4166666666666667</v>
      </c>
      <c r="R29">
        <f>1+34/60</f>
        <v>1.5666666666666667</v>
      </c>
      <c r="S29">
        <f>1+2/60</f>
        <v>1.0333333333333334</v>
      </c>
      <c r="T29">
        <f>36/60</f>
        <v>0.6</v>
      </c>
      <c r="U29">
        <f>1+16/60</f>
        <v>1.2666666666666666</v>
      </c>
      <c r="V29">
        <f>1+43/60</f>
        <v>1.7166666666666668</v>
      </c>
      <c r="W29">
        <f>1+12/60</f>
        <v>1.2</v>
      </c>
      <c r="Y29">
        <v>9.4</v>
      </c>
      <c r="Z29">
        <v>40.5</v>
      </c>
      <c r="AA29">
        <v>59.4</v>
      </c>
      <c r="AB29">
        <v>66.8</v>
      </c>
      <c r="AC29">
        <v>31.8</v>
      </c>
      <c r="AD29">
        <v>12.5</v>
      </c>
      <c r="AF29">
        <v>69</v>
      </c>
      <c r="AG29">
        <v>56.2</v>
      </c>
      <c r="AI29">
        <f t="shared" si="1"/>
        <v>26.437500000000004</v>
      </c>
      <c r="AJ29">
        <f t="shared" si="2"/>
        <v>30.375</v>
      </c>
      <c r="AK29">
        <f t="shared" si="3"/>
        <v>31.44705882352941</v>
      </c>
      <c r="AL29">
        <f t="shared" si="4"/>
        <v>31.978723404255323</v>
      </c>
      <c r="AM29">
        <f t="shared" si="5"/>
        <v>23.080645161290324</v>
      </c>
      <c r="AN29">
        <f t="shared" si="6"/>
        <v>15.625000000000002</v>
      </c>
      <c r="AP29">
        <f t="shared" si="7"/>
        <v>30.145631067961165</v>
      </c>
      <c r="AQ29">
        <f t="shared" si="8"/>
        <v>35.125000000000007</v>
      </c>
    </row>
    <row r="30" spans="1:43" x14ac:dyDescent="0.3">
      <c r="A30">
        <v>27</v>
      </c>
      <c r="B30" s="28"/>
      <c r="C30" t="s">
        <v>72</v>
      </c>
      <c r="D30" t="s">
        <v>49</v>
      </c>
      <c r="E30">
        <f t="shared" si="9"/>
        <v>0.71111111111111103</v>
      </c>
      <c r="F30">
        <f t="shared" si="10"/>
        <v>1.6888888888888887</v>
      </c>
      <c r="G30">
        <f t="shared" si="11"/>
        <v>2.2444444444444445</v>
      </c>
      <c r="H30">
        <f t="shared" si="12"/>
        <v>2.4666666666666668</v>
      </c>
      <c r="I30">
        <f t="shared" si="13"/>
        <v>0.88888888888888884</v>
      </c>
      <c r="J30">
        <f t="shared" si="14"/>
        <v>0.31111111111111112</v>
      </c>
      <c r="K30">
        <f t="shared" si="15"/>
        <v>1.2</v>
      </c>
      <c r="L30">
        <f t="shared" si="16"/>
        <v>1.8</v>
      </c>
      <c r="M30">
        <f t="shared" si="17"/>
        <v>1.9555555555555557</v>
      </c>
      <c r="O30">
        <f>32/60</f>
        <v>0.53333333333333333</v>
      </c>
      <c r="P30">
        <f>1+16/60</f>
        <v>1.2666666666666666</v>
      </c>
      <c r="Q30">
        <f>1+41/60</f>
        <v>1.6833333333333333</v>
      </c>
      <c r="R30">
        <f>1+51/60</f>
        <v>1.85</v>
      </c>
      <c r="S30">
        <f>40/60</f>
        <v>0.66666666666666663</v>
      </c>
      <c r="T30">
        <f>14/60</f>
        <v>0.23333333333333334</v>
      </c>
      <c r="U30">
        <f>54/60</f>
        <v>0.9</v>
      </c>
      <c r="V30">
        <f>1+21/60</f>
        <v>1.35</v>
      </c>
      <c r="W30">
        <f>1+28/60</f>
        <v>1.4666666666666668</v>
      </c>
      <c r="Y30">
        <v>17.600000000000001</v>
      </c>
      <c r="Z30">
        <v>48.7</v>
      </c>
      <c r="AA30">
        <v>67.7</v>
      </c>
      <c r="AB30">
        <v>75.099999999999994</v>
      </c>
      <c r="AC30">
        <v>24.5</v>
      </c>
      <c r="AD30">
        <v>5.2</v>
      </c>
      <c r="AF30">
        <v>61.7</v>
      </c>
      <c r="AG30">
        <v>64.400000000000006</v>
      </c>
      <c r="AI30">
        <f t="shared" si="1"/>
        <v>24.750000000000004</v>
      </c>
      <c r="AJ30">
        <f t="shared" si="2"/>
        <v>28.83552631578948</v>
      </c>
      <c r="AK30">
        <f t="shared" si="3"/>
        <v>30.163366336633665</v>
      </c>
      <c r="AL30">
        <f t="shared" si="4"/>
        <v>30.445945945945944</v>
      </c>
      <c r="AM30">
        <f t="shared" si="5"/>
        <v>27.5625</v>
      </c>
      <c r="AN30">
        <f t="shared" si="6"/>
        <v>16.714285714285715</v>
      </c>
      <c r="AP30">
        <f t="shared" si="7"/>
        <v>34.277777777777779</v>
      </c>
      <c r="AQ30">
        <f t="shared" si="8"/>
        <v>32.93181818181818</v>
      </c>
    </row>
    <row r="31" spans="1:43" x14ac:dyDescent="0.3">
      <c r="A31">
        <v>28</v>
      </c>
      <c r="B31" s="28"/>
      <c r="C31" t="s">
        <v>73</v>
      </c>
      <c r="D31" t="s">
        <v>50</v>
      </c>
      <c r="E31">
        <f t="shared" si="9"/>
        <v>2.6222222222222222</v>
      </c>
      <c r="F31">
        <f t="shared" si="10"/>
        <v>2.8444444444444441</v>
      </c>
      <c r="G31">
        <f t="shared" si="11"/>
        <v>3.0444444444444443</v>
      </c>
      <c r="H31">
        <f t="shared" si="12"/>
        <v>2.8888888888888884</v>
      </c>
      <c r="I31">
        <f t="shared" si="13"/>
        <v>1.9333333333333331</v>
      </c>
      <c r="J31">
        <f t="shared" si="14"/>
        <v>2.0444444444444443</v>
      </c>
      <c r="K31">
        <f t="shared" si="15"/>
        <v>1.4222222222222221</v>
      </c>
      <c r="L31">
        <f t="shared" si="16"/>
        <v>2</v>
      </c>
      <c r="M31">
        <f t="shared" si="17"/>
        <v>2.2888888888888888</v>
      </c>
      <c r="O31">
        <f>1+58/60</f>
        <v>1.9666666666666668</v>
      </c>
      <c r="P31">
        <f>2+8/60</f>
        <v>2.1333333333333333</v>
      </c>
      <c r="Q31">
        <f>2+17/60</f>
        <v>2.2833333333333332</v>
      </c>
      <c r="R31">
        <f>2+10/60</f>
        <v>2.1666666666666665</v>
      </c>
      <c r="S31">
        <f>1+27/60</f>
        <v>1.45</v>
      </c>
      <c r="T31">
        <f>1+32/60</f>
        <v>1.5333333333333332</v>
      </c>
      <c r="U31">
        <f>1+4/60</f>
        <v>1.0666666666666667</v>
      </c>
      <c r="V31">
        <v>1.5</v>
      </c>
      <c r="W31">
        <f>1+43/60</f>
        <v>1.7166666666666668</v>
      </c>
      <c r="Y31">
        <v>61</v>
      </c>
      <c r="Z31">
        <v>70.5</v>
      </c>
      <c r="AA31">
        <v>73.900000000000006</v>
      </c>
      <c r="AB31">
        <v>65.3</v>
      </c>
      <c r="AC31">
        <v>40.4</v>
      </c>
      <c r="AD31">
        <v>44.1</v>
      </c>
      <c r="AF31">
        <v>44.2</v>
      </c>
      <c r="AG31">
        <v>53.7</v>
      </c>
      <c r="AI31">
        <f t="shared" si="1"/>
        <v>23.262711864406779</v>
      </c>
      <c r="AJ31">
        <f t="shared" si="2"/>
        <v>24.785156250000004</v>
      </c>
      <c r="AK31">
        <f t="shared" si="3"/>
        <v>24.273722627737229</v>
      </c>
      <c r="AL31">
        <f t="shared" si="4"/>
        <v>22.603846153846156</v>
      </c>
      <c r="AM31">
        <f t="shared" si="5"/>
        <v>20.896551724137932</v>
      </c>
      <c r="AN31">
        <f t="shared" si="6"/>
        <v>21.570652173913047</v>
      </c>
      <c r="AP31">
        <f t="shared" si="7"/>
        <v>22.1</v>
      </c>
      <c r="AQ31">
        <f t="shared" si="8"/>
        <v>23.461165048543691</v>
      </c>
    </row>
    <row r="32" spans="1:43" x14ac:dyDescent="0.3">
      <c r="A32">
        <v>29</v>
      </c>
      <c r="B32" s="28"/>
      <c r="C32" t="s">
        <v>74</v>
      </c>
      <c r="D32" t="s">
        <v>51</v>
      </c>
      <c r="E32">
        <f t="shared" si="9"/>
        <v>1.5111111111111111</v>
      </c>
      <c r="F32">
        <f t="shared" si="10"/>
        <v>1.4444444444444442</v>
      </c>
      <c r="G32">
        <f t="shared" si="11"/>
        <v>1.6666666666666665</v>
      </c>
      <c r="H32">
        <f t="shared" si="12"/>
        <v>1.4888888888888889</v>
      </c>
      <c r="I32">
        <f t="shared" si="13"/>
        <v>0.84444444444444433</v>
      </c>
      <c r="J32">
        <f t="shared" si="14"/>
        <v>0.93333333333333324</v>
      </c>
      <c r="K32">
        <f t="shared" si="15"/>
        <v>6.6666666666666666E-2</v>
      </c>
      <c r="L32">
        <f t="shared" si="16"/>
        <v>0.6</v>
      </c>
      <c r="M32">
        <f t="shared" si="17"/>
        <v>0.88888888888888884</v>
      </c>
      <c r="O32">
        <f>1+8/60</f>
        <v>1.1333333333333333</v>
      </c>
      <c r="P32">
        <f>1+5/60</f>
        <v>1.0833333333333333</v>
      </c>
      <c r="Q32">
        <f>1+15/60</f>
        <v>1.25</v>
      </c>
      <c r="R32">
        <f>1+7/60</f>
        <v>1.1166666666666667</v>
      </c>
      <c r="S32">
        <f>38/60</f>
        <v>0.6333333333333333</v>
      </c>
      <c r="T32">
        <f>42/60</f>
        <v>0.7</v>
      </c>
      <c r="U32">
        <f>3/60</f>
        <v>0.05</v>
      </c>
      <c r="V32">
        <f>27/60</f>
        <v>0.45</v>
      </c>
      <c r="W32">
        <f>40/60</f>
        <v>0.66666666666666663</v>
      </c>
      <c r="Y32">
        <v>51.2</v>
      </c>
      <c r="Z32">
        <v>49</v>
      </c>
      <c r="AA32">
        <v>52.5</v>
      </c>
      <c r="AB32">
        <v>43.8</v>
      </c>
      <c r="AC32">
        <v>30.6</v>
      </c>
      <c r="AD32">
        <v>34.299999999999997</v>
      </c>
      <c r="AF32">
        <v>22.7</v>
      </c>
      <c r="AG32">
        <v>32.299999999999997</v>
      </c>
      <c r="AI32">
        <f t="shared" si="1"/>
        <v>33.882352941176471</v>
      </c>
      <c r="AJ32">
        <f t="shared" si="2"/>
        <v>33.923076923076927</v>
      </c>
      <c r="AK32">
        <f t="shared" si="3"/>
        <v>31.500000000000004</v>
      </c>
      <c r="AL32">
        <f t="shared" si="4"/>
        <v>29.417910447761191</v>
      </c>
      <c r="AM32">
        <f t="shared" si="5"/>
        <v>36.236842105263165</v>
      </c>
      <c r="AN32">
        <f t="shared" si="6"/>
        <v>36.75</v>
      </c>
      <c r="AP32">
        <f t="shared" si="7"/>
        <v>37.833333333333336</v>
      </c>
      <c r="AQ32">
        <f t="shared" si="8"/>
        <v>36.337499999999999</v>
      </c>
    </row>
    <row r="33" spans="1:43" x14ac:dyDescent="0.3">
      <c r="A33">
        <v>30</v>
      </c>
      <c r="B33" s="28"/>
      <c r="C33" t="s">
        <v>75</v>
      </c>
      <c r="D33" t="s">
        <v>52</v>
      </c>
      <c r="E33">
        <f t="shared" si="9"/>
        <v>1.7111111111111108</v>
      </c>
      <c r="F33">
        <f t="shared" si="10"/>
        <v>1.3111111111111109</v>
      </c>
      <c r="G33">
        <f t="shared" si="11"/>
        <v>1.5111111111111111</v>
      </c>
      <c r="H33">
        <f t="shared" si="12"/>
        <v>1.3555555555555554</v>
      </c>
      <c r="I33">
        <f t="shared" si="13"/>
        <v>1.0888888888888888</v>
      </c>
      <c r="J33">
        <f t="shared" si="14"/>
        <v>1.2</v>
      </c>
      <c r="K33">
        <f t="shared" si="15"/>
        <v>0.33333333333333331</v>
      </c>
      <c r="L33">
        <f t="shared" si="16"/>
        <v>0.46666666666666662</v>
      </c>
      <c r="M33">
        <f t="shared" si="17"/>
        <v>0.73333333333333339</v>
      </c>
      <c r="O33">
        <f>1+17/60</f>
        <v>1.2833333333333332</v>
      </c>
      <c r="P33">
        <f>59/60</f>
        <v>0.98333333333333328</v>
      </c>
      <c r="Q33">
        <f>1+8/60</f>
        <v>1.1333333333333333</v>
      </c>
      <c r="R33">
        <f>1+1/60</f>
        <v>1.0166666666666666</v>
      </c>
      <c r="S33">
        <f>49/60</f>
        <v>0.81666666666666665</v>
      </c>
      <c r="T33">
        <f>54/60</f>
        <v>0.9</v>
      </c>
      <c r="U33">
        <f>15/60</f>
        <v>0.25</v>
      </c>
      <c r="V33">
        <f>21/60</f>
        <v>0.35</v>
      </c>
      <c r="W33">
        <f>33/60</f>
        <v>0.55000000000000004</v>
      </c>
      <c r="Y33">
        <v>56.9</v>
      </c>
      <c r="Z33">
        <v>41.8</v>
      </c>
      <c r="AA33">
        <v>45.2</v>
      </c>
      <c r="AB33">
        <v>36.6</v>
      </c>
      <c r="AC33">
        <v>39.4</v>
      </c>
      <c r="AD33">
        <v>43.2</v>
      </c>
      <c r="AF33">
        <v>15.5</v>
      </c>
      <c r="AG33">
        <v>25</v>
      </c>
      <c r="AI33">
        <f t="shared" si="1"/>
        <v>33.253246753246756</v>
      </c>
      <c r="AJ33">
        <f t="shared" si="2"/>
        <v>31.881355932203395</v>
      </c>
      <c r="AK33">
        <f t="shared" si="3"/>
        <v>29.911764705882355</v>
      </c>
      <c r="AL33">
        <f t="shared" si="4"/>
        <v>27.000000000000004</v>
      </c>
      <c r="AM33">
        <f t="shared" si="5"/>
        <v>36.183673469387756</v>
      </c>
      <c r="AN33">
        <f t="shared" si="6"/>
        <v>36.000000000000007</v>
      </c>
      <c r="AP33">
        <f t="shared" si="7"/>
        <v>33.214285714285715</v>
      </c>
      <c r="AQ33">
        <f t="shared" si="8"/>
        <v>34.090909090909086</v>
      </c>
    </row>
    <row r="34" spans="1:43" x14ac:dyDescent="0.3">
      <c r="A34">
        <v>31</v>
      </c>
      <c r="B34" s="28"/>
      <c r="C34" t="s">
        <v>76</v>
      </c>
      <c r="D34" t="s">
        <v>53</v>
      </c>
      <c r="E34">
        <f t="shared" si="9"/>
        <v>1.3777777777777778</v>
      </c>
      <c r="F34">
        <f t="shared" si="10"/>
        <v>2.333333333333333</v>
      </c>
      <c r="G34">
        <f t="shared" si="11"/>
        <v>2.6222222222222222</v>
      </c>
      <c r="H34">
        <f t="shared" si="12"/>
        <v>2.4444444444444446</v>
      </c>
      <c r="I34">
        <f t="shared" si="13"/>
        <v>0.22222222222222221</v>
      </c>
      <c r="J34">
        <f t="shared" si="14"/>
        <v>0.79999999999999993</v>
      </c>
      <c r="K34">
        <f t="shared" si="15"/>
        <v>1</v>
      </c>
      <c r="L34">
        <f t="shared" si="16"/>
        <v>1.5777777777777777</v>
      </c>
      <c r="M34">
        <f t="shared" si="17"/>
        <v>1.8444444444444443</v>
      </c>
      <c r="O34">
        <f>1+2/60</f>
        <v>1.0333333333333334</v>
      </c>
      <c r="P34">
        <f>1+45/60</f>
        <v>1.75</v>
      </c>
      <c r="Q34">
        <f>1+58/60</f>
        <v>1.9666666666666668</v>
      </c>
      <c r="R34">
        <f>1+50/60</f>
        <v>1.8333333333333335</v>
      </c>
      <c r="S34">
        <f>10/60</f>
        <v>0.16666666666666666</v>
      </c>
      <c r="T34">
        <f>36/60</f>
        <v>0.6</v>
      </c>
      <c r="U34">
        <f>45/60</f>
        <v>0.75</v>
      </c>
      <c r="V34">
        <f>1+11/60</f>
        <v>1.1833333333333333</v>
      </c>
      <c r="W34">
        <f>1+23/60</f>
        <v>1.3833333333333333</v>
      </c>
      <c r="Y34">
        <v>43.1</v>
      </c>
      <c r="Z34">
        <v>74.2</v>
      </c>
      <c r="AA34">
        <v>89.4</v>
      </c>
      <c r="AB34">
        <v>80.8</v>
      </c>
      <c r="AC34">
        <v>6.9</v>
      </c>
      <c r="AD34">
        <v>26.2</v>
      </c>
      <c r="AF34">
        <v>59.6</v>
      </c>
      <c r="AG34">
        <v>69.2</v>
      </c>
      <c r="AI34">
        <f t="shared" si="1"/>
        <v>31.282258064516132</v>
      </c>
      <c r="AJ34">
        <f t="shared" si="2"/>
        <v>31.800000000000004</v>
      </c>
      <c r="AK34">
        <f t="shared" si="3"/>
        <v>34.093220338983052</v>
      </c>
      <c r="AL34">
        <f t="shared" si="4"/>
        <v>33.054545454545448</v>
      </c>
      <c r="AM34">
        <f t="shared" si="5"/>
        <v>31.050000000000004</v>
      </c>
      <c r="AN34">
        <f t="shared" si="6"/>
        <v>32.75</v>
      </c>
      <c r="AP34">
        <f t="shared" si="7"/>
        <v>37.774647887323944</v>
      </c>
      <c r="AQ34">
        <f t="shared" si="8"/>
        <v>37.518072289156628</v>
      </c>
    </row>
    <row r="35" spans="1:43" x14ac:dyDescent="0.3">
      <c r="A35">
        <v>32</v>
      </c>
      <c r="B35" s="28"/>
      <c r="C35" t="s">
        <v>77</v>
      </c>
      <c r="D35" t="s">
        <v>54</v>
      </c>
      <c r="E35">
        <f t="shared" si="9"/>
        <v>1.5555555555555556</v>
      </c>
      <c r="F35">
        <f t="shared" si="10"/>
        <v>2.5333333333333332</v>
      </c>
      <c r="G35">
        <f t="shared" si="11"/>
        <v>2.8</v>
      </c>
      <c r="H35">
        <f t="shared" si="12"/>
        <v>2.6444444444444444</v>
      </c>
      <c r="I35">
        <f t="shared" si="13"/>
        <v>0.39999999999999997</v>
      </c>
      <c r="J35">
        <f t="shared" si="14"/>
        <v>1</v>
      </c>
      <c r="K35">
        <f t="shared" si="15"/>
        <v>1.1777777777777776</v>
      </c>
      <c r="L35">
        <f t="shared" si="16"/>
        <v>1.7555555555555555</v>
      </c>
      <c r="M35">
        <f t="shared" si="17"/>
        <v>2.0222222222222221</v>
      </c>
      <c r="O35">
        <f>1+10/60</f>
        <v>1.1666666666666667</v>
      </c>
      <c r="P35">
        <f>1+54/60</f>
        <v>1.9</v>
      </c>
      <c r="Q35">
        <f>2+6/60</f>
        <v>2.1</v>
      </c>
      <c r="R35">
        <f>1+59/60</f>
        <v>1.9833333333333334</v>
      </c>
      <c r="S35">
        <f>18/60</f>
        <v>0.3</v>
      </c>
      <c r="T35">
        <f>45/60</f>
        <v>0.75</v>
      </c>
      <c r="U35">
        <f>53/60</f>
        <v>0.8833333333333333</v>
      </c>
      <c r="V35">
        <f>1+19/60</f>
        <v>1.3166666666666667</v>
      </c>
      <c r="W35">
        <f>1+31/60</f>
        <v>1.5166666666666666</v>
      </c>
      <c r="Y35">
        <v>50.1</v>
      </c>
      <c r="Z35">
        <v>81.2</v>
      </c>
      <c r="AA35">
        <v>96.4</v>
      </c>
      <c r="AB35">
        <v>87.8</v>
      </c>
      <c r="AC35">
        <v>13.9</v>
      </c>
      <c r="AD35">
        <v>33.200000000000003</v>
      </c>
      <c r="AF35">
        <v>66.599999999999994</v>
      </c>
      <c r="AG35">
        <v>76.2</v>
      </c>
      <c r="AI35">
        <f t="shared" si="1"/>
        <v>32.207142857142856</v>
      </c>
      <c r="AJ35">
        <f t="shared" si="2"/>
        <v>32.05263157894737</v>
      </c>
      <c r="AK35">
        <f t="shared" si="3"/>
        <v>34.428571428571431</v>
      </c>
      <c r="AL35">
        <f t="shared" si="4"/>
        <v>33.201680672268907</v>
      </c>
      <c r="AM35">
        <f t="shared" si="5"/>
        <v>34.750000000000007</v>
      </c>
      <c r="AN35">
        <f t="shared" si="6"/>
        <v>33.200000000000003</v>
      </c>
      <c r="AP35">
        <f t="shared" si="7"/>
        <v>37.936708860759488</v>
      </c>
      <c r="AQ35">
        <f t="shared" si="8"/>
        <v>37.681318681318686</v>
      </c>
    </row>
    <row r="36" spans="1:43" x14ac:dyDescent="0.3">
      <c r="A36">
        <v>33</v>
      </c>
      <c r="B36" s="28"/>
      <c r="C36" t="s">
        <v>78</v>
      </c>
      <c r="D36" t="s">
        <v>55</v>
      </c>
      <c r="E36">
        <f t="shared" si="9"/>
        <v>1.7333333333333334</v>
      </c>
      <c r="F36">
        <f t="shared" si="10"/>
        <v>2.7111111111111108</v>
      </c>
      <c r="G36">
        <f t="shared" si="11"/>
        <v>2.9555555555555557</v>
      </c>
      <c r="H36">
        <f t="shared" si="12"/>
        <v>2.8</v>
      </c>
      <c r="I36">
        <f t="shared" si="13"/>
        <v>0.57777777777777772</v>
      </c>
      <c r="J36">
        <f t="shared" si="14"/>
        <v>1.1777777777777776</v>
      </c>
      <c r="K36">
        <f t="shared" si="15"/>
        <v>1.3333333333333333</v>
      </c>
      <c r="L36">
        <f t="shared" si="16"/>
        <v>1.9333333333333331</v>
      </c>
      <c r="M36">
        <f t="shared" si="17"/>
        <v>2.1999999999999997</v>
      </c>
      <c r="O36">
        <f>1+18/60</f>
        <v>1.3</v>
      </c>
      <c r="P36">
        <f>2+2/60</f>
        <v>2.0333333333333332</v>
      </c>
      <c r="Q36">
        <f>2+13/60</f>
        <v>2.2166666666666668</v>
      </c>
      <c r="R36">
        <f>2+6/60</f>
        <v>2.1</v>
      </c>
      <c r="S36">
        <f>26/60</f>
        <v>0.43333333333333335</v>
      </c>
      <c r="T36">
        <f>53/60</f>
        <v>0.8833333333333333</v>
      </c>
      <c r="U36">
        <v>1</v>
      </c>
      <c r="V36">
        <f>1+27/60</f>
        <v>1.45</v>
      </c>
      <c r="W36">
        <f>1+39/60</f>
        <v>1.65</v>
      </c>
      <c r="Y36">
        <v>55.6</v>
      </c>
      <c r="Z36">
        <v>86.7</v>
      </c>
      <c r="AA36">
        <v>102</v>
      </c>
      <c r="AB36">
        <v>93.2</v>
      </c>
      <c r="AC36">
        <v>19.399999999999999</v>
      </c>
      <c r="AD36">
        <v>38.6</v>
      </c>
      <c r="AF36">
        <v>72.099999999999994</v>
      </c>
      <c r="AG36">
        <v>81.3</v>
      </c>
      <c r="AI36">
        <f t="shared" si="1"/>
        <v>32.076923076923073</v>
      </c>
      <c r="AJ36">
        <f t="shared" si="2"/>
        <v>31.979508196721316</v>
      </c>
      <c r="AK36">
        <f t="shared" si="3"/>
        <v>34.511278195488721</v>
      </c>
      <c r="AL36">
        <f t="shared" si="4"/>
        <v>33.285714285714292</v>
      </c>
      <c r="AM36">
        <f t="shared" si="5"/>
        <v>33.57692307692308</v>
      </c>
      <c r="AN36">
        <f t="shared" si="6"/>
        <v>32.773584905660385</v>
      </c>
      <c r="AP36">
        <f t="shared" si="7"/>
        <v>37.293103448275865</v>
      </c>
      <c r="AQ36">
        <f t="shared" si="8"/>
        <v>36.95454545454546</v>
      </c>
    </row>
    <row r="37" spans="1:43" x14ac:dyDescent="0.3">
      <c r="A37">
        <v>34</v>
      </c>
      <c r="B37" s="28"/>
      <c r="C37" t="s">
        <v>89</v>
      </c>
      <c r="D37" t="s">
        <v>90</v>
      </c>
      <c r="E37">
        <f t="shared" si="9"/>
        <v>1.5333333333333332</v>
      </c>
      <c r="F37">
        <f t="shared" si="10"/>
        <v>2.5111111111111111</v>
      </c>
      <c r="G37">
        <f t="shared" si="11"/>
        <v>3.0666666666666664</v>
      </c>
      <c r="H37">
        <f t="shared" si="12"/>
        <v>3.3111111111111109</v>
      </c>
      <c r="I37">
        <f t="shared" si="13"/>
        <v>2.1555555555555554</v>
      </c>
      <c r="J37">
        <f t="shared" si="14"/>
        <v>1.5777777777777777</v>
      </c>
      <c r="K37">
        <f t="shared" si="15"/>
        <v>1.8</v>
      </c>
      <c r="L37">
        <f t="shared" si="16"/>
        <v>2.3777777777777773</v>
      </c>
      <c r="M37">
        <f t="shared" si="17"/>
        <v>2.8</v>
      </c>
      <c r="O37">
        <f>1+9/60</f>
        <v>1.1499999999999999</v>
      </c>
      <c r="P37">
        <f>1+53/60</f>
        <v>1.8833333333333333</v>
      </c>
      <c r="Q37">
        <f>2+18/60</f>
        <v>2.2999999999999998</v>
      </c>
      <c r="R37">
        <f>2+29/60</f>
        <v>2.4833333333333334</v>
      </c>
      <c r="S37">
        <f>1+37/60</f>
        <v>1.6166666666666667</v>
      </c>
      <c r="T37">
        <f>1+11/60</f>
        <v>1.1833333333333333</v>
      </c>
      <c r="U37">
        <f>1+21/60</f>
        <v>1.35</v>
      </c>
      <c r="V37">
        <f>1+47/60</f>
        <v>1.7833333333333332</v>
      </c>
      <c r="W37">
        <f>2+6/60</f>
        <v>2.1</v>
      </c>
      <c r="Y37">
        <v>24.3</v>
      </c>
      <c r="Z37">
        <v>55.4</v>
      </c>
      <c r="AA37">
        <v>74.400000000000006</v>
      </c>
      <c r="AB37">
        <v>81.8</v>
      </c>
      <c r="AC37">
        <v>45.1</v>
      </c>
      <c r="AD37">
        <v>25.8</v>
      </c>
      <c r="AF37">
        <v>43.6</v>
      </c>
      <c r="AG37">
        <v>71.099999999999994</v>
      </c>
      <c r="AI37">
        <f t="shared" si="1"/>
        <v>15.847826086956523</v>
      </c>
      <c r="AJ37">
        <f t="shared" si="2"/>
        <v>22.061946902654867</v>
      </c>
      <c r="AK37">
        <f t="shared" si="3"/>
        <v>24.260869565217394</v>
      </c>
      <c r="AL37">
        <f t="shared" si="4"/>
        <v>24.70469798657718</v>
      </c>
      <c r="AM37">
        <f t="shared" si="5"/>
        <v>20.922680412371136</v>
      </c>
      <c r="AN37">
        <f t="shared" si="6"/>
        <v>16.35211267605634</v>
      </c>
      <c r="AP37">
        <f t="shared" si="7"/>
        <v>18.336448598130847</v>
      </c>
      <c r="AQ37">
        <f t="shared" si="8"/>
        <v>25.392857142857142</v>
      </c>
    </row>
    <row r="38" spans="1:43" x14ac:dyDescent="0.3">
      <c r="A38">
        <v>35</v>
      </c>
      <c r="B38" s="29"/>
      <c r="C38" s="3" t="s">
        <v>79</v>
      </c>
      <c r="D38" s="3" t="s">
        <v>56</v>
      </c>
      <c r="E38">
        <f t="shared" si="9"/>
        <v>1.9333333333333331</v>
      </c>
      <c r="F38">
        <f t="shared" si="10"/>
        <v>2.8666666666666663</v>
      </c>
      <c r="G38">
        <f t="shared" si="11"/>
        <v>3.0888888888888886</v>
      </c>
      <c r="H38">
        <f t="shared" si="12"/>
        <v>2.9333333333333336</v>
      </c>
      <c r="I38">
        <f t="shared" si="13"/>
        <v>1.1555555555555554</v>
      </c>
      <c r="J38">
        <f t="shared" si="14"/>
        <v>1.3777777777777778</v>
      </c>
      <c r="K38">
        <f t="shared" si="15"/>
        <v>1.4444444444444442</v>
      </c>
      <c r="L38">
        <f t="shared" si="16"/>
        <v>2.0444444444444443</v>
      </c>
      <c r="M38">
        <f t="shared" si="17"/>
        <v>2.3111111111111109</v>
      </c>
      <c r="O38">
        <f>1+27/60</f>
        <v>1.45</v>
      </c>
      <c r="P38">
        <f>2+9/60</f>
        <v>2.15</v>
      </c>
      <c r="Q38">
        <f>2+19/60</f>
        <v>2.3166666666666664</v>
      </c>
      <c r="R38">
        <f>2+12/60</f>
        <v>2.2000000000000002</v>
      </c>
      <c r="S38">
        <f>52/60</f>
        <v>0.8666666666666667</v>
      </c>
      <c r="T38">
        <f>1+2/60</f>
        <v>1.0333333333333334</v>
      </c>
      <c r="U38">
        <f>1+5/60</f>
        <v>1.0833333333333333</v>
      </c>
      <c r="V38">
        <f>1+32/60</f>
        <v>1.5333333333333332</v>
      </c>
      <c r="W38">
        <f>1+44/60</f>
        <v>1.7333333333333334</v>
      </c>
      <c r="Y38">
        <v>49.4</v>
      </c>
      <c r="Z38">
        <v>88.5</v>
      </c>
      <c r="AA38">
        <v>92</v>
      </c>
      <c r="AB38">
        <v>83.3</v>
      </c>
      <c r="AC38">
        <v>26.2</v>
      </c>
      <c r="AD38">
        <v>32.5</v>
      </c>
      <c r="AF38">
        <v>62.2</v>
      </c>
      <c r="AG38">
        <v>71.7</v>
      </c>
      <c r="AI38">
        <f t="shared" si="1"/>
        <v>25.551724137931036</v>
      </c>
      <c r="AJ38">
        <f t="shared" si="2"/>
        <v>30.872093023255818</v>
      </c>
      <c r="AK38">
        <f t="shared" si="3"/>
        <v>29.784172661870507</v>
      </c>
      <c r="AL38">
        <f t="shared" si="4"/>
        <v>28.39772727272727</v>
      </c>
      <c r="AM38">
        <f t="shared" si="5"/>
        <v>22.673076923076923</v>
      </c>
      <c r="AN38">
        <f t="shared" si="6"/>
        <v>23.588709677419356</v>
      </c>
      <c r="AP38">
        <f t="shared" si="7"/>
        <v>30.423913043478265</v>
      </c>
      <c r="AQ38">
        <f t="shared" si="8"/>
        <v>31.024038461538467</v>
      </c>
    </row>
    <row r="39" spans="1:43" x14ac:dyDescent="0.3">
      <c r="A39">
        <v>36</v>
      </c>
      <c r="B39" s="24" t="s">
        <v>57</v>
      </c>
      <c r="C39" s="7" t="s">
        <v>80</v>
      </c>
      <c r="D39" s="7" t="s">
        <v>58</v>
      </c>
      <c r="E39">
        <f t="shared" si="9"/>
        <v>1.2888888888888888</v>
      </c>
      <c r="F39">
        <f t="shared" si="10"/>
        <v>0.8666666666666667</v>
      </c>
      <c r="G39">
        <f t="shared" si="11"/>
        <v>0.77777777777777779</v>
      </c>
      <c r="H39">
        <f t="shared" si="12"/>
        <v>0.62222222222222223</v>
      </c>
      <c r="I39">
        <f t="shared" si="13"/>
        <v>1.6888888888888887</v>
      </c>
      <c r="J39">
        <f t="shared" si="14"/>
        <v>1.7777777777777777</v>
      </c>
      <c r="K39">
        <f t="shared" si="15"/>
        <v>0.91111111111111109</v>
      </c>
      <c r="L39">
        <f t="shared" si="16"/>
        <v>0.53333333333333333</v>
      </c>
      <c r="M39">
        <f t="shared" si="17"/>
        <v>4.4444444444444439E-2</v>
      </c>
      <c r="O39">
        <f>58/60</f>
        <v>0.96666666666666667</v>
      </c>
      <c r="P39">
        <f>39/60</f>
        <v>0.65</v>
      </c>
      <c r="Q39">
        <f>35/60</f>
        <v>0.58333333333333337</v>
      </c>
      <c r="R39">
        <f>28/60</f>
        <v>0.46666666666666667</v>
      </c>
      <c r="S39">
        <f>1+16/60</f>
        <v>1.2666666666666666</v>
      </c>
      <c r="T39">
        <f>1+20/60</f>
        <v>1.3333333333333333</v>
      </c>
      <c r="U39">
        <f>41/60</f>
        <v>0.68333333333333335</v>
      </c>
      <c r="V39">
        <f>24/60</f>
        <v>0.4</v>
      </c>
      <c r="W39">
        <f>2/60</f>
        <v>3.3333333333333333E-2</v>
      </c>
      <c r="Y39">
        <v>49</v>
      </c>
      <c r="Z39">
        <v>33.9</v>
      </c>
      <c r="AA39">
        <v>27.3</v>
      </c>
      <c r="AB39">
        <v>18.600000000000001</v>
      </c>
      <c r="AC39">
        <v>64.8</v>
      </c>
      <c r="AD39">
        <v>68.5</v>
      </c>
      <c r="AF39">
        <v>18.100000000000001</v>
      </c>
      <c r="AG39">
        <v>2.1</v>
      </c>
      <c r="AI39">
        <f t="shared" si="1"/>
        <v>38.017241379310349</v>
      </c>
      <c r="AJ39">
        <f t="shared" si="2"/>
        <v>39.115384615384613</v>
      </c>
      <c r="AK39">
        <f t="shared" si="3"/>
        <v>35.1</v>
      </c>
      <c r="AL39">
        <f t="shared" si="4"/>
        <v>29.892857142857146</v>
      </c>
      <c r="AM39">
        <f t="shared" si="5"/>
        <v>38.368421052631582</v>
      </c>
      <c r="AN39">
        <f t="shared" si="6"/>
        <v>38.53125</v>
      </c>
      <c r="AP39">
        <f t="shared" si="7"/>
        <v>33.9375</v>
      </c>
      <c r="AQ39">
        <f t="shared" si="8"/>
        <v>47.250000000000007</v>
      </c>
    </row>
    <row r="40" spans="1:43" x14ac:dyDescent="0.3">
      <c r="A40">
        <v>37</v>
      </c>
      <c r="B40" s="25"/>
      <c r="C40" s="8" t="s">
        <v>81</v>
      </c>
      <c r="D40" s="8" t="s">
        <v>59</v>
      </c>
      <c r="E40">
        <f t="shared" si="9"/>
        <v>1.2666666666666666</v>
      </c>
      <c r="F40">
        <f t="shared" si="10"/>
        <v>0.84444444444444433</v>
      </c>
      <c r="G40">
        <f t="shared" si="11"/>
        <v>0.79999999999999993</v>
      </c>
      <c r="H40">
        <f t="shared" si="12"/>
        <v>0.64444444444444438</v>
      </c>
      <c r="I40">
        <f t="shared" si="13"/>
        <v>1.6666666666666665</v>
      </c>
      <c r="J40">
        <f t="shared" si="14"/>
        <v>1.7555555555555555</v>
      </c>
      <c r="K40">
        <f t="shared" si="15"/>
        <v>0.88888888888888884</v>
      </c>
      <c r="L40">
        <f t="shared" si="16"/>
        <v>0.51111111111111107</v>
      </c>
      <c r="M40">
        <f t="shared" si="17"/>
        <v>4.4444444444444439E-2</v>
      </c>
      <c r="O40">
        <f>57/60</f>
        <v>0.95</v>
      </c>
      <c r="P40">
        <f>38/60</f>
        <v>0.6333333333333333</v>
      </c>
      <c r="Q40">
        <f>36/60</f>
        <v>0.6</v>
      </c>
      <c r="R40">
        <f>29/60</f>
        <v>0.48333333333333334</v>
      </c>
      <c r="S40">
        <f>1+15/60</f>
        <v>1.25</v>
      </c>
      <c r="T40">
        <f>1+19/60</f>
        <v>1.3166666666666667</v>
      </c>
      <c r="U40">
        <f>40/60</f>
        <v>0.66666666666666663</v>
      </c>
      <c r="V40">
        <f>23/60</f>
        <v>0.38333333333333336</v>
      </c>
      <c r="W40">
        <f>2/60</f>
        <v>3.3333333333333333E-2</v>
      </c>
      <c r="Y40">
        <v>48.2</v>
      </c>
      <c r="Z40">
        <v>33.1</v>
      </c>
      <c r="AA40">
        <v>28.1</v>
      </c>
      <c r="AB40">
        <v>19.399999999999999</v>
      </c>
      <c r="AC40">
        <v>64</v>
      </c>
      <c r="AD40">
        <v>67.8</v>
      </c>
      <c r="AF40">
        <v>17.399999999999999</v>
      </c>
      <c r="AG40">
        <v>1.4</v>
      </c>
      <c r="AI40">
        <f t="shared" si="1"/>
        <v>38.05263157894737</v>
      </c>
      <c r="AJ40">
        <f t="shared" si="2"/>
        <v>39.197368421052637</v>
      </c>
      <c r="AK40">
        <f t="shared" si="3"/>
        <v>35.125000000000007</v>
      </c>
      <c r="AL40">
        <f t="shared" si="4"/>
        <v>30.103448275862071</v>
      </c>
      <c r="AM40">
        <f t="shared" si="5"/>
        <v>38.400000000000006</v>
      </c>
      <c r="AN40">
        <f t="shared" si="6"/>
        <v>38.620253164556964</v>
      </c>
      <c r="AP40">
        <f t="shared" si="7"/>
        <v>34.043478260869563</v>
      </c>
      <c r="AQ40">
        <f t="shared" si="8"/>
        <v>31.5</v>
      </c>
    </row>
    <row r="41" spans="1:43" x14ac:dyDescent="0.3">
      <c r="A41">
        <v>38</v>
      </c>
      <c r="B41" s="25"/>
      <c r="C41" s="8" t="s">
        <v>82</v>
      </c>
      <c r="D41" s="8" t="s">
        <v>60</v>
      </c>
      <c r="E41">
        <f t="shared" si="9"/>
        <v>1.5111111111111111</v>
      </c>
      <c r="F41">
        <f t="shared" si="10"/>
        <v>1.0888888888888888</v>
      </c>
      <c r="G41">
        <f t="shared" si="11"/>
        <v>1.2888888888888888</v>
      </c>
      <c r="H41">
        <f t="shared" si="12"/>
        <v>1.1333333333333333</v>
      </c>
      <c r="I41">
        <f t="shared" si="13"/>
        <v>1.1111111111111112</v>
      </c>
      <c r="J41">
        <f t="shared" si="14"/>
        <v>1.2222222222222221</v>
      </c>
      <c r="K41">
        <f t="shared" si="15"/>
        <v>0.33333333333333331</v>
      </c>
      <c r="L41">
        <f t="shared" si="16"/>
        <v>0.24444444444444441</v>
      </c>
      <c r="M41">
        <f t="shared" si="17"/>
        <v>0.53333333333333333</v>
      </c>
      <c r="O41">
        <f>1+8/60</f>
        <v>1.1333333333333333</v>
      </c>
      <c r="P41">
        <f>49/60</f>
        <v>0.81666666666666665</v>
      </c>
      <c r="Q41">
        <f>58/60</f>
        <v>0.96666666666666667</v>
      </c>
      <c r="R41">
        <f>51/60</f>
        <v>0.85</v>
      </c>
      <c r="S41">
        <f>50/60</f>
        <v>0.83333333333333337</v>
      </c>
      <c r="T41">
        <f>55/60</f>
        <v>0.91666666666666663</v>
      </c>
      <c r="U41">
        <f>15/60</f>
        <v>0.25</v>
      </c>
      <c r="V41">
        <f>11/60</f>
        <v>0.18333333333333332</v>
      </c>
      <c r="W41">
        <f>24/60</f>
        <v>0.4</v>
      </c>
      <c r="Y41">
        <v>51.2</v>
      </c>
      <c r="Z41">
        <v>36</v>
      </c>
      <c r="AA41">
        <v>39.5</v>
      </c>
      <c r="AB41">
        <v>30.9</v>
      </c>
      <c r="AC41">
        <v>43</v>
      </c>
      <c r="AD41">
        <v>46.7</v>
      </c>
      <c r="AF41">
        <v>9.6999999999999993</v>
      </c>
      <c r="AG41">
        <v>19.3</v>
      </c>
      <c r="AI41">
        <f t="shared" si="1"/>
        <v>33.882352941176471</v>
      </c>
      <c r="AJ41">
        <f t="shared" si="2"/>
        <v>33.061224489795919</v>
      </c>
      <c r="AK41">
        <f t="shared" si="3"/>
        <v>30.646551724137936</v>
      </c>
      <c r="AL41">
        <f t="shared" si="4"/>
        <v>27.264705882352942</v>
      </c>
      <c r="AM41">
        <f t="shared" si="5"/>
        <v>38.699999999999996</v>
      </c>
      <c r="AN41">
        <f t="shared" si="6"/>
        <v>38.209090909090918</v>
      </c>
      <c r="AP41">
        <f t="shared" si="7"/>
        <v>39.681818181818187</v>
      </c>
      <c r="AQ41">
        <f t="shared" si="8"/>
        <v>36.1875</v>
      </c>
    </row>
    <row r="42" spans="1:43" x14ac:dyDescent="0.3">
      <c r="A42">
        <v>39</v>
      </c>
      <c r="B42" s="25"/>
      <c r="C42" s="8" t="s">
        <v>83</v>
      </c>
      <c r="D42" s="8" t="s">
        <v>61</v>
      </c>
      <c r="E42">
        <f t="shared" si="9"/>
        <v>1.911111111111111</v>
      </c>
      <c r="F42">
        <f t="shared" si="10"/>
        <v>1.4888888888888889</v>
      </c>
      <c r="G42">
        <f t="shared" si="11"/>
        <v>1.5777777777777777</v>
      </c>
      <c r="H42">
        <f t="shared" si="12"/>
        <v>1.4</v>
      </c>
      <c r="I42">
        <f t="shared" si="13"/>
        <v>1.6444444444444444</v>
      </c>
      <c r="J42">
        <f t="shared" si="14"/>
        <v>1.7555555555555555</v>
      </c>
      <c r="K42">
        <f t="shared" si="15"/>
        <v>0.8666666666666667</v>
      </c>
      <c r="L42">
        <f t="shared" si="16"/>
        <v>0.31111111111111112</v>
      </c>
      <c r="M42">
        <f t="shared" si="17"/>
        <v>0.71111111111111103</v>
      </c>
      <c r="O42">
        <f>1+26/60</f>
        <v>1.4333333333333333</v>
      </c>
      <c r="P42">
        <f>1+7/60</f>
        <v>1.1166666666666667</v>
      </c>
      <c r="Q42">
        <f>1+11/60</f>
        <v>1.1833333333333333</v>
      </c>
      <c r="R42">
        <f>1+3/60</f>
        <v>1.05</v>
      </c>
      <c r="S42">
        <f>1+14/60</f>
        <v>1.2333333333333334</v>
      </c>
      <c r="T42">
        <f>1+19/60</f>
        <v>1.3166666666666667</v>
      </c>
      <c r="U42">
        <f>39/60</f>
        <v>0.65</v>
      </c>
      <c r="V42">
        <f>14/60</f>
        <v>0.23333333333333334</v>
      </c>
      <c r="W42">
        <f>32/60</f>
        <v>0.53333333333333333</v>
      </c>
      <c r="Y42">
        <v>60.3</v>
      </c>
      <c r="Z42">
        <v>45.2</v>
      </c>
      <c r="AA42">
        <v>48.3</v>
      </c>
      <c r="AB42">
        <v>39.6</v>
      </c>
      <c r="AC42">
        <v>57.4</v>
      </c>
      <c r="AD42">
        <v>61.1</v>
      </c>
      <c r="AF42">
        <v>4.7</v>
      </c>
      <c r="AG42">
        <v>18.8</v>
      </c>
      <c r="AI42">
        <f t="shared" si="1"/>
        <v>31.552325581395351</v>
      </c>
      <c r="AJ42">
        <f t="shared" si="2"/>
        <v>30.358208955223883</v>
      </c>
      <c r="AK42">
        <f t="shared" si="3"/>
        <v>30.612676056338028</v>
      </c>
      <c r="AL42">
        <f t="shared" si="4"/>
        <v>28.285714285714288</v>
      </c>
      <c r="AM42">
        <f t="shared" si="5"/>
        <v>34.905405405405403</v>
      </c>
      <c r="AN42">
        <f t="shared" si="6"/>
        <v>34.803797468354432</v>
      </c>
      <c r="AP42">
        <f t="shared" si="7"/>
        <v>15.107142857142858</v>
      </c>
      <c r="AQ42">
        <f t="shared" si="8"/>
        <v>26.437500000000004</v>
      </c>
    </row>
    <row r="43" spans="1:43" x14ac:dyDescent="0.3">
      <c r="A43">
        <v>40</v>
      </c>
      <c r="B43" s="25"/>
      <c r="C43" s="8" t="s">
        <v>84</v>
      </c>
      <c r="D43" s="8" t="s">
        <v>62</v>
      </c>
      <c r="E43">
        <f t="shared" si="9"/>
        <v>2.4666666666666668</v>
      </c>
      <c r="F43">
        <f t="shared" si="10"/>
        <v>2.0444444444444443</v>
      </c>
      <c r="G43">
        <f t="shared" si="11"/>
        <v>2.2666666666666666</v>
      </c>
      <c r="H43">
        <f t="shared" si="12"/>
        <v>2.0888888888888886</v>
      </c>
      <c r="I43">
        <f t="shared" si="13"/>
        <v>1.8888888888888888</v>
      </c>
      <c r="J43">
        <f t="shared" si="14"/>
        <v>2</v>
      </c>
      <c r="K43">
        <f t="shared" si="15"/>
        <v>1.1333333333333333</v>
      </c>
      <c r="L43">
        <f t="shared" si="16"/>
        <v>1.2222222222222221</v>
      </c>
      <c r="M43">
        <f t="shared" si="17"/>
        <v>1.4888888888888889</v>
      </c>
      <c r="O43">
        <f>1+51/60</f>
        <v>1.85</v>
      </c>
      <c r="P43">
        <f>1+32/60</f>
        <v>1.5333333333333332</v>
      </c>
      <c r="Q43">
        <f>1+42/60</f>
        <v>1.7</v>
      </c>
      <c r="R43">
        <f>1+34/60</f>
        <v>1.5666666666666667</v>
      </c>
      <c r="S43">
        <f>1+25/60</f>
        <v>1.4166666666666667</v>
      </c>
      <c r="T43">
        <f>1+30/60</f>
        <v>1.5</v>
      </c>
      <c r="U43">
        <f>51/60</f>
        <v>0.85</v>
      </c>
      <c r="V43">
        <f>55/60</f>
        <v>0.91666666666666663</v>
      </c>
      <c r="W43">
        <f>1+7/60</f>
        <v>1.1166666666666667</v>
      </c>
      <c r="Y43">
        <v>64.900000000000006</v>
      </c>
      <c r="Z43">
        <v>49.8</v>
      </c>
      <c r="AA43">
        <v>53.3</v>
      </c>
      <c r="AB43">
        <v>44.6</v>
      </c>
      <c r="AC43">
        <v>49.7</v>
      </c>
      <c r="AD43">
        <v>53.4</v>
      </c>
      <c r="AF43">
        <v>23.5</v>
      </c>
      <c r="AG43">
        <v>33.1</v>
      </c>
      <c r="AI43">
        <f t="shared" si="1"/>
        <v>26.310810810810811</v>
      </c>
      <c r="AJ43">
        <f t="shared" si="2"/>
        <v>24.358695652173914</v>
      </c>
      <c r="AK43">
        <f t="shared" si="3"/>
        <v>23.514705882352942</v>
      </c>
      <c r="AL43">
        <f t="shared" si="4"/>
        <v>21.35106382978724</v>
      </c>
      <c r="AM43">
        <f t="shared" si="5"/>
        <v>26.311764705882354</v>
      </c>
      <c r="AN43">
        <f t="shared" si="6"/>
        <v>26.7</v>
      </c>
      <c r="AP43">
        <f t="shared" si="7"/>
        <v>19.22727272727273</v>
      </c>
      <c r="AQ43">
        <f t="shared" si="8"/>
        <v>22.231343283582088</v>
      </c>
    </row>
    <row r="44" spans="1:43" x14ac:dyDescent="0.3">
      <c r="A44">
        <v>41</v>
      </c>
      <c r="B44" s="25"/>
      <c r="C44" s="8" t="s">
        <v>85</v>
      </c>
      <c r="D44" s="8" t="s">
        <v>63</v>
      </c>
      <c r="E44">
        <f t="shared" si="9"/>
        <v>2.7555555555555555</v>
      </c>
      <c r="F44">
        <f t="shared" si="10"/>
        <v>2.4666666666666668</v>
      </c>
      <c r="G44">
        <f t="shared" si="11"/>
        <v>2.6888888888888887</v>
      </c>
      <c r="H44">
        <f t="shared" si="12"/>
        <v>2.5333333333333332</v>
      </c>
      <c r="I44">
        <f t="shared" si="13"/>
        <v>1.9777777777777779</v>
      </c>
      <c r="J44">
        <f t="shared" si="14"/>
        <v>2.1999999999999997</v>
      </c>
      <c r="K44">
        <f t="shared" si="15"/>
        <v>1.4444444444444442</v>
      </c>
      <c r="L44">
        <f t="shared" si="16"/>
        <v>1.6444444444444444</v>
      </c>
      <c r="M44">
        <f t="shared" si="17"/>
        <v>1.911111111111111</v>
      </c>
      <c r="O44">
        <f>2+4/60</f>
        <v>2.0666666666666669</v>
      </c>
      <c r="P44">
        <f>1+51/60</f>
        <v>1.85</v>
      </c>
      <c r="Q44">
        <f>2+1/60</f>
        <v>2.0166666666666666</v>
      </c>
      <c r="R44">
        <f>1+54/60</f>
        <v>1.9</v>
      </c>
      <c r="S44">
        <f>1+29/60</f>
        <v>1.4833333333333334</v>
      </c>
      <c r="T44">
        <f>1+39/60</f>
        <v>1.65</v>
      </c>
      <c r="U44">
        <f>1+5/60</f>
        <v>1.0833333333333333</v>
      </c>
      <c r="V44">
        <f>1+14/60</f>
        <v>1.2333333333333334</v>
      </c>
      <c r="W44">
        <f>1+26/60</f>
        <v>1.4333333333333333</v>
      </c>
      <c r="Y44">
        <v>59.7</v>
      </c>
      <c r="Z44">
        <v>55.7</v>
      </c>
      <c r="AA44">
        <v>59.2</v>
      </c>
      <c r="AB44">
        <v>50.5</v>
      </c>
      <c r="AC44">
        <v>36.5</v>
      </c>
      <c r="AD44">
        <v>42.8</v>
      </c>
      <c r="AF44">
        <v>29.4</v>
      </c>
      <c r="AG44">
        <v>38.9</v>
      </c>
      <c r="AI44">
        <f t="shared" si="1"/>
        <v>21.665322580645164</v>
      </c>
      <c r="AJ44">
        <f t="shared" si="2"/>
        <v>22.581081081081081</v>
      </c>
      <c r="AK44">
        <f t="shared" si="3"/>
        <v>22.016528925619838</v>
      </c>
      <c r="AL44">
        <f t="shared" si="4"/>
        <v>19.934210526315791</v>
      </c>
      <c r="AM44">
        <f t="shared" si="5"/>
        <v>18.45505617977528</v>
      </c>
      <c r="AN44">
        <f t="shared" si="6"/>
        <v>19.454545454545457</v>
      </c>
      <c r="AP44">
        <f t="shared" si="7"/>
        <v>17.878378378378379</v>
      </c>
      <c r="AQ44">
        <f t="shared" si="8"/>
        <v>20.354651162790699</v>
      </c>
    </row>
    <row r="45" spans="1:43" x14ac:dyDescent="0.3">
      <c r="A45">
        <v>42</v>
      </c>
      <c r="B45" s="25"/>
      <c r="C45" s="8" t="s">
        <v>86</v>
      </c>
      <c r="D45" s="8" t="s">
        <v>64</v>
      </c>
      <c r="E45">
        <f t="shared" si="9"/>
        <v>2.2222222222222219</v>
      </c>
      <c r="F45">
        <f t="shared" si="10"/>
        <v>1.8</v>
      </c>
      <c r="G45">
        <f t="shared" si="11"/>
        <v>1.8444444444444443</v>
      </c>
      <c r="H45">
        <f t="shared" si="12"/>
        <v>1.6666666666666665</v>
      </c>
      <c r="I45">
        <f t="shared" si="13"/>
        <v>2.1333333333333333</v>
      </c>
      <c r="J45">
        <f t="shared" si="14"/>
        <v>2.2222222222222219</v>
      </c>
      <c r="K45">
        <f t="shared" si="15"/>
        <v>1.3555555555555554</v>
      </c>
      <c r="L45">
        <f t="shared" si="16"/>
        <v>0.77777777777777779</v>
      </c>
      <c r="M45">
        <f t="shared" si="17"/>
        <v>1</v>
      </c>
      <c r="O45">
        <f>1+40/60</f>
        <v>1.6666666666666665</v>
      </c>
      <c r="P45">
        <f>1+21/60</f>
        <v>1.35</v>
      </c>
      <c r="Q45">
        <f>1+23/60</f>
        <v>1.3833333333333333</v>
      </c>
      <c r="R45">
        <f>1+15/60</f>
        <v>1.25</v>
      </c>
      <c r="S45">
        <f>1+36/60</f>
        <v>1.6</v>
      </c>
      <c r="T45">
        <f>1+40/60</f>
        <v>1.6666666666666665</v>
      </c>
      <c r="U45">
        <f>1+1/60</f>
        <v>1.0166666666666666</v>
      </c>
      <c r="V45">
        <f>35/60</f>
        <v>0.58333333333333337</v>
      </c>
      <c r="W45">
        <f>45/60</f>
        <v>0.75</v>
      </c>
      <c r="Y45">
        <v>74.599999999999994</v>
      </c>
      <c r="Z45">
        <v>59.5</v>
      </c>
      <c r="AA45">
        <v>57.7</v>
      </c>
      <c r="AB45">
        <v>49</v>
      </c>
      <c r="AC45">
        <v>72.099999999999994</v>
      </c>
      <c r="AD45">
        <v>75.900000000000006</v>
      </c>
      <c r="AF45">
        <v>19.399999999999999</v>
      </c>
      <c r="AG45">
        <v>28.2</v>
      </c>
      <c r="AI45">
        <f t="shared" si="1"/>
        <v>33.57</v>
      </c>
      <c r="AJ45">
        <f t="shared" si="2"/>
        <v>33.055555555555557</v>
      </c>
      <c r="AK45">
        <f t="shared" si="3"/>
        <v>31.283132530120486</v>
      </c>
      <c r="AL45">
        <f t="shared" si="4"/>
        <v>29.400000000000002</v>
      </c>
      <c r="AM45">
        <f t="shared" si="5"/>
        <v>33.796875</v>
      </c>
      <c r="AN45">
        <f t="shared" si="6"/>
        <v>34.155000000000008</v>
      </c>
      <c r="AP45">
        <f t="shared" si="7"/>
        <v>24.94285714285714</v>
      </c>
      <c r="AQ45">
        <f t="shared" si="8"/>
        <v>28.2</v>
      </c>
    </row>
    <row r="46" spans="1:43" ht="18" customHeight="1" x14ac:dyDescent="0.3">
      <c r="A46">
        <v>43</v>
      </c>
      <c r="B46" s="26"/>
      <c r="C46" s="9" t="s">
        <v>87</v>
      </c>
      <c r="D46" s="9" t="s">
        <v>65</v>
      </c>
      <c r="E46">
        <f t="shared" si="9"/>
        <v>1.8888888888888888</v>
      </c>
      <c r="F46">
        <f t="shared" si="10"/>
        <v>1.4666666666666668</v>
      </c>
      <c r="G46">
        <f t="shared" si="11"/>
        <v>1.5111111111111111</v>
      </c>
      <c r="H46">
        <f t="shared" si="12"/>
        <v>1.3555555555555554</v>
      </c>
      <c r="I46">
        <f t="shared" si="13"/>
        <v>1.9333333333333331</v>
      </c>
      <c r="J46">
        <f t="shared" si="14"/>
        <v>2.0222222222222221</v>
      </c>
      <c r="K46">
        <f t="shared" si="15"/>
        <v>1.1555555555555554</v>
      </c>
      <c r="L46">
        <f t="shared" si="16"/>
        <v>0.77777777777777779</v>
      </c>
      <c r="M46">
        <f t="shared" si="17"/>
        <v>0.66666666666666663</v>
      </c>
      <c r="O46">
        <f>1+25/60</f>
        <v>1.4166666666666667</v>
      </c>
      <c r="P46">
        <f>1+6/60</f>
        <v>1.1000000000000001</v>
      </c>
      <c r="Q46">
        <f>1+8/60</f>
        <v>1.1333333333333333</v>
      </c>
      <c r="R46">
        <f>1+1/60</f>
        <v>1.0166666666666666</v>
      </c>
      <c r="S46">
        <f>1+27/60</f>
        <v>1.45</v>
      </c>
      <c r="T46">
        <f>1+31/60</f>
        <v>1.5166666666666666</v>
      </c>
      <c r="U46">
        <f>52/60</f>
        <v>0.8666666666666667</v>
      </c>
      <c r="V46">
        <f>35/60</f>
        <v>0.58333333333333337</v>
      </c>
      <c r="W46">
        <v>0.5</v>
      </c>
      <c r="Y46">
        <v>65.400000000000006</v>
      </c>
      <c r="Z46">
        <v>50.3</v>
      </c>
      <c r="AA46">
        <v>48.4</v>
      </c>
      <c r="AB46">
        <v>39.799999999999997</v>
      </c>
      <c r="AC46">
        <v>69</v>
      </c>
      <c r="AD46">
        <v>72.8</v>
      </c>
      <c r="AF46">
        <v>22.4</v>
      </c>
      <c r="AG46">
        <v>19</v>
      </c>
      <c r="AI46">
        <f t="shared" si="1"/>
        <v>34.623529411764707</v>
      </c>
      <c r="AJ46">
        <f t="shared" si="2"/>
        <v>34.29545454545454</v>
      </c>
      <c r="AK46">
        <f t="shared" si="3"/>
        <v>32.029411764705884</v>
      </c>
      <c r="AL46">
        <f t="shared" si="4"/>
        <v>29.360655737704921</v>
      </c>
      <c r="AM46">
        <f t="shared" si="5"/>
        <v>35.689655172413794</v>
      </c>
      <c r="AN46">
        <f t="shared" si="6"/>
        <v>36</v>
      </c>
      <c r="AP46">
        <f t="shared" si="7"/>
        <v>28.799999999999997</v>
      </c>
      <c r="AQ46">
        <f t="shared" si="8"/>
        <v>28.5</v>
      </c>
    </row>
    <row r="48" spans="1:43" x14ac:dyDescent="0.3">
      <c r="E48">
        <f t="shared" ref="E48:K48" si="18">MAX(E4:E47)</f>
        <v>2.7555555555555555</v>
      </c>
      <c r="F48">
        <f t="shared" si="18"/>
        <v>2.8666666666666663</v>
      </c>
      <c r="G48">
        <f t="shared" si="18"/>
        <v>3.0888888888888886</v>
      </c>
      <c r="H48">
        <f t="shared" si="18"/>
        <v>3.3111111111111109</v>
      </c>
      <c r="I48">
        <f t="shared" si="18"/>
        <v>2.7555555555555555</v>
      </c>
      <c r="J48">
        <f t="shared" si="18"/>
        <v>2.7333333333333329</v>
      </c>
      <c r="K48">
        <f t="shared" si="18"/>
        <v>2.4</v>
      </c>
      <c r="L48">
        <f t="shared" ref="L48:X48" si="19">MAX(L4:L47)</f>
        <v>2.5111111111111111</v>
      </c>
      <c r="M48">
        <f t="shared" si="19"/>
        <v>2.8</v>
      </c>
      <c r="O48">
        <f t="shared" ref="O48:U48" si="20">MAX(O4:O47)</f>
        <v>2.0666666666666669</v>
      </c>
      <c r="P48">
        <f t="shared" si="20"/>
        <v>2.15</v>
      </c>
      <c r="Q48">
        <f t="shared" si="20"/>
        <v>2.3166666666666664</v>
      </c>
      <c r="R48">
        <f t="shared" si="20"/>
        <v>2.4833333333333334</v>
      </c>
      <c r="S48">
        <f t="shared" si="20"/>
        <v>2.0666666666666669</v>
      </c>
      <c r="T48">
        <f t="shared" si="20"/>
        <v>2.0499999999999998</v>
      </c>
      <c r="U48">
        <f t="shared" si="20"/>
        <v>1.8</v>
      </c>
      <c r="V48">
        <f t="shared" ref="V48:W48" si="21">MAX(V4:V47)</f>
        <v>1.8833333333333333</v>
      </c>
      <c r="W48">
        <f t="shared" si="21"/>
        <v>2.1</v>
      </c>
      <c r="X48">
        <f t="shared" si="19"/>
        <v>0</v>
      </c>
      <c r="Y48">
        <f t="shared" ref="Y48:AD48" si="22">MAX(Y4:Y47)</f>
        <v>74.599999999999994</v>
      </c>
      <c r="Z48">
        <f t="shared" si="22"/>
        <v>88.5</v>
      </c>
      <c r="AA48">
        <f t="shared" si="22"/>
        <v>102</v>
      </c>
      <c r="AB48">
        <f t="shared" si="22"/>
        <v>93.2</v>
      </c>
      <c r="AC48">
        <f t="shared" si="22"/>
        <v>92.3</v>
      </c>
      <c r="AD48">
        <f t="shared" si="22"/>
        <v>84.9</v>
      </c>
      <c r="AQ48">
        <f>AVERAGE(AI4:AN46)</f>
        <v>29.816995735508321</v>
      </c>
    </row>
  </sheetData>
  <mergeCells count="6">
    <mergeCell ref="O1:W1"/>
    <mergeCell ref="B4:B17"/>
    <mergeCell ref="B18:B27"/>
    <mergeCell ref="B28:B38"/>
    <mergeCell ref="B39:B46"/>
    <mergeCell ref="E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8"/>
  <sheetViews>
    <sheetView topLeftCell="A2" workbookViewId="0">
      <selection activeCell="E4" sqref="E4:K46"/>
    </sheetView>
  </sheetViews>
  <sheetFormatPr defaultRowHeight="14.4" x14ac:dyDescent="0.3"/>
  <cols>
    <col min="2" max="2" width="3.6640625" style="1" bestFit="1" customWidth="1"/>
    <col min="3" max="3" width="18.33203125" bestFit="1" customWidth="1"/>
    <col min="4" max="4" width="25.88671875" bestFit="1" customWidth="1"/>
    <col min="5" max="27" width="6.6640625" style="15" customWidth="1"/>
    <col min="28" max="29" width="9.109375"/>
  </cols>
  <sheetData>
    <row r="1" spans="1:35" x14ac:dyDescent="0.3">
      <c r="E1" s="30" t="s">
        <v>174</v>
      </c>
      <c r="F1" s="30"/>
      <c r="G1" s="30"/>
      <c r="H1" s="30"/>
      <c r="I1" s="30"/>
      <c r="J1" s="30"/>
      <c r="K1" s="30"/>
      <c r="M1" s="30" t="s">
        <v>174</v>
      </c>
      <c r="N1" s="30"/>
      <c r="O1" s="30"/>
      <c r="P1" s="30"/>
      <c r="Q1" s="30"/>
      <c r="R1" s="30"/>
      <c r="S1" s="30"/>
      <c r="U1" s="30" t="s">
        <v>175</v>
      </c>
      <c r="V1" s="30"/>
      <c r="W1" s="30"/>
      <c r="X1" s="30"/>
      <c r="Y1" s="30"/>
      <c r="Z1" s="30"/>
      <c r="AA1" s="30"/>
    </row>
    <row r="2" spans="1:35" x14ac:dyDescent="0.3">
      <c r="E2" s="19" t="s">
        <v>91</v>
      </c>
      <c r="F2" s="15" t="s">
        <v>92</v>
      </c>
      <c r="G2" s="15" t="s">
        <v>93</v>
      </c>
      <c r="H2" s="15" t="s">
        <v>94</v>
      </c>
      <c r="I2" s="15" t="s">
        <v>96</v>
      </c>
      <c r="J2" s="15" t="s">
        <v>97</v>
      </c>
      <c r="K2" s="15" t="s">
        <v>95</v>
      </c>
      <c r="M2" s="19" t="s">
        <v>91</v>
      </c>
      <c r="N2" s="15" t="s">
        <v>92</v>
      </c>
      <c r="O2" s="15" t="s">
        <v>93</v>
      </c>
      <c r="P2" s="15" t="s">
        <v>94</v>
      </c>
      <c r="Q2" s="15" t="s">
        <v>96</v>
      </c>
      <c r="R2" s="15" t="s">
        <v>97</v>
      </c>
      <c r="S2" s="15" t="s">
        <v>95</v>
      </c>
      <c r="T2" s="15" t="s">
        <v>176</v>
      </c>
      <c r="V2" t="s">
        <v>92</v>
      </c>
      <c r="W2" s="15" t="s">
        <v>93</v>
      </c>
      <c r="X2" s="15" t="s">
        <v>94</v>
      </c>
      <c r="Y2" s="15" t="s">
        <v>96</v>
      </c>
      <c r="Z2" s="15" t="s">
        <v>97</v>
      </c>
      <c r="AA2" s="20" t="s">
        <v>95</v>
      </c>
    </row>
    <row r="3" spans="1:35" x14ac:dyDescent="0.3">
      <c r="A3" t="s">
        <v>143</v>
      </c>
      <c r="B3" s="6" t="s">
        <v>143</v>
      </c>
      <c r="C3" s="4" t="s">
        <v>88</v>
      </c>
      <c r="D3" s="4"/>
      <c r="E3" s="15" t="s">
        <v>149</v>
      </c>
      <c r="F3" s="15" t="s">
        <v>150</v>
      </c>
      <c r="G3" s="15" t="s">
        <v>151</v>
      </c>
      <c r="H3" s="15" t="s">
        <v>152</v>
      </c>
      <c r="I3" s="15" t="s">
        <v>172</v>
      </c>
      <c r="J3" s="15" t="s">
        <v>153</v>
      </c>
      <c r="K3" s="15" t="s">
        <v>154</v>
      </c>
      <c r="M3" s="15" t="s">
        <v>149</v>
      </c>
      <c r="N3" s="15" t="s">
        <v>150</v>
      </c>
      <c r="O3" s="15" t="s">
        <v>151</v>
      </c>
      <c r="P3" s="15" t="s">
        <v>152</v>
      </c>
      <c r="Q3" s="15" t="s">
        <v>172</v>
      </c>
      <c r="R3" s="15" t="s">
        <v>153</v>
      </c>
      <c r="S3" s="15" t="s">
        <v>154</v>
      </c>
      <c r="U3" s="15" t="s">
        <v>149</v>
      </c>
      <c r="V3" s="15" t="s">
        <v>150</v>
      </c>
      <c r="W3" s="15" t="s">
        <v>151</v>
      </c>
      <c r="X3" s="15" t="s">
        <v>152</v>
      </c>
      <c r="Y3" s="15" t="s">
        <v>172</v>
      </c>
      <c r="Z3" s="15" t="s">
        <v>153</v>
      </c>
      <c r="AA3" s="15" t="s">
        <v>154</v>
      </c>
      <c r="AC3" s="15" t="s">
        <v>149</v>
      </c>
      <c r="AD3" s="15" t="s">
        <v>150</v>
      </c>
      <c r="AE3" s="15" t="s">
        <v>151</v>
      </c>
      <c r="AF3" s="15" t="s">
        <v>152</v>
      </c>
      <c r="AG3" s="15" t="s">
        <v>172</v>
      </c>
      <c r="AH3" s="15" t="s">
        <v>153</v>
      </c>
      <c r="AI3" s="15" t="s">
        <v>154</v>
      </c>
    </row>
    <row r="4" spans="1:35" x14ac:dyDescent="0.3">
      <c r="A4">
        <v>1</v>
      </c>
      <c r="B4" s="23" t="s">
        <v>25</v>
      </c>
      <c r="C4" t="s">
        <v>0</v>
      </c>
      <c r="D4" t="s">
        <v>1</v>
      </c>
      <c r="E4" s="15">
        <f>M4*(1/0.75)</f>
        <v>1.3333333333333333</v>
      </c>
      <c r="F4" s="15">
        <f t="shared" ref="F4" si="0">N4*(1/0.75)</f>
        <v>2</v>
      </c>
      <c r="G4" s="15">
        <f t="shared" ref="G4" si="1">O4*(1/0.75)</f>
        <v>2.2666666666666666</v>
      </c>
      <c r="H4" s="15">
        <f t="shared" ref="H4" si="2">P4*(1/0.75)</f>
        <v>2.2266666666666666</v>
      </c>
      <c r="I4" s="15">
        <f t="shared" ref="I4" si="3">Q4*(1/0.75)</f>
        <v>2</v>
      </c>
      <c r="J4" s="15">
        <f t="shared" ref="J4" si="4">R4*(1/0.75)</f>
        <v>1.3777777777777778</v>
      </c>
      <c r="K4" s="15">
        <f t="shared" ref="K4" si="5">S4*(1/0.75)</f>
        <v>2.2888888888888888</v>
      </c>
      <c r="M4" s="15">
        <v>1</v>
      </c>
      <c r="N4" s="15">
        <v>1.5</v>
      </c>
      <c r="O4" s="15">
        <f>1+42/60</f>
        <v>1.7</v>
      </c>
      <c r="P4" s="15">
        <v>1.67</v>
      </c>
      <c r="Q4" s="15">
        <v>1.5</v>
      </c>
      <c r="R4" s="15">
        <f>1+2/60</f>
        <v>1.0333333333333334</v>
      </c>
      <c r="S4" s="15">
        <f>1+43/60</f>
        <v>1.7166666666666668</v>
      </c>
      <c r="U4" s="15">
        <v>22.8</v>
      </c>
      <c r="V4" s="15">
        <v>46</v>
      </c>
      <c r="W4" s="15">
        <v>60.9</v>
      </c>
      <c r="X4" s="15">
        <v>60.8</v>
      </c>
      <c r="Y4" s="15">
        <v>48.2</v>
      </c>
      <c r="Z4" s="15">
        <v>25.2</v>
      </c>
      <c r="AA4" s="15">
        <v>63.6</v>
      </c>
      <c r="AC4">
        <f t="shared" ref="AC4:AC46" si="6">U4/E4</f>
        <v>17.100000000000001</v>
      </c>
      <c r="AD4">
        <f t="shared" ref="AD4:AD46" si="7">V4/F4</f>
        <v>23</v>
      </c>
      <c r="AE4">
        <f t="shared" ref="AE4:AE46" si="8">W4/G4</f>
        <v>26.867647058823529</v>
      </c>
      <c r="AF4">
        <f t="shared" ref="AF4:AF46" si="9">X4/H4</f>
        <v>27.305389221556887</v>
      </c>
      <c r="AG4">
        <f t="shared" ref="AG4:AG46" si="10">Y4/I4</f>
        <v>24.1</v>
      </c>
      <c r="AH4">
        <f t="shared" ref="AH4:AH46" si="11">Z4/J4</f>
        <v>18.29032258064516</v>
      </c>
      <c r="AI4">
        <f t="shared" ref="AI4:AI46" si="12">AA4/K4</f>
        <v>27.786407766990294</v>
      </c>
    </row>
    <row r="5" spans="1:35" x14ac:dyDescent="0.3">
      <c r="A5">
        <v>2</v>
      </c>
      <c r="B5" s="23"/>
      <c r="C5" t="s">
        <v>2</v>
      </c>
      <c r="D5" t="s">
        <v>3</v>
      </c>
      <c r="E5" s="15">
        <f t="shared" ref="E5:E46" si="13">M5*(1/0.75)</f>
        <v>0.88888888888888884</v>
      </c>
      <c r="F5" s="15">
        <f t="shared" ref="F5:F46" si="14">N5*(1/0.75)</f>
        <v>2.1555555555555554</v>
      </c>
      <c r="G5" s="15">
        <f t="shared" ref="G5:G46" si="15">O5*(1/0.75)</f>
        <v>2.3555555555555552</v>
      </c>
      <c r="H5" s="15">
        <f t="shared" ref="H5:H46" si="16">P5*(1/0.75)</f>
        <v>2.2444444444444445</v>
      </c>
      <c r="I5" s="15">
        <f t="shared" ref="I5:I46" si="17">Q5*(1/0.75)</f>
        <v>1.7555555555555555</v>
      </c>
      <c r="J5" s="15">
        <f t="shared" ref="J5:J46" si="18">R5*(1/0.75)</f>
        <v>1.6444444444444444</v>
      </c>
      <c r="K5" s="15">
        <f t="shared" ref="K5:K46" si="19">S5*(1/0.75)</f>
        <v>2.4</v>
      </c>
      <c r="M5" s="15">
        <f>40/60</f>
        <v>0.66666666666666663</v>
      </c>
      <c r="N5" s="15">
        <f>1+37/60</f>
        <v>1.6166666666666667</v>
      </c>
      <c r="O5" s="15">
        <f>1+46/60</f>
        <v>1.7666666666666666</v>
      </c>
      <c r="P5" s="15">
        <f>1+41/60</f>
        <v>1.6833333333333333</v>
      </c>
      <c r="Q5" s="15">
        <f>1+19/60</f>
        <v>1.3166666666666667</v>
      </c>
      <c r="R5" s="15">
        <f>74/60</f>
        <v>1.2333333333333334</v>
      </c>
      <c r="S5" s="15">
        <f>1+48/60</f>
        <v>1.8</v>
      </c>
      <c r="U5" s="15">
        <v>12.7</v>
      </c>
      <c r="V5" s="15">
        <v>53.6</v>
      </c>
      <c r="W5" s="15">
        <v>61.4</v>
      </c>
      <c r="X5" s="15">
        <v>61.2</v>
      </c>
      <c r="Y5" s="15">
        <v>40.799999999999997</v>
      </c>
      <c r="Z5" s="15">
        <v>17.8</v>
      </c>
      <c r="AA5" s="15">
        <v>64.099999999999994</v>
      </c>
      <c r="AC5">
        <f t="shared" si="6"/>
        <v>14.2875</v>
      </c>
      <c r="AD5">
        <f t="shared" si="7"/>
        <v>24.865979381443299</v>
      </c>
      <c r="AE5">
        <f t="shared" si="8"/>
        <v>26.066037735849061</v>
      </c>
      <c r="AF5">
        <f t="shared" si="9"/>
        <v>27.267326732673268</v>
      </c>
      <c r="AG5">
        <f t="shared" si="10"/>
        <v>23.240506329113924</v>
      </c>
      <c r="AH5">
        <f t="shared" si="11"/>
        <v>10.824324324324325</v>
      </c>
      <c r="AI5">
        <f t="shared" si="12"/>
        <v>26.708333333333332</v>
      </c>
    </row>
    <row r="6" spans="1:35" x14ac:dyDescent="0.3">
      <c r="A6">
        <v>3</v>
      </c>
      <c r="B6" s="23"/>
      <c r="C6" t="s">
        <v>4</v>
      </c>
      <c r="D6" t="s">
        <v>5</v>
      </c>
      <c r="E6" s="15">
        <f t="shared" si="13"/>
        <v>0.15555555555555556</v>
      </c>
      <c r="F6" s="15">
        <f t="shared" si="14"/>
        <v>1.6666666666666665</v>
      </c>
      <c r="G6" s="15">
        <f t="shared" si="15"/>
        <v>1.6444444444444444</v>
      </c>
      <c r="H6" s="15">
        <f t="shared" si="16"/>
        <v>1.5111111111111111</v>
      </c>
      <c r="I6" s="15">
        <f t="shared" si="17"/>
        <v>1.2666666666666666</v>
      </c>
      <c r="J6" s="15">
        <f t="shared" si="18"/>
        <v>0.55555555555555558</v>
      </c>
      <c r="K6" s="15">
        <f t="shared" si="19"/>
        <v>1.6666666666666665</v>
      </c>
      <c r="M6" s="15">
        <f>7/60</f>
        <v>0.11666666666666667</v>
      </c>
      <c r="N6" s="15">
        <f>1+15/60</f>
        <v>1.25</v>
      </c>
      <c r="O6" s="15">
        <f>1+14/60</f>
        <v>1.2333333333333334</v>
      </c>
      <c r="P6" s="15">
        <f>1+8/60</f>
        <v>1.1333333333333333</v>
      </c>
      <c r="Q6" s="15">
        <f>57/60</f>
        <v>0.95</v>
      </c>
      <c r="R6" s="15">
        <f>25/60</f>
        <v>0.41666666666666669</v>
      </c>
      <c r="S6" s="15">
        <f>1+15/60</f>
        <v>1.25</v>
      </c>
      <c r="U6" s="15">
        <v>2</v>
      </c>
      <c r="V6" s="15">
        <v>48.5</v>
      </c>
      <c r="W6" s="15">
        <v>50.7</v>
      </c>
      <c r="X6" s="15">
        <v>50.5</v>
      </c>
      <c r="Y6" s="15">
        <v>37.6</v>
      </c>
      <c r="Z6" s="15">
        <v>14.6</v>
      </c>
      <c r="AA6" s="15">
        <v>53.4</v>
      </c>
      <c r="AC6">
        <f t="shared" si="6"/>
        <v>12.857142857142858</v>
      </c>
      <c r="AD6">
        <f t="shared" si="7"/>
        <v>29.1</v>
      </c>
      <c r="AE6">
        <f t="shared" si="8"/>
        <v>30.831081081081084</v>
      </c>
      <c r="AF6">
        <f t="shared" si="9"/>
        <v>33.419117647058826</v>
      </c>
      <c r="AG6">
        <f t="shared" si="10"/>
        <v>29.684210526315791</v>
      </c>
      <c r="AH6">
        <f t="shared" si="11"/>
        <v>26.279999999999998</v>
      </c>
      <c r="AI6">
        <f t="shared" si="12"/>
        <v>32.04</v>
      </c>
    </row>
    <row r="7" spans="1:35" x14ac:dyDescent="0.3">
      <c r="A7">
        <v>4</v>
      </c>
      <c r="B7" s="23"/>
      <c r="C7" t="s">
        <v>6</v>
      </c>
      <c r="D7" t="s">
        <v>7</v>
      </c>
      <c r="E7" s="15">
        <f t="shared" si="13"/>
        <v>6.6666666666666666E-2</v>
      </c>
      <c r="F7" s="15">
        <f t="shared" si="14"/>
        <v>1.4666666666666668</v>
      </c>
      <c r="G7" s="15">
        <f t="shared" si="15"/>
        <v>1.4222222222222221</v>
      </c>
      <c r="H7" s="15">
        <f t="shared" si="16"/>
        <v>1.3333333333333333</v>
      </c>
      <c r="I7" s="15">
        <f t="shared" si="17"/>
        <v>1.2444444444444445</v>
      </c>
      <c r="J7" s="15">
        <f t="shared" si="18"/>
        <v>0.53333333333333333</v>
      </c>
      <c r="K7" s="15">
        <f t="shared" si="19"/>
        <v>1.4444444444444442</v>
      </c>
      <c r="M7" s="15">
        <f>3/60</f>
        <v>0.05</v>
      </c>
      <c r="N7" s="15">
        <f>1+6/60</f>
        <v>1.1000000000000001</v>
      </c>
      <c r="O7" s="15">
        <f>1+4/60</f>
        <v>1.0666666666666667</v>
      </c>
      <c r="P7" s="15">
        <v>1</v>
      </c>
      <c r="Q7" s="15">
        <f>56/60</f>
        <v>0.93333333333333335</v>
      </c>
      <c r="R7" s="15">
        <f>24/60</f>
        <v>0.4</v>
      </c>
      <c r="S7" s="15">
        <f>1+5/60</f>
        <v>1.0833333333333333</v>
      </c>
      <c r="U7" s="15">
        <v>1.9</v>
      </c>
      <c r="V7" s="15">
        <v>44.6</v>
      </c>
      <c r="W7" s="15">
        <v>46.9</v>
      </c>
      <c r="X7" s="15">
        <v>46.7</v>
      </c>
      <c r="Y7" s="15">
        <v>39.1</v>
      </c>
      <c r="Z7" s="15">
        <v>16.100000000000001</v>
      </c>
      <c r="AA7" s="15">
        <v>49.6</v>
      </c>
      <c r="AC7">
        <f t="shared" si="6"/>
        <v>28.5</v>
      </c>
      <c r="AD7">
        <f t="shared" si="7"/>
        <v>30.409090909090907</v>
      </c>
      <c r="AE7">
        <f t="shared" si="8"/>
        <v>32.9765625</v>
      </c>
      <c r="AF7">
        <f t="shared" si="9"/>
        <v>35.025000000000006</v>
      </c>
      <c r="AG7">
        <f t="shared" si="10"/>
        <v>31.419642857142858</v>
      </c>
      <c r="AH7">
        <f t="shared" si="11"/>
        <v>30.187500000000004</v>
      </c>
      <c r="AI7">
        <f t="shared" si="12"/>
        <v>34.338461538461544</v>
      </c>
    </row>
    <row r="8" spans="1:35" x14ac:dyDescent="0.3">
      <c r="A8">
        <v>5</v>
      </c>
      <c r="B8" s="23"/>
      <c r="C8" t="s">
        <v>8</v>
      </c>
      <c r="D8" t="s">
        <v>9</v>
      </c>
      <c r="E8" s="15">
        <f t="shared" si="13"/>
        <v>0.28888888888888886</v>
      </c>
      <c r="F8" s="15">
        <f t="shared" si="14"/>
        <v>1.5999999999999999</v>
      </c>
      <c r="G8" s="15">
        <f t="shared" si="15"/>
        <v>1.5999999999999999</v>
      </c>
      <c r="H8" s="15">
        <f t="shared" si="16"/>
        <v>1.4666666666666668</v>
      </c>
      <c r="I8" s="15">
        <f t="shared" si="17"/>
        <v>1.4888888888888889</v>
      </c>
      <c r="J8" s="15">
        <f t="shared" si="18"/>
        <v>0.75555555555555554</v>
      </c>
      <c r="K8" s="15">
        <f t="shared" si="19"/>
        <v>1.6222222222222222</v>
      </c>
      <c r="M8" s="15">
        <f>13/60</f>
        <v>0.21666666666666667</v>
      </c>
      <c r="N8" s="15">
        <f>1+12/60</f>
        <v>1.2</v>
      </c>
      <c r="O8" s="15">
        <f>1+12/60</f>
        <v>1.2</v>
      </c>
      <c r="P8" s="15">
        <f>1+6/60</f>
        <v>1.1000000000000001</v>
      </c>
      <c r="Q8" s="15">
        <f>1+7/60</f>
        <v>1.1166666666666667</v>
      </c>
      <c r="R8" s="15">
        <f>34/60</f>
        <v>0.56666666666666665</v>
      </c>
      <c r="S8" s="15">
        <f>1+13/60</f>
        <v>1.2166666666666668</v>
      </c>
      <c r="U8" s="15">
        <v>5.9</v>
      </c>
      <c r="V8" s="15">
        <v>46.9</v>
      </c>
      <c r="W8" s="15">
        <v>49.1</v>
      </c>
      <c r="X8" s="15">
        <v>49</v>
      </c>
      <c r="Y8" s="15">
        <v>43.1</v>
      </c>
      <c r="Z8" s="15">
        <v>20.100000000000001</v>
      </c>
      <c r="AA8" s="15">
        <v>51.8</v>
      </c>
      <c r="AC8">
        <f t="shared" si="6"/>
        <v>20.423076923076927</v>
      </c>
      <c r="AD8">
        <f t="shared" si="7"/>
        <v>29.3125</v>
      </c>
      <c r="AE8">
        <f t="shared" si="8"/>
        <v>30.687500000000004</v>
      </c>
      <c r="AF8">
        <f t="shared" si="9"/>
        <v>33.409090909090907</v>
      </c>
      <c r="AG8">
        <f t="shared" si="10"/>
        <v>28.947761194029852</v>
      </c>
      <c r="AH8">
        <f t="shared" si="11"/>
        <v>26.602941176470591</v>
      </c>
      <c r="AI8">
        <f t="shared" si="12"/>
        <v>31.931506849315067</v>
      </c>
    </row>
    <row r="9" spans="1:35" x14ac:dyDescent="0.3">
      <c r="A9">
        <v>6</v>
      </c>
      <c r="B9" s="23"/>
      <c r="C9" t="s">
        <v>10</v>
      </c>
      <c r="D9" s="5" t="s">
        <v>11</v>
      </c>
      <c r="E9" s="15">
        <f t="shared" si="13"/>
        <v>0.71111111111111103</v>
      </c>
      <c r="F9" s="15">
        <f t="shared" si="14"/>
        <v>0.55555555555555558</v>
      </c>
      <c r="G9" s="15">
        <f t="shared" si="15"/>
        <v>0.84444444444444433</v>
      </c>
      <c r="H9" s="15">
        <f t="shared" si="16"/>
        <v>0.66666666666666663</v>
      </c>
      <c r="I9" s="15">
        <f t="shared" si="17"/>
        <v>1.911111111111111</v>
      </c>
      <c r="J9" s="15">
        <f t="shared" si="18"/>
        <v>1.1777777777777776</v>
      </c>
      <c r="K9" s="15">
        <f t="shared" si="19"/>
        <v>0.79999999999999993</v>
      </c>
      <c r="M9" s="15">
        <f>32/60</f>
        <v>0.53333333333333333</v>
      </c>
      <c r="N9" s="15">
        <f>25/60</f>
        <v>0.41666666666666669</v>
      </c>
      <c r="O9" s="15">
        <f>38/60</f>
        <v>0.6333333333333333</v>
      </c>
      <c r="P9" s="15">
        <v>0.5</v>
      </c>
      <c r="Q9" s="15">
        <f>1+26/60</f>
        <v>1.4333333333333333</v>
      </c>
      <c r="R9" s="15">
        <f>53/60</f>
        <v>0.8833333333333333</v>
      </c>
      <c r="S9" s="15">
        <f>36/60</f>
        <v>0.6</v>
      </c>
      <c r="U9" s="15">
        <v>23.7</v>
      </c>
      <c r="V9" s="15">
        <v>25</v>
      </c>
      <c r="W9" s="15">
        <v>27.2</v>
      </c>
      <c r="X9" s="15">
        <v>24.9</v>
      </c>
      <c r="Y9" s="15">
        <v>60.9</v>
      </c>
      <c r="Z9" s="15">
        <v>37.9</v>
      </c>
      <c r="AA9" s="15">
        <v>27.8</v>
      </c>
      <c r="AC9">
        <f t="shared" si="6"/>
        <v>33.328125</v>
      </c>
      <c r="AD9">
        <f t="shared" si="7"/>
        <v>45</v>
      </c>
      <c r="AE9">
        <f t="shared" si="8"/>
        <v>32.21052631578948</v>
      </c>
      <c r="AF9">
        <f t="shared" si="9"/>
        <v>37.35</v>
      </c>
      <c r="AG9">
        <f t="shared" si="10"/>
        <v>31.866279069767444</v>
      </c>
      <c r="AH9">
        <f t="shared" si="11"/>
        <v>32.179245283018872</v>
      </c>
      <c r="AI9">
        <f t="shared" si="12"/>
        <v>34.750000000000007</v>
      </c>
    </row>
    <row r="10" spans="1:35" x14ac:dyDescent="0.3">
      <c r="A10">
        <v>7</v>
      </c>
      <c r="B10" s="23"/>
      <c r="C10" t="s">
        <v>12</v>
      </c>
      <c r="D10" t="s">
        <v>13</v>
      </c>
      <c r="E10" s="15">
        <f t="shared" si="13"/>
        <v>0.79999999999999993</v>
      </c>
      <c r="F10" s="15">
        <f t="shared" si="14"/>
        <v>0.93333333333333324</v>
      </c>
      <c r="G10" s="15">
        <f t="shared" si="15"/>
        <v>0.93333333333333324</v>
      </c>
      <c r="H10" s="15">
        <f t="shared" si="16"/>
        <v>0.55555555555555558</v>
      </c>
      <c r="I10" s="15">
        <f t="shared" si="17"/>
        <v>1.8</v>
      </c>
      <c r="J10" s="15">
        <f t="shared" si="18"/>
        <v>1.2666666666666666</v>
      </c>
      <c r="K10" s="15">
        <f t="shared" si="19"/>
        <v>0.71111111111111103</v>
      </c>
      <c r="M10" s="15">
        <f>36/60</f>
        <v>0.6</v>
      </c>
      <c r="N10" s="15">
        <f>42/60</f>
        <v>0.7</v>
      </c>
      <c r="O10" s="15">
        <f>42/60</f>
        <v>0.7</v>
      </c>
      <c r="P10" s="15">
        <f>25/60</f>
        <v>0.41666666666666669</v>
      </c>
      <c r="Q10" s="15">
        <f>1+21/60</f>
        <v>1.35</v>
      </c>
      <c r="R10" s="15">
        <f>57/60</f>
        <v>0.95</v>
      </c>
      <c r="S10" s="15">
        <f>32/60</f>
        <v>0.53333333333333333</v>
      </c>
      <c r="U10" s="15">
        <v>27.5</v>
      </c>
      <c r="V10" s="15">
        <v>28.8</v>
      </c>
      <c r="W10" s="15">
        <v>31.1</v>
      </c>
      <c r="X10" s="15">
        <v>21.1</v>
      </c>
      <c r="Y10" s="15">
        <v>66.5</v>
      </c>
      <c r="Z10" s="15">
        <v>41.7</v>
      </c>
      <c r="AA10" s="15">
        <v>23.9</v>
      </c>
      <c r="AC10">
        <f t="shared" si="6"/>
        <v>34.375</v>
      </c>
      <c r="AD10">
        <f t="shared" si="7"/>
        <v>30.857142857142861</v>
      </c>
      <c r="AE10">
        <f t="shared" si="8"/>
        <v>33.321428571428577</v>
      </c>
      <c r="AF10">
        <f t="shared" si="9"/>
        <v>37.980000000000004</v>
      </c>
      <c r="AG10">
        <f t="shared" si="10"/>
        <v>36.944444444444443</v>
      </c>
      <c r="AH10">
        <f t="shared" si="11"/>
        <v>32.921052631578952</v>
      </c>
      <c r="AI10">
        <f t="shared" si="12"/>
        <v>33.609375</v>
      </c>
    </row>
    <row r="11" spans="1:35" x14ac:dyDescent="0.3">
      <c r="A11">
        <v>8</v>
      </c>
      <c r="B11" s="23"/>
      <c r="C11" t="s">
        <v>14</v>
      </c>
      <c r="D11" t="s">
        <v>15</v>
      </c>
      <c r="E11" s="15">
        <f t="shared" si="13"/>
        <v>1.2</v>
      </c>
      <c r="F11" s="15">
        <f t="shared" si="14"/>
        <v>0.66666666666666663</v>
      </c>
      <c r="G11" s="15">
        <f t="shared" si="15"/>
        <v>0.35555555555555551</v>
      </c>
      <c r="H11" s="15">
        <f t="shared" si="16"/>
        <v>0.91111111111111109</v>
      </c>
      <c r="I11" s="15">
        <f t="shared" si="17"/>
        <v>2.4</v>
      </c>
      <c r="J11" s="15">
        <f t="shared" si="18"/>
        <v>1.6666666666666665</v>
      </c>
      <c r="K11" s="15">
        <f t="shared" si="19"/>
        <v>1.3333333333333333</v>
      </c>
      <c r="M11" s="15">
        <f>54/60</f>
        <v>0.9</v>
      </c>
      <c r="N11" s="15">
        <v>0.5</v>
      </c>
      <c r="O11" s="15">
        <f>16/60</f>
        <v>0.26666666666666666</v>
      </c>
      <c r="P11" s="15">
        <f>41/60</f>
        <v>0.68333333333333335</v>
      </c>
      <c r="Q11" s="15">
        <f>1+48/60</f>
        <v>1.8</v>
      </c>
      <c r="R11" s="15">
        <f>1+15/60</f>
        <v>1.25</v>
      </c>
      <c r="S11" s="15">
        <v>1</v>
      </c>
      <c r="U11" s="15">
        <v>37.5</v>
      </c>
      <c r="V11" s="15">
        <v>20.9</v>
      </c>
      <c r="W11" s="15">
        <v>11.5</v>
      </c>
      <c r="X11" s="15">
        <v>29.3</v>
      </c>
      <c r="Y11" s="15">
        <v>74.7</v>
      </c>
      <c r="Z11" s="15">
        <v>51.7</v>
      </c>
      <c r="AA11" s="15">
        <v>43.8</v>
      </c>
      <c r="AC11">
        <f t="shared" si="6"/>
        <v>31.25</v>
      </c>
      <c r="AD11">
        <f t="shared" si="7"/>
        <v>31.349999999999998</v>
      </c>
      <c r="AE11">
        <f t="shared" si="8"/>
        <v>32.343750000000007</v>
      </c>
      <c r="AF11">
        <f t="shared" si="9"/>
        <v>32.158536585365852</v>
      </c>
      <c r="AG11">
        <f t="shared" si="10"/>
        <v>31.125000000000004</v>
      </c>
      <c r="AH11">
        <f t="shared" si="11"/>
        <v>31.020000000000003</v>
      </c>
      <c r="AI11">
        <f t="shared" si="12"/>
        <v>32.85</v>
      </c>
    </row>
    <row r="12" spans="1:35" x14ac:dyDescent="0.3">
      <c r="A12">
        <v>9</v>
      </c>
      <c r="B12" s="23"/>
      <c r="C12" t="s">
        <v>16</v>
      </c>
      <c r="D12" t="s">
        <v>17</v>
      </c>
      <c r="E12" s="15">
        <f t="shared" si="13"/>
        <v>1.3333333333333333</v>
      </c>
      <c r="F12" s="15">
        <f t="shared" si="14"/>
        <v>0.19999999999999998</v>
      </c>
      <c r="G12" s="15">
        <f t="shared" si="15"/>
        <v>0.84444444444444433</v>
      </c>
      <c r="H12" s="15">
        <f t="shared" si="16"/>
        <v>1.3333333333333333</v>
      </c>
      <c r="I12" s="15">
        <f t="shared" si="17"/>
        <v>2.5777777777777775</v>
      </c>
      <c r="J12" s="15">
        <f t="shared" si="18"/>
        <v>1.8444444444444443</v>
      </c>
      <c r="K12" s="15">
        <f t="shared" si="19"/>
        <v>1.5111111111111111</v>
      </c>
      <c r="M12" s="15">
        <v>1</v>
      </c>
      <c r="N12" s="15">
        <f>9/60</f>
        <v>0.15</v>
      </c>
      <c r="O12" s="15">
        <f>38/60</f>
        <v>0.6333333333333333</v>
      </c>
      <c r="P12" s="15">
        <v>1</v>
      </c>
      <c r="Q12" s="15">
        <f>1+56/60</f>
        <v>1.9333333333333333</v>
      </c>
      <c r="R12" s="15">
        <f>1+23/60</f>
        <v>1.3833333333333333</v>
      </c>
      <c r="S12" s="15">
        <f>1+8/60</f>
        <v>1.1333333333333333</v>
      </c>
      <c r="U12" s="15">
        <v>41.7</v>
      </c>
      <c r="V12" s="15">
        <v>5.0999999999999996</v>
      </c>
      <c r="W12" s="15">
        <v>27.3</v>
      </c>
      <c r="X12" s="15">
        <v>45</v>
      </c>
      <c r="Y12" s="15">
        <v>78.900000000000006</v>
      </c>
      <c r="Z12" s="15">
        <v>55.9</v>
      </c>
      <c r="AA12" s="15">
        <v>48</v>
      </c>
      <c r="AC12">
        <f t="shared" si="6"/>
        <v>31.275000000000002</v>
      </c>
      <c r="AD12">
        <f t="shared" si="7"/>
        <v>25.5</v>
      </c>
      <c r="AE12">
        <f t="shared" si="8"/>
        <v>32.328947368421055</v>
      </c>
      <c r="AF12">
        <f t="shared" si="9"/>
        <v>33.75</v>
      </c>
      <c r="AG12">
        <f t="shared" si="10"/>
        <v>30.607758620689662</v>
      </c>
      <c r="AH12">
        <f t="shared" si="11"/>
        <v>30.307228915662652</v>
      </c>
      <c r="AI12">
        <f t="shared" si="12"/>
        <v>31.764705882352942</v>
      </c>
    </row>
    <row r="13" spans="1:35" x14ac:dyDescent="0.3">
      <c r="A13">
        <v>10</v>
      </c>
      <c r="B13" s="23"/>
      <c r="C13" t="s">
        <v>18</v>
      </c>
      <c r="D13" t="s">
        <v>19</v>
      </c>
      <c r="E13" s="15">
        <f t="shared" si="13"/>
        <v>1.5733333333333333</v>
      </c>
      <c r="F13" s="15">
        <f t="shared" si="14"/>
        <v>0.13333333333333333</v>
      </c>
      <c r="G13" s="15">
        <f t="shared" si="15"/>
        <v>1.0444444444444443</v>
      </c>
      <c r="H13" s="15">
        <f t="shared" si="16"/>
        <v>1.5777777777777777</v>
      </c>
      <c r="I13" s="15">
        <f t="shared" si="17"/>
        <v>2.7777777777777777</v>
      </c>
      <c r="J13" s="15">
        <f t="shared" si="18"/>
        <v>2.0444444444444443</v>
      </c>
      <c r="K13" s="15">
        <f t="shared" si="19"/>
        <v>1.7111111111111108</v>
      </c>
      <c r="M13" s="15">
        <v>1.18</v>
      </c>
      <c r="N13" s="15">
        <f>6/60</f>
        <v>0.1</v>
      </c>
      <c r="O13" s="15">
        <f>47/60</f>
        <v>0.78333333333333333</v>
      </c>
      <c r="P13" s="15">
        <f>1+11/60</f>
        <v>1.1833333333333333</v>
      </c>
      <c r="Q13" s="15">
        <f>2+5/60</f>
        <v>2.0833333333333335</v>
      </c>
      <c r="R13" s="15">
        <f>1+32/60</f>
        <v>1.5333333333333332</v>
      </c>
      <c r="S13" s="15">
        <f>1+17/60</f>
        <v>1.2833333333333332</v>
      </c>
      <c r="U13" s="15">
        <v>46.3</v>
      </c>
      <c r="V13" s="15">
        <v>2.1</v>
      </c>
      <c r="W13" s="15">
        <v>31.9</v>
      </c>
      <c r="X13" s="15">
        <v>49.8</v>
      </c>
      <c r="Y13" s="15">
        <v>83.6</v>
      </c>
      <c r="Z13" s="15">
        <v>60.5</v>
      </c>
      <c r="AA13" s="15">
        <v>52.6</v>
      </c>
      <c r="AC13">
        <f t="shared" si="6"/>
        <v>29.427966101694913</v>
      </c>
      <c r="AD13">
        <f t="shared" si="7"/>
        <v>15.75</v>
      </c>
      <c r="AE13">
        <f t="shared" si="8"/>
        <v>30.542553191489365</v>
      </c>
      <c r="AF13">
        <f t="shared" si="9"/>
        <v>31.56338028169014</v>
      </c>
      <c r="AG13">
        <f t="shared" si="10"/>
        <v>30.096</v>
      </c>
      <c r="AH13">
        <f t="shared" si="11"/>
        <v>29.592391304347828</v>
      </c>
      <c r="AI13">
        <f t="shared" si="12"/>
        <v>30.740259740259745</v>
      </c>
    </row>
    <row r="14" spans="1:35" x14ac:dyDescent="0.3">
      <c r="A14">
        <v>11</v>
      </c>
      <c r="B14" s="23"/>
      <c r="C14" t="s">
        <v>66</v>
      </c>
      <c r="D14" t="s">
        <v>20</v>
      </c>
      <c r="E14" s="15">
        <f t="shared" si="13"/>
        <v>1.6666666666666665</v>
      </c>
      <c r="F14" s="15">
        <f t="shared" si="14"/>
        <v>0.35555555555555551</v>
      </c>
      <c r="G14" s="15">
        <f t="shared" si="15"/>
        <v>1.3333333333333333</v>
      </c>
      <c r="H14" s="15">
        <f t="shared" si="16"/>
        <v>1.8666666666666665</v>
      </c>
      <c r="I14" s="15">
        <f t="shared" si="17"/>
        <v>2.7111111111111108</v>
      </c>
      <c r="J14" s="15">
        <f t="shared" si="18"/>
        <v>2</v>
      </c>
      <c r="K14" s="15">
        <f t="shared" si="19"/>
        <v>2</v>
      </c>
      <c r="M14" s="15">
        <v>1.25</v>
      </c>
      <c r="N14" s="15">
        <f>16/60</f>
        <v>0.26666666666666666</v>
      </c>
      <c r="O14" s="15">
        <v>1</v>
      </c>
      <c r="P14" s="15">
        <f>1+24/60</f>
        <v>1.4</v>
      </c>
      <c r="Q14" s="15">
        <f>2+2/60</f>
        <v>2.0333333333333332</v>
      </c>
      <c r="R14" s="15">
        <f>1.5</f>
        <v>1.5</v>
      </c>
      <c r="S14" s="15">
        <v>1.5</v>
      </c>
      <c r="U14" s="15">
        <v>47.8</v>
      </c>
      <c r="V14" s="15">
        <v>5.9</v>
      </c>
      <c r="W14" s="15">
        <v>38</v>
      </c>
      <c r="X14" s="15">
        <v>55.8</v>
      </c>
      <c r="Y14" s="15">
        <v>89.6</v>
      </c>
      <c r="Z14" s="15">
        <v>57.7</v>
      </c>
      <c r="AA14" s="15">
        <v>58.6</v>
      </c>
      <c r="AC14">
        <f t="shared" si="6"/>
        <v>28.68</v>
      </c>
      <c r="AD14">
        <f t="shared" si="7"/>
        <v>16.593750000000004</v>
      </c>
      <c r="AE14">
        <f t="shared" si="8"/>
        <v>28.5</v>
      </c>
      <c r="AF14">
        <f t="shared" si="9"/>
        <v>29.892857142857146</v>
      </c>
      <c r="AG14">
        <f t="shared" si="10"/>
        <v>33.049180327868854</v>
      </c>
      <c r="AH14">
        <f t="shared" si="11"/>
        <v>28.85</v>
      </c>
      <c r="AI14">
        <f t="shared" si="12"/>
        <v>29.3</v>
      </c>
    </row>
    <row r="15" spans="1:35" x14ac:dyDescent="0.3">
      <c r="A15">
        <v>12</v>
      </c>
      <c r="B15" s="23"/>
      <c r="C15" t="s">
        <v>21</v>
      </c>
      <c r="D15" t="s">
        <v>22</v>
      </c>
      <c r="E15" s="15">
        <f t="shared" si="13"/>
        <v>1.6666666666666665</v>
      </c>
      <c r="F15" s="15">
        <f t="shared" si="14"/>
        <v>0.15555555555555556</v>
      </c>
      <c r="G15" s="15">
        <f t="shared" si="15"/>
        <v>1.1555555555555554</v>
      </c>
      <c r="H15" s="15">
        <f t="shared" si="16"/>
        <v>1.6666666666666665</v>
      </c>
      <c r="I15" s="15">
        <f t="shared" si="17"/>
        <v>2.7777777777777777</v>
      </c>
      <c r="J15" s="15">
        <f t="shared" si="18"/>
        <v>2.0666666666666664</v>
      </c>
      <c r="K15" s="15">
        <f t="shared" si="19"/>
        <v>1.8222222222222222</v>
      </c>
      <c r="M15" s="15">
        <v>1.25</v>
      </c>
      <c r="N15" s="15">
        <f>7/60</f>
        <v>0.11666666666666667</v>
      </c>
      <c r="O15" s="15">
        <f>52/60</f>
        <v>0.8666666666666667</v>
      </c>
      <c r="P15" s="15">
        <f>1+15/60</f>
        <v>1.25</v>
      </c>
      <c r="Q15" s="15">
        <f>2+5/60</f>
        <v>2.0833333333333335</v>
      </c>
      <c r="R15" s="15">
        <f>1+33/60</f>
        <v>1.55</v>
      </c>
      <c r="S15" s="15">
        <f>1+22/60</f>
        <v>1.3666666666666667</v>
      </c>
      <c r="U15" s="15">
        <v>47.8</v>
      </c>
      <c r="V15" s="15">
        <v>3.1</v>
      </c>
      <c r="W15" s="15">
        <v>35.200000000000003</v>
      </c>
      <c r="X15" s="15">
        <v>53</v>
      </c>
      <c r="Y15" s="15">
        <v>84.4</v>
      </c>
      <c r="Z15" s="15">
        <v>61.4</v>
      </c>
      <c r="AA15" s="15">
        <v>55.9</v>
      </c>
      <c r="AC15">
        <f t="shared" si="6"/>
        <v>28.68</v>
      </c>
      <c r="AD15">
        <f t="shared" si="7"/>
        <v>19.928571428571431</v>
      </c>
      <c r="AE15">
        <f t="shared" si="8"/>
        <v>30.461538461538467</v>
      </c>
      <c r="AF15">
        <f t="shared" si="9"/>
        <v>31.800000000000004</v>
      </c>
      <c r="AG15">
        <f t="shared" si="10"/>
        <v>30.384000000000004</v>
      </c>
      <c r="AH15">
        <f t="shared" si="11"/>
        <v>29.70967741935484</v>
      </c>
      <c r="AI15">
        <f t="shared" si="12"/>
        <v>30.676829268292682</v>
      </c>
    </row>
    <row r="16" spans="1:35" x14ac:dyDescent="0.3">
      <c r="A16">
        <v>13</v>
      </c>
      <c r="B16" s="23"/>
      <c r="C16" t="s">
        <v>23</v>
      </c>
      <c r="D16" t="s">
        <v>24</v>
      </c>
      <c r="E16" s="15">
        <f t="shared" si="13"/>
        <v>1.3333333333333333</v>
      </c>
      <c r="F16" s="15">
        <f t="shared" si="14"/>
        <v>0.82222222222222219</v>
      </c>
      <c r="G16" s="15">
        <f t="shared" si="15"/>
        <v>0.15555555555555556</v>
      </c>
      <c r="H16" s="15">
        <f t="shared" si="16"/>
        <v>0.66666666666666663</v>
      </c>
      <c r="I16" s="15">
        <f t="shared" si="17"/>
        <v>2.5555555555555554</v>
      </c>
      <c r="J16" s="15">
        <f t="shared" si="18"/>
        <v>1.8</v>
      </c>
      <c r="K16" s="15">
        <f t="shared" si="19"/>
        <v>1.4</v>
      </c>
      <c r="M16" s="15">
        <v>1</v>
      </c>
      <c r="N16" s="15">
        <f>37/60</f>
        <v>0.6166666666666667</v>
      </c>
      <c r="O16" s="15">
        <f>7/60</f>
        <v>0.11666666666666667</v>
      </c>
      <c r="P16" s="15">
        <v>0.5</v>
      </c>
      <c r="Q16" s="15">
        <f>1+55/60</f>
        <v>1.9166666666666665</v>
      </c>
      <c r="R16" s="15">
        <f>1+21/60</f>
        <v>1.35</v>
      </c>
      <c r="S16" s="15">
        <f>1+3/60</f>
        <v>1.05</v>
      </c>
      <c r="U16" s="15">
        <v>43.3</v>
      </c>
      <c r="V16" s="15">
        <v>26.7</v>
      </c>
      <c r="W16" s="15">
        <v>5.4</v>
      </c>
      <c r="X16" s="15">
        <v>23.3</v>
      </c>
      <c r="Y16" s="15">
        <v>80.5</v>
      </c>
      <c r="Z16" s="15">
        <v>57.5</v>
      </c>
      <c r="AA16" s="15">
        <v>49.3</v>
      </c>
      <c r="AC16">
        <f t="shared" si="6"/>
        <v>32.475000000000001</v>
      </c>
      <c r="AD16">
        <f t="shared" si="7"/>
        <v>32.472972972972975</v>
      </c>
      <c r="AE16">
        <f t="shared" si="8"/>
        <v>34.714285714285715</v>
      </c>
      <c r="AF16">
        <f t="shared" si="9"/>
        <v>34.950000000000003</v>
      </c>
      <c r="AG16">
        <f t="shared" si="10"/>
        <v>31.500000000000004</v>
      </c>
      <c r="AH16">
        <f t="shared" si="11"/>
        <v>31.944444444444443</v>
      </c>
      <c r="AI16">
        <f t="shared" si="12"/>
        <v>35.214285714285715</v>
      </c>
    </row>
    <row r="17" spans="1:35" x14ac:dyDescent="0.3">
      <c r="A17">
        <v>14</v>
      </c>
      <c r="B17" s="23"/>
      <c r="C17" t="s">
        <v>67</v>
      </c>
      <c r="D17" t="s">
        <v>44</v>
      </c>
      <c r="E17" s="15">
        <f t="shared" si="13"/>
        <v>0.53333333333333333</v>
      </c>
      <c r="F17" s="15">
        <f t="shared" si="14"/>
        <v>1.1777777777777776</v>
      </c>
      <c r="G17" s="15">
        <f t="shared" si="15"/>
        <v>1.2222222222222221</v>
      </c>
      <c r="H17" s="15">
        <f t="shared" si="16"/>
        <v>1.1111111111111112</v>
      </c>
      <c r="I17" s="15">
        <f t="shared" si="17"/>
        <v>1.7333333333333334</v>
      </c>
      <c r="J17" s="15">
        <f t="shared" si="18"/>
        <v>1</v>
      </c>
      <c r="K17" s="15">
        <f t="shared" si="19"/>
        <v>1.2444444444444445</v>
      </c>
      <c r="M17" s="15">
        <f>24/60</f>
        <v>0.4</v>
      </c>
      <c r="N17" s="15">
        <f>53/60</f>
        <v>0.8833333333333333</v>
      </c>
      <c r="O17" s="15">
        <f>55/60</f>
        <v>0.91666666666666663</v>
      </c>
      <c r="P17" s="15">
        <f>50/60</f>
        <v>0.83333333333333337</v>
      </c>
      <c r="Q17" s="15">
        <f>1+18/60</f>
        <v>1.3</v>
      </c>
      <c r="R17" s="15">
        <f>45/60</f>
        <v>0.75</v>
      </c>
      <c r="S17" s="15">
        <f>56/60</f>
        <v>0.93333333333333335</v>
      </c>
      <c r="U17" s="15">
        <v>14.9</v>
      </c>
      <c r="V17" s="15">
        <v>37.1</v>
      </c>
      <c r="W17" s="15">
        <v>43.3</v>
      </c>
      <c r="X17" s="15">
        <v>43.1</v>
      </c>
      <c r="Y17" s="15">
        <v>52.1</v>
      </c>
      <c r="Z17" s="15">
        <v>29.1</v>
      </c>
      <c r="AA17" s="15">
        <v>46</v>
      </c>
      <c r="AC17">
        <f t="shared" si="6"/>
        <v>27.9375</v>
      </c>
      <c r="AD17">
        <f t="shared" si="7"/>
        <v>31.500000000000007</v>
      </c>
      <c r="AE17">
        <f t="shared" si="8"/>
        <v>35.427272727272729</v>
      </c>
      <c r="AF17">
        <f t="shared" si="9"/>
        <v>38.79</v>
      </c>
      <c r="AG17">
        <f t="shared" si="10"/>
        <v>30.057692307692307</v>
      </c>
      <c r="AH17">
        <f t="shared" si="11"/>
        <v>29.1</v>
      </c>
      <c r="AI17">
        <f t="shared" si="12"/>
        <v>36.964285714285715</v>
      </c>
    </row>
    <row r="18" spans="1:35" x14ac:dyDescent="0.3">
      <c r="A18">
        <v>15</v>
      </c>
      <c r="B18" s="24" t="s">
        <v>47</v>
      </c>
      <c r="C18" s="11" t="s">
        <v>26</v>
      </c>
      <c r="D18" s="11" t="s">
        <v>27</v>
      </c>
      <c r="E18" s="15">
        <f t="shared" si="13"/>
        <v>1.6666666666666665</v>
      </c>
      <c r="F18" s="15">
        <f t="shared" si="14"/>
        <v>1.1777777777777776</v>
      </c>
      <c r="G18" s="15">
        <f t="shared" si="15"/>
        <v>0.19999999999999998</v>
      </c>
      <c r="H18" s="15">
        <f t="shared" si="16"/>
        <v>0.75555555555555554</v>
      </c>
      <c r="I18" s="15">
        <f t="shared" si="17"/>
        <v>2.6444444444444444</v>
      </c>
      <c r="J18" s="15">
        <f t="shared" si="18"/>
        <v>2.1555555555555554</v>
      </c>
      <c r="K18" s="15">
        <f t="shared" si="19"/>
        <v>1.4444444444444442</v>
      </c>
      <c r="M18" s="15">
        <v>1.25</v>
      </c>
      <c r="N18" s="15">
        <f>53/60</f>
        <v>0.8833333333333333</v>
      </c>
      <c r="O18" s="15">
        <f>9/60</f>
        <v>0.15</v>
      </c>
      <c r="P18" s="15">
        <f>34/60</f>
        <v>0.56666666666666665</v>
      </c>
      <c r="Q18" s="15">
        <f>1+59/60</f>
        <v>1.9833333333333334</v>
      </c>
      <c r="R18" s="15">
        <f>1+37/60</f>
        <v>1.6166666666666667</v>
      </c>
      <c r="S18" s="15">
        <f>1+5/60</f>
        <v>1.0833333333333333</v>
      </c>
      <c r="U18" s="15">
        <v>50.7</v>
      </c>
      <c r="V18" s="15">
        <v>34</v>
      </c>
      <c r="W18" s="15">
        <v>2.7</v>
      </c>
      <c r="X18" s="15">
        <v>20.6</v>
      </c>
      <c r="Y18" s="15">
        <v>86.4</v>
      </c>
      <c r="Z18" s="15">
        <v>64.900000000000006</v>
      </c>
      <c r="AA18" s="15">
        <v>46.6</v>
      </c>
      <c r="AC18">
        <f t="shared" si="6"/>
        <v>30.420000000000005</v>
      </c>
      <c r="AD18">
        <f t="shared" si="7"/>
        <v>28.867924528301891</v>
      </c>
      <c r="AE18">
        <f t="shared" si="8"/>
        <v>13.500000000000002</v>
      </c>
      <c r="AF18">
        <f t="shared" si="9"/>
        <v>27.264705882352942</v>
      </c>
      <c r="AG18">
        <f t="shared" si="10"/>
        <v>32.67226890756303</v>
      </c>
      <c r="AH18">
        <f t="shared" si="11"/>
        <v>30.108247422680417</v>
      </c>
      <c r="AI18">
        <f t="shared" si="12"/>
        <v>32.261538461538471</v>
      </c>
    </row>
    <row r="19" spans="1:35" x14ac:dyDescent="0.3">
      <c r="A19">
        <v>16</v>
      </c>
      <c r="B19" s="25"/>
      <c r="C19" s="12" t="s">
        <v>28</v>
      </c>
      <c r="D19" s="12" t="s">
        <v>29</v>
      </c>
      <c r="E19" s="15">
        <f t="shared" si="13"/>
        <v>1.5466666666666664</v>
      </c>
      <c r="F19" s="15">
        <f t="shared" si="14"/>
        <v>1.0444444444444443</v>
      </c>
      <c r="G19" s="15">
        <f t="shared" si="15"/>
        <v>8.8888888888888878E-2</v>
      </c>
      <c r="H19" s="15">
        <f t="shared" si="16"/>
        <v>0.66666666666666663</v>
      </c>
      <c r="I19" s="15">
        <f t="shared" si="17"/>
        <v>2.7777777777777777</v>
      </c>
      <c r="J19" s="15">
        <f t="shared" si="18"/>
        <v>2</v>
      </c>
      <c r="K19" s="15">
        <f t="shared" si="19"/>
        <v>1.3111111111111109</v>
      </c>
      <c r="M19" s="15">
        <v>1.1599999999999999</v>
      </c>
      <c r="N19" s="15">
        <f>47/60</f>
        <v>0.78333333333333333</v>
      </c>
      <c r="O19" s="15">
        <f>4/60</f>
        <v>6.6666666666666666E-2</v>
      </c>
      <c r="P19" s="15">
        <v>0.5</v>
      </c>
      <c r="Q19" s="15">
        <f>2+5/60</f>
        <v>2.0833333333333335</v>
      </c>
      <c r="R19" s="15">
        <v>1.5</v>
      </c>
      <c r="S19" s="15">
        <f>59/60</f>
        <v>0.98333333333333328</v>
      </c>
      <c r="U19" s="15">
        <v>50.4</v>
      </c>
      <c r="V19" s="15">
        <v>33.799999999999997</v>
      </c>
      <c r="W19" s="15">
        <v>2.2999999999999998</v>
      </c>
      <c r="X19" s="15">
        <v>20.100000000000001</v>
      </c>
      <c r="Y19" s="15">
        <v>87.6</v>
      </c>
      <c r="Z19" s="15">
        <v>64.599999999999994</v>
      </c>
      <c r="AA19" s="15">
        <v>46.1</v>
      </c>
      <c r="AC19">
        <f t="shared" si="6"/>
        <v>32.58620689655173</v>
      </c>
      <c r="AD19">
        <f t="shared" si="7"/>
        <v>32.361702127659576</v>
      </c>
      <c r="AE19">
        <f t="shared" si="8"/>
        <v>25.875</v>
      </c>
      <c r="AF19">
        <f t="shared" si="9"/>
        <v>30.150000000000002</v>
      </c>
      <c r="AG19">
        <f t="shared" si="10"/>
        <v>31.535999999999998</v>
      </c>
      <c r="AH19">
        <f t="shared" si="11"/>
        <v>32.299999999999997</v>
      </c>
      <c r="AI19">
        <f t="shared" si="12"/>
        <v>35.161016949152547</v>
      </c>
    </row>
    <row r="20" spans="1:35" x14ac:dyDescent="0.3">
      <c r="A20">
        <v>17</v>
      </c>
      <c r="B20" s="25"/>
      <c r="C20" s="12" t="s">
        <v>30</v>
      </c>
      <c r="D20" s="12" t="s">
        <v>31</v>
      </c>
      <c r="E20" s="15">
        <f t="shared" si="13"/>
        <v>1.5466666666666664</v>
      </c>
      <c r="F20" s="15">
        <f t="shared" si="14"/>
        <v>1.0888888888888888</v>
      </c>
      <c r="G20" s="15">
        <f t="shared" si="15"/>
        <v>0.13333333333333333</v>
      </c>
      <c r="H20" s="15">
        <f t="shared" si="16"/>
        <v>0.66666666666666663</v>
      </c>
      <c r="I20" s="15">
        <f t="shared" si="17"/>
        <v>2.822222222222222</v>
      </c>
      <c r="J20" s="15">
        <f t="shared" si="18"/>
        <v>2.0666666666666664</v>
      </c>
      <c r="K20" s="15">
        <f t="shared" si="19"/>
        <v>1.3555555555555554</v>
      </c>
      <c r="M20" s="15">
        <v>1.1599999999999999</v>
      </c>
      <c r="N20" s="15">
        <f>49/60</f>
        <v>0.81666666666666665</v>
      </c>
      <c r="O20" s="15">
        <f>6/60</f>
        <v>0.1</v>
      </c>
      <c r="P20" s="15">
        <v>0.5</v>
      </c>
      <c r="Q20" s="15">
        <f>2+7/60</f>
        <v>2.1166666666666667</v>
      </c>
      <c r="R20" s="15">
        <f>1+33/60</f>
        <v>1.55</v>
      </c>
      <c r="S20" s="15">
        <f>1+1/60</f>
        <v>1.0166666666666666</v>
      </c>
      <c r="U20" s="15">
        <v>51.6</v>
      </c>
      <c r="V20" s="15">
        <v>35</v>
      </c>
      <c r="W20" s="15">
        <v>3.4</v>
      </c>
      <c r="X20" s="15">
        <v>21.3</v>
      </c>
      <c r="Y20" s="15">
        <v>88.8</v>
      </c>
      <c r="Z20" s="15">
        <v>65.8</v>
      </c>
      <c r="AA20" s="15">
        <v>47.3</v>
      </c>
      <c r="AC20">
        <f t="shared" si="6"/>
        <v>33.362068965517246</v>
      </c>
      <c r="AD20">
        <f t="shared" si="7"/>
        <v>32.142857142857146</v>
      </c>
      <c r="AE20">
        <f t="shared" si="8"/>
        <v>25.5</v>
      </c>
      <c r="AF20">
        <f t="shared" si="9"/>
        <v>31.950000000000003</v>
      </c>
      <c r="AG20">
        <f t="shared" si="10"/>
        <v>31.464566929133859</v>
      </c>
      <c r="AH20">
        <f t="shared" si="11"/>
        <v>31.838709677419356</v>
      </c>
      <c r="AI20">
        <f t="shared" si="12"/>
        <v>34.893442622950822</v>
      </c>
    </row>
    <row r="21" spans="1:35" x14ac:dyDescent="0.3">
      <c r="A21">
        <v>18</v>
      </c>
      <c r="B21" s="25"/>
      <c r="C21" s="12" t="s">
        <v>33</v>
      </c>
      <c r="D21" s="12" t="s">
        <v>32</v>
      </c>
      <c r="E21" s="15">
        <f t="shared" si="13"/>
        <v>1.7733333333333334</v>
      </c>
      <c r="F21" s="15">
        <f t="shared" si="14"/>
        <v>1.2888888888888888</v>
      </c>
      <c r="G21" s="15">
        <f t="shared" si="15"/>
        <v>0.33333333333333331</v>
      </c>
      <c r="H21" s="15">
        <f t="shared" si="16"/>
        <v>0.88888888888888884</v>
      </c>
      <c r="I21" s="15">
        <f t="shared" si="17"/>
        <v>3.0222222222222221</v>
      </c>
      <c r="J21" s="15">
        <f t="shared" si="18"/>
        <v>2.2666666666666666</v>
      </c>
      <c r="K21" s="15">
        <f t="shared" si="19"/>
        <v>1.5777777777777777</v>
      </c>
      <c r="M21" s="15">
        <v>1.33</v>
      </c>
      <c r="N21" s="15">
        <f>58/60</f>
        <v>0.96666666666666667</v>
      </c>
      <c r="O21" s="15">
        <f>15/60</f>
        <v>0.25</v>
      </c>
      <c r="P21" s="15">
        <f>40/60</f>
        <v>0.66666666666666663</v>
      </c>
      <c r="Q21" s="15">
        <f>2+16/60</f>
        <v>2.2666666666666666</v>
      </c>
      <c r="R21" s="15">
        <f>1+42/60</f>
        <v>1.7</v>
      </c>
      <c r="S21" s="15">
        <f>1+11/60</f>
        <v>1.1833333333333333</v>
      </c>
      <c r="U21" s="15">
        <v>56.2</v>
      </c>
      <c r="V21" s="15">
        <v>39.6</v>
      </c>
      <c r="W21" s="15">
        <v>8</v>
      </c>
      <c r="X21" s="15">
        <v>25.9</v>
      </c>
      <c r="Y21" s="15">
        <v>93.4</v>
      </c>
      <c r="Z21" s="15">
        <v>70.400000000000006</v>
      </c>
      <c r="AA21" s="15">
        <v>51.9</v>
      </c>
      <c r="AC21">
        <f t="shared" si="6"/>
        <v>31.69172932330827</v>
      </c>
      <c r="AD21">
        <f t="shared" si="7"/>
        <v>30.724137931034488</v>
      </c>
      <c r="AE21">
        <f t="shared" si="8"/>
        <v>24</v>
      </c>
      <c r="AF21">
        <f t="shared" si="9"/>
        <v>29.137499999999999</v>
      </c>
      <c r="AG21">
        <f t="shared" si="10"/>
        <v>30.904411764705884</v>
      </c>
      <c r="AH21">
        <f t="shared" si="11"/>
        <v>31.058823529411768</v>
      </c>
      <c r="AI21">
        <f t="shared" si="12"/>
        <v>32.894366197183096</v>
      </c>
    </row>
    <row r="22" spans="1:35" x14ac:dyDescent="0.3">
      <c r="A22">
        <v>19</v>
      </c>
      <c r="B22" s="25"/>
      <c r="C22" s="12" t="s">
        <v>34</v>
      </c>
      <c r="D22" s="12" t="s">
        <v>35</v>
      </c>
      <c r="E22" s="15">
        <f t="shared" si="13"/>
        <v>1.7733333333333334</v>
      </c>
      <c r="F22" s="15">
        <f t="shared" si="14"/>
        <v>1.3333333333333333</v>
      </c>
      <c r="G22" s="15">
        <f t="shared" si="15"/>
        <v>0.33333333333333331</v>
      </c>
      <c r="H22" s="15">
        <f t="shared" si="16"/>
        <v>0.6</v>
      </c>
      <c r="I22" s="15">
        <f t="shared" si="17"/>
        <v>2.4888888888888889</v>
      </c>
      <c r="J22" s="15">
        <f t="shared" si="18"/>
        <v>2.2888888888888888</v>
      </c>
      <c r="K22" s="15">
        <f t="shared" si="19"/>
        <v>1.2888888888888888</v>
      </c>
      <c r="M22" s="15">
        <v>1.33</v>
      </c>
      <c r="N22" s="15">
        <f>1</f>
        <v>1</v>
      </c>
      <c r="O22" s="15">
        <f>15/60</f>
        <v>0.25</v>
      </c>
      <c r="P22" s="15">
        <f>27/60</f>
        <v>0.45</v>
      </c>
      <c r="Q22" s="15">
        <f>1+52/60</f>
        <v>1.8666666666666667</v>
      </c>
      <c r="R22" s="15">
        <f>1+43/60</f>
        <v>1.7166666666666668</v>
      </c>
      <c r="S22" s="15">
        <f>58/60</f>
        <v>0.96666666666666667</v>
      </c>
      <c r="U22" s="15">
        <v>55.4</v>
      </c>
      <c r="V22" s="15">
        <v>38.799999999999997</v>
      </c>
      <c r="W22" s="15">
        <v>6.7</v>
      </c>
      <c r="X22" s="15">
        <v>12.3</v>
      </c>
      <c r="Y22" s="15">
        <v>78.099999999999994</v>
      </c>
      <c r="Z22" s="15">
        <v>69.599999999999994</v>
      </c>
      <c r="AA22" s="15">
        <v>38.299999999999997</v>
      </c>
      <c r="AC22">
        <f t="shared" si="6"/>
        <v>31.240601503759397</v>
      </c>
      <c r="AD22">
        <f t="shared" si="7"/>
        <v>29.099999999999998</v>
      </c>
      <c r="AE22">
        <f t="shared" si="8"/>
        <v>20.100000000000001</v>
      </c>
      <c r="AF22">
        <f t="shared" si="9"/>
        <v>20.500000000000004</v>
      </c>
      <c r="AG22">
        <f t="shared" si="10"/>
        <v>31.379464285714285</v>
      </c>
      <c r="AH22">
        <f t="shared" si="11"/>
        <v>30.407766990291261</v>
      </c>
      <c r="AI22">
        <f t="shared" si="12"/>
        <v>29.71551724137931</v>
      </c>
    </row>
    <row r="23" spans="1:35" x14ac:dyDescent="0.3">
      <c r="A23">
        <v>20</v>
      </c>
      <c r="B23" s="25"/>
      <c r="C23" s="12" t="s">
        <v>36</v>
      </c>
      <c r="D23" s="12" t="s">
        <v>37</v>
      </c>
      <c r="E23" s="15">
        <f t="shared" si="13"/>
        <v>1.64</v>
      </c>
      <c r="F23" s="15">
        <f t="shared" si="14"/>
        <v>1.3111111111111109</v>
      </c>
      <c r="G23" s="15">
        <f t="shared" si="15"/>
        <v>0.33333333333333331</v>
      </c>
      <c r="H23" s="15">
        <f t="shared" si="16"/>
        <v>0.28888888888888886</v>
      </c>
      <c r="I23" s="15">
        <f t="shared" si="17"/>
        <v>2.8666666666666663</v>
      </c>
      <c r="J23" s="15">
        <f t="shared" si="18"/>
        <v>2.1333333333333333</v>
      </c>
      <c r="K23" s="15">
        <f t="shared" si="19"/>
        <v>0.97777777777777763</v>
      </c>
      <c r="M23" s="15">
        <v>1.23</v>
      </c>
      <c r="N23" s="15">
        <f>59/60</f>
        <v>0.98333333333333328</v>
      </c>
      <c r="O23" s="15">
        <f>15/60</f>
        <v>0.25</v>
      </c>
      <c r="P23" s="15">
        <f>13/60</f>
        <v>0.21666666666666667</v>
      </c>
      <c r="Q23" s="15">
        <f>2+9/60</f>
        <v>2.15</v>
      </c>
      <c r="R23" s="15">
        <f>1+36/60</f>
        <v>1.6</v>
      </c>
      <c r="S23" s="15">
        <f>44/60</f>
        <v>0.73333333333333328</v>
      </c>
      <c r="U23" s="15">
        <v>59.7</v>
      </c>
      <c r="V23" s="15">
        <v>43.1</v>
      </c>
      <c r="W23" s="15">
        <v>11</v>
      </c>
      <c r="X23" s="15">
        <v>7.5</v>
      </c>
      <c r="Y23" s="15">
        <v>93.8</v>
      </c>
      <c r="Z23" s="15">
        <v>70.2</v>
      </c>
      <c r="AA23" s="15">
        <v>33.5</v>
      </c>
      <c r="AC23">
        <f t="shared" si="6"/>
        <v>36.402439024390247</v>
      </c>
      <c r="AD23">
        <f t="shared" si="7"/>
        <v>32.872881355932208</v>
      </c>
      <c r="AE23">
        <f t="shared" si="8"/>
        <v>33</v>
      </c>
      <c r="AF23">
        <f t="shared" si="9"/>
        <v>25.961538461538463</v>
      </c>
      <c r="AG23">
        <f t="shared" si="10"/>
        <v>32.720930232558146</v>
      </c>
      <c r="AH23">
        <f t="shared" si="11"/>
        <v>32.90625</v>
      </c>
      <c r="AI23">
        <f t="shared" si="12"/>
        <v>34.26136363636364</v>
      </c>
    </row>
    <row r="24" spans="1:35" x14ac:dyDescent="0.3">
      <c r="A24">
        <v>21</v>
      </c>
      <c r="B24" s="25"/>
      <c r="C24" s="12" t="s">
        <v>38</v>
      </c>
      <c r="D24" s="12" t="s">
        <v>39</v>
      </c>
      <c r="E24" s="15">
        <f t="shared" si="13"/>
        <v>1.5466666666666664</v>
      </c>
      <c r="F24" s="15">
        <f t="shared" si="14"/>
        <v>2</v>
      </c>
      <c r="G24" s="15">
        <f t="shared" si="15"/>
        <v>0.66666666666666663</v>
      </c>
      <c r="H24" s="15">
        <f t="shared" si="16"/>
        <v>0.13333333333333333</v>
      </c>
      <c r="I24" s="15">
        <f t="shared" si="17"/>
        <v>1.8888888888888888</v>
      </c>
      <c r="J24" s="15">
        <f t="shared" si="18"/>
        <v>1.9333333333333331</v>
      </c>
      <c r="K24" s="15">
        <f t="shared" si="19"/>
        <v>0.62222222222222223</v>
      </c>
      <c r="M24" s="15">
        <v>1.1599999999999999</v>
      </c>
      <c r="N24" s="15">
        <f>1.5</f>
        <v>1.5</v>
      </c>
      <c r="O24" s="15">
        <v>0.5</v>
      </c>
      <c r="P24" s="15">
        <v>0.1</v>
      </c>
      <c r="Q24" s="15">
        <f>1+25/60</f>
        <v>1.4166666666666667</v>
      </c>
      <c r="R24" s="15">
        <f>1+27/60</f>
        <v>1.45</v>
      </c>
      <c r="S24" s="15">
        <f>28/60</f>
        <v>0.46666666666666667</v>
      </c>
      <c r="U24" s="15">
        <v>46.9</v>
      </c>
      <c r="V24" s="15">
        <v>48.2</v>
      </c>
      <c r="W24" s="15">
        <v>22.3</v>
      </c>
      <c r="X24" s="15">
        <v>4.4000000000000004</v>
      </c>
      <c r="Y24" s="15">
        <v>72.2</v>
      </c>
      <c r="Z24" s="15">
        <v>61.1</v>
      </c>
      <c r="AA24" s="15">
        <v>22.7</v>
      </c>
      <c r="AC24">
        <f t="shared" si="6"/>
        <v>30.323275862068968</v>
      </c>
      <c r="AD24">
        <f t="shared" si="7"/>
        <v>24.1</v>
      </c>
      <c r="AE24">
        <f t="shared" si="8"/>
        <v>33.450000000000003</v>
      </c>
      <c r="AF24">
        <f t="shared" si="9"/>
        <v>33</v>
      </c>
      <c r="AG24">
        <f t="shared" si="10"/>
        <v>38.223529411764709</v>
      </c>
      <c r="AH24">
        <f t="shared" si="11"/>
        <v>31.603448275862075</v>
      </c>
      <c r="AI24">
        <f t="shared" si="12"/>
        <v>36.482142857142854</v>
      </c>
    </row>
    <row r="25" spans="1:35" x14ac:dyDescent="0.3">
      <c r="A25">
        <v>22</v>
      </c>
      <c r="B25" s="25"/>
      <c r="C25" s="12" t="s">
        <v>40</v>
      </c>
      <c r="D25" s="12" t="s">
        <v>41</v>
      </c>
      <c r="E25" s="15">
        <f t="shared" si="13"/>
        <v>1.7733333333333334</v>
      </c>
      <c r="F25" s="15">
        <f t="shared" si="14"/>
        <v>1.3333333333333333</v>
      </c>
      <c r="G25" s="15">
        <f t="shared" si="15"/>
        <v>0.42222222222222217</v>
      </c>
      <c r="H25" s="15">
        <f t="shared" si="16"/>
        <v>0.39999999999999997</v>
      </c>
      <c r="I25" s="15">
        <f t="shared" si="17"/>
        <v>2.2888888888888888</v>
      </c>
      <c r="J25" s="15">
        <f t="shared" si="18"/>
        <v>2.2222222222222219</v>
      </c>
      <c r="K25" s="15">
        <f t="shared" si="19"/>
        <v>1.0666666666666667</v>
      </c>
      <c r="M25" s="15">
        <v>1.33</v>
      </c>
      <c r="N25" s="15">
        <v>1</v>
      </c>
      <c r="O25" s="15">
        <f>19/60</f>
        <v>0.31666666666666665</v>
      </c>
      <c r="P25" s="15">
        <f>18/60</f>
        <v>0.3</v>
      </c>
      <c r="Q25" s="15">
        <f>1+43/60</f>
        <v>1.7166666666666668</v>
      </c>
      <c r="R25" s="15">
        <f>1+40/60</f>
        <v>1.6666666666666665</v>
      </c>
      <c r="S25" s="15">
        <f>48/60</f>
        <v>0.8</v>
      </c>
      <c r="U25" s="15">
        <v>59.2</v>
      </c>
      <c r="V25" s="15">
        <v>46.2</v>
      </c>
      <c r="W25" s="15">
        <v>14.1</v>
      </c>
      <c r="X25" s="15">
        <v>10.6</v>
      </c>
      <c r="Y25" s="15">
        <v>76.400000000000006</v>
      </c>
      <c r="Z25" s="15">
        <v>73.400000000000006</v>
      </c>
      <c r="AA25" s="15">
        <v>36.6</v>
      </c>
      <c r="AC25">
        <f t="shared" si="6"/>
        <v>33.383458646616539</v>
      </c>
      <c r="AD25">
        <f t="shared" si="7"/>
        <v>34.650000000000006</v>
      </c>
      <c r="AE25">
        <f t="shared" si="8"/>
        <v>33.394736842105267</v>
      </c>
      <c r="AF25">
        <f t="shared" si="9"/>
        <v>26.5</v>
      </c>
      <c r="AG25">
        <f t="shared" si="10"/>
        <v>33.378640776699037</v>
      </c>
      <c r="AH25">
        <f t="shared" si="11"/>
        <v>33.030000000000008</v>
      </c>
      <c r="AI25">
        <f t="shared" si="12"/>
        <v>34.3125</v>
      </c>
    </row>
    <row r="26" spans="1:35" x14ac:dyDescent="0.3">
      <c r="A26">
        <v>23</v>
      </c>
      <c r="B26" s="25"/>
      <c r="C26" s="12" t="s">
        <v>68</v>
      </c>
      <c r="D26" s="12" t="s">
        <v>42</v>
      </c>
      <c r="E26" s="15">
        <f t="shared" si="13"/>
        <v>2</v>
      </c>
      <c r="F26" s="15">
        <f t="shared" si="14"/>
        <v>1.6222222222222222</v>
      </c>
      <c r="G26" s="15">
        <f t="shared" si="15"/>
        <v>0.62222222222222223</v>
      </c>
      <c r="H26" s="15">
        <f t="shared" si="16"/>
        <v>0.6</v>
      </c>
      <c r="I26" s="15">
        <f t="shared" si="17"/>
        <v>2.4666666666666668</v>
      </c>
      <c r="J26" s="15">
        <f t="shared" si="18"/>
        <v>2.4444444444444446</v>
      </c>
      <c r="K26" s="15">
        <f t="shared" si="19"/>
        <v>1.1777777777777776</v>
      </c>
      <c r="M26" s="15">
        <v>1.5</v>
      </c>
      <c r="N26" s="15">
        <f>1+13/60</f>
        <v>1.2166666666666668</v>
      </c>
      <c r="O26" s="15">
        <f>28/60</f>
        <v>0.46666666666666667</v>
      </c>
      <c r="P26" s="15">
        <f>27/60</f>
        <v>0.45</v>
      </c>
      <c r="Q26" s="15">
        <f>1+51/60</f>
        <v>1.85</v>
      </c>
      <c r="R26" s="15">
        <f>1+50/60</f>
        <v>1.8333333333333335</v>
      </c>
      <c r="S26" s="15">
        <f>53/60</f>
        <v>0.8833333333333333</v>
      </c>
      <c r="U26" s="15">
        <v>66.599999999999994</v>
      </c>
      <c r="V26" s="15">
        <v>53.6</v>
      </c>
      <c r="W26" s="15">
        <v>21.5</v>
      </c>
      <c r="X26" s="15">
        <v>18.100000000000001</v>
      </c>
      <c r="Y26" s="15">
        <v>92.8</v>
      </c>
      <c r="Z26" s="15">
        <v>80.8</v>
      </c>
      <c r="AA26" s="15">
        <v>43.2</v>
      </c>
      <c r="AC26">
        <f t="shared" si="6"/>
        <v>33.299999999999997</v>
      </c>
      <c r="AD26">
        <f t="shared" si="7"/>
        <v>33.041095890410958</v>
      </c>
      <c r="AE26">
        <f t="shared" si="8"/>
        <v>34.553571428571431</v>
      </c>
      <c r="AF26">
        <f t="shared" si="9"/>
        <v>30.166666666666671</v>
      </c>
      <c r="AG26">
        <f t="shared" si="10"/>
        <v>37.621621621621621</v>
      </c>
      <c r="AH26">
        <f t="shared" si="11"/>
        <v>33.054545454545448</v>
      </c>
      <c r="AI26">
        <f t="shared" si="12"/>
        <v>36.679245283018879</v>
      </c>
    </row>
    <row r="27" spans="1:35" x14ac:dyDescent="0.3">
      <c r="A27">
        <v>24</v>
      </c>
      <c r="B27" s="26"/>
      <c r="C27" s="13" t="s">
        <v>69</v>
      </c>
      <c r="D27" s="13" t="s">
        <v>43</v>
      </c>
      <c r="E27" s="15">
        <f t="shared" si="13"/>
        <v>2</v>
      </c>
      <c r="F27" s="15">
        <f t="shared" si="14"/>
        <v>1.6444444444444444</v>
      </c>
      <c r="G27" s="15">
        <f t="shared" si="15"/>
        <v>0.66666666666666663</v>
      </c>
      <c r="H27" s="15">
        <f t="shared" si="16"/>
        <v>0.82222222222222219</v>
      </c>
      <c r="I27" s="15">
        <f t="shared" si="17"/>
        <v>2.7333333333333329</v>
      </c>
      <c r="J27" s="15">
        <f t="shared" si="18"/>
        <v>2.6222222222222222</v>
      </c>
      <c r="K27" s="15">
        <f t="shared" si="19"/>
        <v>1.5111111111111111</v>
      </c>
      <c r="M27" s="15">
        <v>1.5</v>
      </c>
      <c r="N27" s="15">
        <f>1+14/60</f>
        <v>1.2333333333333334</v>
      </c>
      <c r="O27" s="15">
        <v>0.5</v>
      </c>
      <c r="P27" s="15">
        <f>37/60</f>
        <v>0.6166666666666667</v>
      </c>
      <c r="Q27" s="15">
        <f>2+3/60</f>
        <v>2.0499999999999998</v>
      </c>
      <c r="R27" s="15">
        <f>1+58/60</f>
        <v>1.9666666666666668</v>
      </c>
      <c r="S27" s="15">
        <f>1+8/60</f>
        <v>1.1333333333333333</v>
      </c>
      <c r="U27" s="15">
        <v>67.5</v>
      </c>
      <c r="V27" s="15">
        <v>50.8</v>
      </c>
      <c r="W27" s="15">
        <v>18.8</v>
      </c>
      <c r="X27" s="15">
        <v>23</v>
      </c>
      <c r="Y27" s="15">
        <v>88.8</v>
      </c>
      <c r="Z27" s="15">
        <v>81.7</v>
      </c>
      <c r="AA27" s="15">
        <v>49</v>
      </c>
      <c r="AC27">
        <f t="shared" si="6"/>
        <v>33.75</v>
      </c>
      <c r="AD27">
        <f t="shared" si="7"/>
        <v>30.891891891891891</v>
      </c>
      <c r="AE27">
        <f t="shared" si="8"/>
        <v>28.200000000000003</v>
      </c>
      <c r="AF27">
        <f t="shared" si="9"/>
        <v>27.972972972972975</v>
      </c>
      <c r="AG27">
        <f t="shared" si="10"/>
        <v>32.487804878048784</v>
      </c>
      <c r="AH27">
        <f t="shared" si="11"/>
        <v>31.156779661016952</v>
      </c>
      <c r="AI27">
        <f t="shared" si="12"/>
        <v>32.426470588235297</v>
      </c>
    </row>
    <row r="28" spans="1:35" x14ac:dyDescent="0.3">
      <c r="A28">
        <v>25</v>
      </c>
      <c r="B28" s="27" t="s">
        <v>46</v>
      </c>
      <c r="C28" s="10" t="s">
        <v>70</v>
      </c>
      <c r="D28" s="10" t="s">
        <v>45</v>
      </c>
      <c r="E28" s="15">
        <f t="shared" si="13"/>
        <v>0.13333333333333333</v>
      </c>
      <c r="F28" s="15">
        <f t="shared" si="14"/>
        <v>1.7333333333333334</v>
      </c>
      <c r="G28" s="15">
        <f t="shared" si="15"/>
        <v>1.7333333333333334</v>
      </c>
      <c r="H28" s="15">
        <f t="shared" si="16"/>
        <v>1.5999999999999999</v>
      </c>
      <c r="I28" s="15">
        <f t="shared" si="17"/>
        <v>1.1555555555555554</v>
      </c>
      <c r="J28" s="15">
        <f t="shared" si="18"/>
        <v>0.44444444444444442</v>
      </c>
      <c r="K28" s="15">
        <f t="shared" si="19"/>
        <v>1.7555555555555555</v>
      </c>
      <c r="M28" s="15">
        <v>0.1</v>
      </c>
      <c r="N28" s="15">
        <f>1+18/60</f>
        <v>1.3</v>
      </c>
      <c r="O28" s="15">
        <f>1+18/60</f>
        <v>1.3</v>
      </c>
      <c r="P28" s="15">
        <f>1+12/60</f>
        <v>1.2</v>
      </c>
      <c r="Q28" s="15">
        <f>52/60</f>
        <v>0.8666666666666667</v>
      </c>
      <c r="R28" s="15">
        <f>20/60</f>
        <v>0.33333333333333331</v>
      </c>
      <c r="S28" s="15">
        <f>1+19/60</f>
        <v>1.3166666666666667</v>
      </c>
      <c r="U28" s="15">
        <v>5</v>
      </c>
      <c r="V28" s="15">
        <v>51.5</v>
      </c>
      <c r="W28" s="15">
        <v>53.7</v>
      </c>
      <c r="X28" s="15">
        <v>53.6</v>
      </c>
      <c r="Y28" s="15">
        <v>34.4</v>
      </c>
      <c r="Z28" s="15">
        <v>11.4</v>
      </c>
      <c r="AA28" s="15">
        <v>56.4</v>
      </c>
      <c r="AC28">
        <f t="shared" si="6"/>
        <v>37.5</v>
      </c>
      <c r="AD28">
        <f t="shared" si="7"/>
        <v>29.71153846153846</v>
      </c>
      <c r="AE28">
        <f t="shared" si="8"/>
        <v>30.98076923076923</v>
      </c>
      <c r="AF28">
        <f t="shared" si="9"/>
        <v>33.500000000000007</v>
      </c>
      <c r="AG28">
        <f t="shared" si="10"/>
        <v>29.76923076923077</v>
      </c>
      <c r="AH28">
        <f t="shared" si="11"/>
        <v>25.650000000000002</v>
      </c>
      <c r="AI28">
        <f t="shared" si="12"/>
        <v>32.12658227848101</v>
      </c>
    </row>
    <row r="29" spans="1:35" x14ac:dyDescent="0.3">
      <c r="A29">
        <v>26</v>
      </c>
      <c r="B29" s="28"/>
      <c r="C29" t="s">
        <v>71</v>
      </c>
      <c r="D29" t="s">
        <v>48</v>
      </c>
      <c r="E29" s="15">
        <f t="shared" si="13"/>
        <v>0.37777777777777777</v>
      </c>
      <c r="F29" s="15">
        <f t="shared" si="14"/>
        <v>1.7333333333333334</v>
      </c>
      <c r="G29" s="15">
        <f t="shared" si="15"/>
        <v>1.8444444444444443</v>
      </c>
      <c r="H29" s="15">
        <f t="shared" si="16"/>
        <v>1.5111111111111111</v>
      </c>
      <c r="I29" s="15">
        <f t="shared" si="17"/>
        <v>1.4222222222222221</v>
      </c>
      <c r="J29" s="15">
        <f t="shared" si="18"/>
        <v>0.66666666666666663</v>
      </c>
      <c r="K29" s="15">
        <f t="shared" si="19"/>
        <v>2.1777777777777776</v>
      </c>
      <c r="M29" s="15">
        <f>17/60</f>
        <v>0.28333333333333333</v>
      </c>
      <c r="N29" s="15">
        <f>1+18/60</f>
        <v>1.3</v>
      </c>
      <c r="O29" s="15">
        <f>1+23/60</f>
        <v>1.3833333333333333</v>
      </c>
      <c r="P29" s="15">
        <f>1+8/60</f>
        <v>1.1333333333333333</v>
      </c>
      <c r="Q29" s="15">
        <f>1+4/60</f>
        <v>1.0666666666666667</v>
      </c>
      <c r="R29" s="15">
        <v>0.5</v>
      </c>
      <c r="S29" s="15">
        <f>1+38/60</f>
        <v>1.6333333333333333</v>
      </c>
      <c r="U29" s="15">
        <v>9.9</v>
      </c>
      <c r="V29" s="15">
        <v>55.1</v>
      </c>
      <c r="W29" s="15">
        <v>58.6</v>
      </c>
      <c r="X29" s="15">
        <v>58.4</v>
      </c>
      <c r="Y29" s="15">
        <v>32.299999999999997</v>
      </c>
      <c r="Z29" s="15">
        <v>9.3000000000000007</v>
      </c>
      <c r="AA29" s="15">
        <v>65.3</v>
      </c>
      <c r="AC29">
        <f t="shared" si="6"/>
        <v>26.205882352941178</v>
      </c>
      <c r="AD29">
        <f t="shared" si="7"/>
        <v>31.788461538461537</v>
      </c>
      <c r="AE29">
        <f t="shared" si="8"/>
        <v>31.7710843373494</v>
      </c>
      <c r="AF29">
        <f t="shared" si="9"/>
        <v>38.647058823529413</v>
      </c>
      <c r="AG29">
        <f t="shared" si="10"/>
        <v>22.7109375</v>
      </c>
      <c r="AH29">
        <f t="shared" si="11"/>
        <v>13.950000000000001</v>
      </c>
      <c r="AI29">
        <f t="shared" si="12"/>
        <v>29.98469387755102</v>
      </c>
    </row>
    <row r="30" spans="1:35" x14ac:dyDescent="0.3">
      <c r="A30">
        <v>27</v>
      </c>
      <c r="B30" s="28"/>
      <c r="C30" t="s">
        <v>72</v>
      </c>
      <c r="D30" t="s">
        <v>49</v>
      </c>
      <c r="E30" s="15">
        <f t="shared" si="13"/>
        <v>0.66666666666666663</v>
      </c>
      <c r="F30" s="15">
        <f t="shared" si="14"/>
        <v>2.1777777777777776</v>
      </c>
      <c r="G30" s="15">
        <f t="shared" si="15"/>
        <v>2.1999999999999997</v>
      </c>
      <c r="H30" s="15">
        <f t="shared" si="16"/>
        <v>2</v>
      </c>
      <c r="I30" s="15">
        <f t="shared" si="17"/>
        <v>0.91111111111111109</v>
      </c>
      <c r="J30" s="15">
        <f t="shared" si="18"/>
        <v>0.26666666666666666</v>
      </c>
      <c r="K30" s="15">
        <f t="shared" si="19"/>
        <v>1.6888888888888887</v>
      </c>
      <c r="M30" s="15">
        <v>0.5</v>
      </c>
      <c r="N30" s="15">
        <f>1+38/60</f>
        <v>1.6333333333333333</v>
      </c>
      <c r="O30" s="15">
        <f>1+39/60</f>
        <v>1.65</v>
      </c>
      <c r="P30" s="15">
        <v>1.5</v>
      </c>
      <c r="Q30" s="15">
        <f>41/60</f>
        <v>0.68333333333333335</v>
      </c>
      <c r="R30" s="15">
        <f>12/60</f>
        <v>0.2</v>
      </c>
      <c r="S30" s="15">
        <f>1+16/60</f>
        <v>1.2666666666666666</v>
      </c>
      <c r="U30" s="15">
        <v>18.100000000000001</v>
      </c>
      <c r="V30" s="15">
        <v>64.599999999999994</v>
      </c>
      <c r="W30" s="15">
        <v>66.8</v>
      </c>
      <c r="X30" s="15">
        <v>66.7</v>
      </c>
      <c r="Y30" s="15">
        <v>25</v>
      </c>
      <c r="Z30" s="15">
        <v>3.9</v>
      </c>
      <c r="AA30" s="15">
        <v>58</v>
      </c>
      <c r="AC30">
        <f t="shared" si="6"/>
        <v>27.150000000000002</v>
      </c>
      <c r="AD30">
        <f t="shared" si="7"/>
        <v>29.663265306122447</v>
      </c>
      <c r="AE30">
        <f t="shared" si="8"/>
        <v>30.363636363636367</v>
      </c>
      <c r="AF30">
        <f t="shared" si="9"/>
        <v>33.35</v>
      </c>
      <c r="AG30">
        <f t="shared" si="10"/>
        <v>27.439024390243905</v>
      </c>
      <c r="AH30">
        <f t="shared" si="11"/>
        <v>14.625</v>
      </c>
      <c r="AI30">
        <f t="shared" si="12"/>
        <v>34.342105263157897</v>
      </c>
    </row>
    <row r="31" spans="1:35" x14ac:dyDescent="0.3">
      <c r="A31">
        <v>28</v>
      </c>
      <c r="B31" s="28"/>
      <c r="C31" t="s">
        <v>73</v>
      </c>
      <c r="D31" t="s">
        <v>50</v>
      </c>
      <c r="E31" s="15">
        <f t="shared" si="13"/>
        <v>2.6666666666666665</v>
      </c>
      <c r="F31" s="15">
        <f t="shared" si="14"/>
        <v>3.333333333333333</v>
      </c>
      <c r="G31" s="15">
        <f t="shared" si="15"/>
        <v>3.0888888888888886</v>
      </c>
      <c r="H31" s="15">
        <f t="shared" si="16"/>
        <v>2.5333333333333332</v>
      </c>
      <c r="I31" s="15">
        <f t="shared" si="17"/>
        <v>2</v>
      </c>
      <c r="J31" s="15">
        <f t="shared" si="18"/>
        <v>2.1555555555555554</v>
      </c>
      <c r="K31" s="15">
        <f t="shared" si="19"/>
        <v>1.8888888888888888</v>
      </c>
      <c r="M31" s="15">
        <v>2</v>
      </c>
      <c r="N31" s="15">
        <f>2.5</f>
        <v>2.5</v>
      </c>
      <c r="O31" s="15">
        <f>2+19/60</f>
        <v>2.3166666666666664</v>
      </c>
      <c r="P31" s="15">
        <f>1+54/60</f>
        <v>1.9</v>
      </c>
      <c r="Q31" s="15">
        <v>1.5</v>
      </c>
      <c r="R31" s="15">
        <f>1+37/60</f>
        <v>1.6166666666666667</v>
      </c>
      <c r="S31" s="15">
        <f>1+25/60</f>
        <v>1.4166666666666667</v>
      </c>
      <c r="U31" s="15">
        <v>61.6</v>
      </c>
      <c r="V31" s="15">
        <v>86.4</v>
      </c>
      <c r="W31" s="15">
        <v>74.8</v>
      </c>
      <c r="X31" s="15">
        <v>56.9</v>
      </c>
      <c r="Y31" s="15">
        <v>40.9</v>
      </c>
      <c r="Z31" s="15">
        <v>47.4</v>
      </c>
      <c r="AA31" s="15">
        <v>40.5</v>
      </c>
      <c r="AC31">
        <f t="shared" si="6"/>
        <v>23.1</v>
      </c>
      <c r="AD31">
        <f t="shared" si="7"/>
        <v>25.920000000000005</v>
      </c>
      <c r="AE31">
        <f t="shared" si="8"/>
        <v>24.215827338129497</v>
      </c>
      <c r="AF31">
        <f t="shared" si="9"/>
        <v>22.460526315789473</v>
      </c>
      <c r="AG31">
        <f t="shared" si="10"/>
        <v>20.45</v>
      </c>
      <c r="AH31">
        <f t="shared" si="11"/>
        <v>21.989690721649485</v>
      </c>
      <c r="AI31">
        <f t="shared" si="12"/>
        <v>21.441176470588236</v>
      </c>
    </row>
    <row r="32" spans="1:35" x14ac:dyDescent="0.3">
      <c r="A32">
        <v>29</v>
      </c>
      <c r="B32" s="28"/>
      <c r="C32" t="s">
        <v>74</v>
      </c>
      <c r="D32" t="s">
        <v>51</v>
      </c>
      <c r="E32" s="15">
        <f t="shared" si="13"/>
        <v>1.5066666666666664</v>
      </c>
      <c r="F32" s="15">
        <f t="shared" si="14"/>
        <v>2</v>
      </c>
      <c r="G32" s="15">
        <f t="shared" si="15"/>
        <v>1.6888888888888887</v>
      </c>
      <c r="H32" s="15">
        <f t="shared" si="16"/>
        <v>1.1333333333333333</v>
      </c>
      <c r="I32" s="15">
        <f t="shared" si="17"/>
        <v>0.8666666666666667</v>
      </c>
      <c r="J32" s="15">
        <f t="shared" si="18"/>
        <v>1.0444444444444443</v>
      </c>
      <c r="K32" s="15">
        <f t="shared" si="19"/>
        <v>0.51111111111111107</v>
      </c>
      <c r="M32" s="15">
        <v>1.1299999999999999</v>
      </c>
      <c r="N32" s="15">
        <v>1.5</v>
      </c>
      <c r="O32" s="15">
        <f>1+16/60</f>
        <v>1.2666666666666666</v>
      </c>
      <c r="P32" s="15">
        <f>51/60</f>
        <v>0.85</v>
      </c>
      <c r="Q32" s="15">
        <f>39/60</f>
        <v>0.65</v>
      </c>
      <c r="R32" s="15">
        <f>47/60</f>
        <v>0.78333333333333333</v>
      </c>
      <c r="S32" s="15">
        <f>23/60</f>
        <v>0.38333333333333336</v>
      </c>
      <c r="U32" s="15">
        <v>51.7</v>
      </c>
      <c r="V32" s="15">
        <v>64.900000000000006</v>
      </c>
      <c r="W32" s="15">
        <v>53.3</v>
      </c>
      <c r="X32" s="15">
        <v>35.4</v>
      </c>
      <c r="Y32" s="15">
        <v>31</v>
      </c>
      <c r="Z32" s="15">
        <v>37.5</v>
      </c>
      <c r="AA32" s="15">
        <v>19</v>
      </c>
      <c r="AC32">
        <f t="shared" si="6"/>
        <v>34.314159292035406</v>
      </c>
      <c r="AD32">
        <f t="shared" si="7"/>
        <v>32.450000000000003</v>
      </c>
      <c r="AE32">
        <f t="shared" si="8"/>
        <v>31.559210526315791</v>
      </c>
      <c r="AF32">
        <f t="shared" si="9"/>
        <v>31.235294117647058</v>
      </c>
      <c r="AG32">
        <f t="shared" si="10"/>
        <v>35.769230769230766</v>
      </c>
      <c r="AH32">
        <f t="shared" si="11"/>
        <v>35.904255319148945</v>
      </c>
      <c r="AI32">
        <f t="shared" si="12"/>
        <v>37.173913043478265</v>
      </c>
    </row>
    <row r="33" spans="1:37" x14ac:dyDescent="0.3">
      <c r="A33">
        <v>30</v>
      </c>
      <c r="B33" s="28"/>
      <c r="C33" t="s">
        <v>75</v>
      </c>
      <c r="D33" t="s">
        <v>52</v>
      </c>
      <c r="E33" s="15">
        <f t="shared" si="13"/>
        <v>1.7066666666666666</v>
      </c>
      <c r="F33" s="15">
        <f t="shared" si="14"/>
        <v>1.8444444444444443</v>
      </c>
      <c r="G33" s="15">
        <f t="shared" si="15"/>
        <v>1.5333333333333332</v>
      </c>
      <c r="H33" s="15">
        <f t="shared" si="16"/>
        <v>1</v>
      </c>
      <c r="I33" s="15">
        <f t="shared" si="17"/>
        <v>1.1111111111111112</v>
      </c>
      <c r="J33" s="15">
        <f t="shared" si="18"/>
        <v>1.3333333333333333</v>
      </c>
      <c r="K33" s="15">
        <f t="shared" si="19"/>
        <v>0.35555555555555551</v>
      </c>
      <c r="M33" s="15">
        <v>1.28</v>
      </c>
      <c r="N33" s="15">
        <f>1+23/60</f>
        <v>1.3833333333333333</v>
      </c>
      <c r="O33" s="15">
        <f>1+9/60</f>
        <v>1.1499999999999999</v>
      </c>
      <c r="P33" s="15">
        <f>45/60</f>
        <v>0.75</v>
      </c>
      <c r="Q33" s="15">
        <f>50/60</f>
        <v>0.83333333333333337</v>
      </c>
      <c r="R33" s="15">
        <v>1</v>
      </c>
      <c r="S33" s="15">
        <f>16/60</f>
        <v>0.26666666666666666</v>
      </c>
      <c r="U33" s="15">
        <v>56.4</v>
      </c>
      <c r="V33" s="15">
        <v>57.7</v>
      </c>
      <c r="W33" s="15">
        <v>46.1</v>
      </c>
      <c r="X33" s="15">
        <v>28.2</v>
      </c>
      <c r="Y33" s="15">
        <v>39.9</v>
      </c>
      <c r="Z33" s="15">
        <v>46.4</v>
      </c>
      <c r="AA33" s="15">
        <v>11.8</v>
      </c>
      <c r="AC33">
        <f t="shared" si="6"/>
        <v>33.046875</v>
      </c>
      <c r="AD33">
        <f t="shared" si="7"/>
        <v>31.283132530120486</v>
      </c>
      <c r="AE33">
        <f t="shared" si="8"/>
        <v>30.065217391304351</v>
      </c>
      <c r="AF33">
        <f t="shared" si="9"/>
        <v>28.2</v>
      </c>
      <c r="AG33">
        <f t="shared" si="10"/>
        <v>35.909999999999997</v>
      </c>
      <c r="AH33">
        <f t="shared" si="11"/>
        <v>34.800000000000004</v>
      </c>
      <c r="AI33">
        <f t="shared" si="12"/>
        <v>33.187500000000007</v>
      </c>
    </row>
    <row r="34" spans="1:37" x14ac:dyDescent="0.3">
      <c r="A34">
        <v>31</v>
      </c>
      <c r="B34" s="28"/>
      <c r="C34" t="s">
        <v>76</v>
      </c>
      <c r="D34" t="s">
        <v>53</v>
      </c>
      <c r="E34" s="15">
        <f t="shared" si="13"/>
        <v>1.5466666666666664</v>
      </c>
      <c r="F34" s="15">
        <f t="shared" si="14"/>
        <v>2.8666666666666663</v>
      </c>
      <c r="G34" s="15">
        <f t="shared" si="15"/>
        <v>2.6666666666666665</v>
      </c>
      <c r="H34" s="15">
        <f t="shared" si="16"/>
        <v>2.1111111111111112</v>
      </c>
      <c r="I34" s="15">
        <f t="shared" si="17"/>
        <v>0.24444444444444441</v>
      </c>
      <c r="J34" s="15">
        <f t="shared" si="18"/>
        <v>0.91111111111111109</v>
      </c>
      <c r="K34" s="15">
        <f t="shared" si="19"/>
        <v>1.4666666666666668</v>
      </c>
      <c r="M34" s="15">
        <v>1.1599999999999999</v>
      </c>
      <c r="N34" s="15">
        <f>2+9/60</f>
        <v>2.15</v>
      </c>
      <c r="O34" s="15">
        <v>2</v>
      </c>
      <c r="P34" s="15">
        <f>1+35/60</f>
        <v>1.5833333333333335</v>
      </c>
      <c r="Q34" s="15">
        <f>11/60</f>
        <v>0.18333333333333332</v>
      </c>
      <c r="R34" s="15">
        <f>41/60</f>
        <v>0.68333333333333335</v>
      </c>
      <c r="S34" s="15">
        <f>1+6/60</f>
        <v>1.1000000000000001</v>
      </c>
      <c r="U34" s="15">
        <v>43.7</v>
      </c>
      <c r="V34" s="15">
        <v>90.2</v>
      </c>
      <c r="W34" s="15">
        <v>90.3</v>
      </c>
      <c r="X34" s="15">
        <v>72.400000000000006</v>
      </c>
      <c r="Y34" s="15">
        <v>6.6</v>
      </c>
      <c r="Z34" s="15">
        <v>29.5</v>
      </c>
      <c r="AA34" s="15">
        <v>56</v>
      </c>
      <c r="AC34">
        <f t="shared" si="6"/>
        <v>28.254310344827594</v>
      </c>
      <c r="AD34">
        <f t="shared" si="7"/>
        <v>31.465116279069772</v>
      </c>
      <c r="AE34">
        <f t="shared" si="8"/>
        <v>33.862500000000004</v>
      </c>
      <c r="AF34">
        <f t="shared" si="9"/>
        <v>34.294736842105266</v>
      </c>
      <c r="AG34">
        <f t="shared" si="10"/>
        <v>27.000000000000004</v>
      </c>
      <c r="AH34">
        <f t="shared" si="11"/>
        <v>32.378048780487802</v>
      </c>
      <c r="AI34">
        <f t="shared" si="12"/>
        <v>38.18181818181818</v>
      </c>
    </row>
    <row r="35" spans="1:37" x14ac:dyDescent="0.3">
      <c r="A35">
        <v>32</v>
      </c>
      <c r="B35" s="28"/>
      <c r="C35" t="s">
        <v>77</v>
      </c>
      <c r="D35" t="s">
        <v>54</v>
      </c>
      <c r="E35" s="15">
        <f t="shared" si="13"/>
        <v>1.5466666666666664</v>
      </c>
      <c r="F35" s="15">
        <f t="shared" si="14"/>
        <v>3.0444444444444443</v>
      </c>
      <c r="G35" s="15">
        <f t="shared" si="15"/>
        <v>2.8444444444444441</v>
      </c>
      <c r="H35" s="15">
        <f t="shared" si="16"/>
        <v>2.2888888888888888</v>
      </c>
      <c r="I35" s="15">
        <f t="shared" si="17"/>
        <v>0.42222222222222217</v>
      </c>
      <c r="J35" s="15">
        <f t="shared" si="18"/>
        <v>1.1111111111111112</v>
      </c>
      <c r="K35" s="15">
        <f t="shared" si="19"/>
        <v>1.6444444444444444</v>
      </c>
      <c r="M35" s="15">
        <v>1.1599999999999999</v>
      </c>
      <c r="N35" s="15">
        <f>2+17/60</f>
        <v>2.2833333333333332</v>
      </c>
      <c r="O35" s="15">
        <f>2+8/60</f>
        <v>2.1333333333333333</v>
      </c>
      <c r="P35" s="15">
        <f>1+43/60</f>
        <v>1.7166666666666668</v>
      </c>
      <c r="Q35" s="15">
        <f>19/60</f>
        <v>0.31666666666666665</v>
      </c>
      <c r="R35" s="15">
        <f>50/60</f>
        <v>0.83333333333333337</v>
      </c>
      <c r="S35" s="15">
        <f>1+14/60</f>
        <v>1.2333333333333334</v>
      </c>
      <c r="U35" s="15">
        <v>50.7</v>
      </c>
      <c r="V35" s="15">
        <v>97.2</v>
      </c>
      <c r="W35" s="15">
        <v>97.2</v>
      </c>
      <c r="X35" s="15">
        <v>79.400000000000006</v>
      </c>
      <c r="Y35" s="15">
        <v>13.5</v>
      </c>
      <c r="Z35" s="15">
        <v>36.5</v>
      </c>
      <c r="AA35" s="15">
        <v>62.9</v>
      </c>
      <c r="AC35">
        <f t="shared" si="6"/>
        <v>32.78017241379311</v>
      </c>
      <c r="AD35">
        <f t="shared" si="7"/>
        <v>31.927007299270077</v>
      </c>
      <c r="AE35">
        <f t="shared" si="8"/>
        <v>34.171875000000007</v>
      </c>
      <c r="AF35">
        <f t="shared" si="9"/>
        <v>34.689320388349522</v>
      </c>
      <c r="AG35">
        <f t="shared" si="10"/>
        <v>31.973684210526319</v>
      </c>
      <c r="AH35">
        <f t="shared" si="11"/>
        <v>32.85</v>
      </c>
      <c r="AI35">
        <f t="shared" si="12"/>
        <v>38.25</v>
      </c>
    </row>
    <row r="36" spans="1:37" x14ac:dyDescent="0.3">
      <c r="A36">
        <v>33</v>
      </c>
      <c r="B36" s="28"/>
      <c r="C36" t="s">
        <v>78</v>
      </c>
      <c r="D36" t="s">
        <v>55</v>
      </c>
      <c r="E36" s="15">
        <f t="shared" si="13"/>
        <v>1.7111111111111108</v>
      </c>
      <c r="F36" s="15">
        <f t="shared" si="14"/>
        <v>3.2222222222222219</v>
      </c>
      <c r="G36" s="15">
        <f t="shared" si="15"/>
        <v>3</v>
      </c>
      <c r="H36" s="15">
        <f t="shared" si="16"/>
        <v>2.4666666666666668</v>
      </c>
      <c r="I36" s="15">
        <f t="shared" si="17"/>
        <v>0.6</v>
      </c>
      <c r="J36" s="15">
        <f t="shared" si="18"/>
        <v>1.2888888888888888</v>
      </c>
      <c r="K36" s="15">
        <f t="shared" si="19"/>
        <v>1.8222222222222222</v>
      </c>
      <c r="M36" s="18">
        <f>1+17/60</f>
        <v>1.2833333333333332</v>
      </c>
      <c r="N36" s="15">
        <f>2+25/60</f>
        <v>2.4166666666666665</v>
      </c>
      <c r="O36" s="15">
        <f>2+15/60</f>
        <v>2.25</v>
      </c>
      <c r="P36" s="15">
        <f>1+51/60</f>
        <v>1.85</v>
      </c>
      <c r="Q36" s="15">
        <f>27/60</f>
        <v>0.45</v>
      </c>
      <c r="R36" s="15">
        <f>58/60</f>
        <v>0.96666666666666667</v>
      </c>
      <c r="S36" s="15">
        <f>1+22/60</f>
        <v>1.3666666666666667</v>
      </c>
      <c r="U36" s="15">
        <v>56.1</v>
      </c>
      <c r="V36" s="15">
        <v>103</v>
      </c>
      <c r="W36" s="15">
        <v>103</v>
      </c>
      <c r="X36" s="15">
        <v>84.8</v>
      </c>
      <c r="Y36" s="15">
        <v>19</v>
      </c>
      <c r="Z36" s="15">
        <v>41.9</v>
      </c>
      <c r="AA36" s="15">
        <v>68.400000000000006</v>
      </c>
      <c r="AC36">
        <f t="shared" si="6"/>
        <v>32.785714285714292</v>
      </c>
      <c r="AD36">
        <f t="shared" si="7"/>
        <v>31.965517241379313</v>
      </c>
      <c r="AE36">
        <f t="shared" si="8"/>
        <v>34.333333333333336</v>
      </c>
      <c r="AF36">
        <f t="shared" si="9"/>
        <v>34.378378378378379</v>
      </c>
      <c r="AG36">
        <f t="shared" si="10"/>
        <v>31.666666666666668</v>
      </c>
      <c r="AH36">
        <f t="shared" si="11"/>
        <v>32.508620689655174</v>
      </c>
      <c r="AI36">
        <f t="shared" si="12"/>
        <v>37.536585365853661</v>
      </c>
    </row>
    <row r="37" spans="1:37" x14ac:dyDescent="0.3">
      <c r="A37">
        <v>34</v>
      </c>
      <c r="B37" s="28"/>
      <c r="C37" t="s">
        <v>89</v>
      </c>
      <c r="D37" t="s">
        <v>90</v>
      </c>
      <c r="E37" s="15">
        <f t="shared" si="13"/>
        <v>1.5466666666666664</v>
      </c>
      <c r="F37" s="15">
        <f t="shared" si="14"/>
        <v>3.0444444444444443</v>
      </c>
      <c r="G37" s="15">
        <f t="shared" si="15"/>
        <v>3.0444444444444443</v>
      </c>
      <c r="H37" s="15">
        <f t="shared" si="16"/>
        <v>2.9333333333333336</v>
      </c>
      <c r="I37" s="15">
        <f t="shared" si="17"/>
        <v>2.1999999999999997</v>
      </c>
      <c r="J37" s="15">
        <f t="shared" si="18"/>
        <v>1.4666666666666668</v>
      </c>
      <c r="K37" s="15">
        <f t="shared" si="19"/>
        <v>2.2666666666666666</v>
      </c>
      <c r="M37" s="15">
        <v>1.1599999999999999</v>
      </c>
      <c r="N37" s="15">
        <f>2+17/60</f>
        <v>2.2833333333333332</v>
      </c>
      <c r="O37" s="15">
        <f>2+17/60</f>
        <v>2.2833333333333332</v>
      </c>
      <c r="P37" s="15">
        <f>2+12/60</f>
        <v>2.2000000000000002</v>
      </c>
      <c r="Q37" s="15">
        <f>1+39/60</f>
        <v>1.65</v>
      </c>
      <c r="R37" s="15">
        <f>1+6/60</f>
        <v>1.1000000000000001</v>
      </c>
      <c r="S37" s="15">
        <f>1+42/60</f>
        <v>1.7</v>
      </c>
      <c r="U37" s="15">
        <v>24.8</v>
      </c>
      <c r="V37" s="15">
        <v>71.3</v>
      </c>
      <c r="W37" s="15">
        <v>73.599999999999994</v>
      </c>
      <c r="X37" s="15">
        <v>73.400000000000006</v>
      </c>
      <c r="Y37" s="15">
        <v>45.5</v>
      </c>
      <c r="Z37" s="15">
        <v>22.5</v>
      </c>
      <c r="AA37" s="15">
        <v>39.9</v>
      </c>
      <c r="AC37">
        <f t="shared" si="6"/>
        <v>16.034482758620694</v>
      </c>
      <c r="AD37">
        <f t="shared" si="7"/>
        <v>23.419708029197082</v>
      </c>
      <c r="AE37">
        <f t="shared" si="8"/>
        <v>24.175182481751825</v>
      </c>
      <c r="AF37">
        <f t="shared" si="9"/>
        <v>25.022727272727273</v>
      </c>
      <c r="AG37">
        <f t="shared" si="10"/>
        <v>20.681818181818183</v>
      </c>
      <c r="AH37">
        <f t="shared" si="11"/>
        <v>15.34090909090909</v>
      </c>
      <c r="AI37">
        <f t="shared" si="12"/>
        <v>17.602941176470587</v>
      </c>
    </row>
    <row r="38" spans="1:37" x14ac:dyDescent="0.3">
      <c r="A38">
        <v>35</v>
      </c>
      <c r="B38" s="29"/>
      <c r="C38" s="3" t="s">
        <v>79</v>
      </c>
      <c r="D38" s="3" t="s">
        <v>56</v>
      </c>
      <c r="E38" s="15">
        <f t="shared" si="13"/>
        <v>1.9333333333333331</v>
      </c>
      <c r="F38" s="15">
        <f t="shared" si="14"/>
        <v>3.4444444444444446</v>
      </c>
      <c r="G38" s="15">
        <f t="shared" si="15"/>
        <v>3.1111111111111112</v>
      </c>
      <c r="H38" s="15">
        <f t="shared" si="16"/>
        <v>2.5777777777777775</v>
      </c>
      <c r="I38" s="15">
        <f t="shared" si="17"/>
        <v>1.1777777777777776</v>
      </c>
      <c r="J38" s="15">
        <f t="shared" si="18"/>
        <v>1.4888888888888889</v>
      </c>
      <c r="K38" s="15">
        <f t="shared" si="19"/>
        <v>1.9333333333333331</v>
      </c>
      <c r="M38" s="15">
        <f>1+27/60</f>
        <v>1.45</v>
      </c>
      <c r="N38" s="15">
        <f>2+35/60</f>
        <v>2.5833333333333335</v>
      </c>
      <c r="O38" s="15">
        <f>2+20/60</f>
        <v>2.3333333333333335</v>
      </c>
      <c r="P38" s="15">
        <f>1+56/60</f>
        <v>1.9333333333333333</v>
      </c>
      <c r="Q38" s="15">
        <f>53/60</f>
        <v>0.8833333333333333</v>
      </c>
      <c r="R38" s="15">
        <f>1+7/60</f>
        <v>1.1166666666666667</v>
      </c>
      <c r="S38" s="15">
        <f>1+27/60</f>
        <v>1.45</v>
      </c>
      <c r="U38" s="15">
        <v>49.9</v>
      </c>
      <c r="V38" s="15">
        <v>104</v>
      </c>
      <c r="W38" s="15">
        <v>82.8</v>
      </c>
      <c r="X38" s="15">
        <v>74.900000000000006</v>
      </c>
      <c r="Y38" s="15">
        <v>26.6</v>
      </c>
      <c r="Z38" s="15">
        <v>35.700000000000003</v>
      </c>
      <c r="AA38" s="15">
        <v>58.5</v>
      </c>
      <c r="AC38">
        <f t="shared" si="6"/>
        <v>25.81034482758621</v>
      </c>
      <c r="AD38">
        <f t="shared" si="7"/>
        <v>30.193548387096772</v>
      </c>
      <c r="AE38">
        <f t="shared" si="8"/>
        <v>26.614285714285714</v>
      </c>
      <c r="AF38">
        <f t="shared" si="9"/>
        <v>29.056034482758626</v>
      </c>
      <c r="AG38">
        <f t="shared" si="10"/>
        <v>22.584905660377363</v>
      </c>
      <c r="AH38">
        <f t="shared" si="11"/>
        <v>23.977611940298509</v>
      </c>
      <c r="AI38">
        <f t="shared" si="12"/>
        <v>30.258620689655174</v>
      </c>
    </row>
    <row r="39" spans="1:37" x14ac:dyDescent="0.3">
      <c r="A39">
        <v>36</v>
      </c>
      <c r="B39" s="24" t="s">
        <v>57</v>
      </c>
      <c r="C39" s="7" t="s">
        <v>80</v>
      </c>
      <c r="D39" s="7" t="s">
        <v>58</v>
      </c>
      <c r="E39" s="15">
        <f t="shared" si="13"/>
        <v>1.2888888888888888</v>
      </c>
      <c r="F39" s="15">
        <f t="shared" si="14"/>
        <v>1.4222222222222221</v>
      </c>
      <c r="G39" s="15">
        <f t="shared" si="15"/>
        <v>0.79999999999999993</v>
      </c>
      <c r="H39" s="15">
        <f t="shared" si="16"/>
        <v>0.26666666666666666</v>
      </c>
      <c r="I39" s="15">
        <f t="shared" si="17"/>
        <v>1.6888888888888887</v>
      </c>
      <c r="J39" s="15">
        <f t="shared" si="18"/>
        <v>1.7555555555555555</v>
      </c>
      <c r="K39" s="15">
        <f t="shared" si="19"/>
        <v>0.42222222222222217</v>
      </c>
      <c r="M39" s="15">
        <f>58/60</f>
        <v>0.96666666666666667</v>
      </c>
      <c r="N39" s="15">
        <f>1+4/60</f>
        <v>1.0666666666666667</v>
      </c>
      <c r="O39" s="15">
        <f>36/60</f>
        <v>0.6</v>
      </c>
      <c r="P39" s="15">
        <f>12/60</f>
        <v>0.2</v>
      </c>
      <c r="Q39" s="15">
        <f>1+16/60</f>
        <v>1.2666666666666666</v>
      </c>
      <c r="R39" s="15">
        <f>1+19/60</f>
        <v>1.3166666666666667</v>
      </c>
      <c r="S39" s="15">
        <f>19/60</f>
        <v>0.31666666666666665</v>
      </c>
      <c r="U39" s="15">
        <v>48.4</v>
      </c>
      <c r="V39" s="15">
        <v>49.8</v>
      </c>
      <c r="W39" s="15">
        <v>28.1</v>
      </c>
      <c r="X39" s="15">
        <v>10.199999999999999</v>
      </c>
      <c r="Y39" s="15">
        <v>65.3</v>
      </c>
      <c r="Z39" s="15">
        <v>62.6</v>
      </c>
      <c r="AA39" s="15">
        <v>15.8</v>
      </c>
      <c r="AC39">
        <f t="shared" si="6"/>
        <v>37.551724137931039</v>
      </c>
      <c r="AD39">
        <f t="shared" si="7"/>
        <v>35.015625</v>
      </c>
      <c r="AE39">
        <f t="shared" si="8"/>
        <v>35.125000000000007</v>
      </c>
      <c r="AF39">
        <f t="shared" si="9"/>
        <v>38.25</v>
      </c>
      <c r="AG39">
        <f t="shared" si="10"/>
        <v>38.664473684210527</v>
      </c>
      <c r="AH39">
        <f t="shared" si="11"/>
        <v>35.658227848101269</v>
      </c>
      <c r="AI39">
        <f t="shared" si="12"/>
        <v>37.421052631578952</v>
      </c>
    </row>
    <row r="40" spans="1:37" x14ac:dyDescent="0.3">
      <c r="A40">
        <v>37</v>
      </c>
      <c r="B40" s="25"/>
      <c r="C40" s="8" t="s">
        <v>81</v>
      </c>
      <c r="D40" s="8" t="s">
        <v>59</v>
      </c>
      <c r="E40" s="15">
        <f t="shared" si="13"/>
        <v>1.2666666666666666</v>
      </c>
      <c r="F40" s="15">
        <f t="shared" si="14"/>
        <v>1.4</v>
      </c>
      <c r="G40" s="15">
        <f t="shared" si="15"/>
        <v>0.82222222222222219</v>
      </c>
      <c r="H40" s="15">
        <f t="shared" si="16"/>
        <v>0.28888888888888886</v>
      </c>
      <c r="I40" s="15">
        <f t="shared" si="17"/>
        <v>1.6666666666666665</v>
      </c>
      <c r="J40" s="15">
        <f t="shared" si="18"/>
        <v>1.7333333333333334</v>
      </c>
      <c r="K40" s="15">
        <f t="shared" si="19"/>
        <v>0.39999999999999997</v>
      </c>
      <c r="M40" s="15">
        <f>57/60</f>
        <v>0.95</v>
      </c>
      <c r="N40" s="15">
        <f>1+3/60</f>
        <v>1.05</v>
      </c>
      <c r="O40" s="15">
        <f>37/60</f>
        <v>0.6166666666666667</v>
      </c>
      <c r="P40" s="15">
        <f>13/60</f>
        <v>0.21666666666666667</v>
      </c>
      <c r="Q40" s="15">
        <f>1+15/60</f>
        <v>1.25</v>
      </c>
      <c r="R40" s="15">
        <f>1+18/60</f>
        <v>1.3</v>
      </c>
      <c r="S40" s="15">
        <f>18/60</f>
        <v>0.3</v>
      </c>
      <c r="U40" s="15">
        <v>47.7</v>
      </c>
      <c r="V40" s="15">
        <v>49</v>
      </c>
      <c r="W40" s="15">
        <v>28.9</v>
      </c>
      <c r="X40" s="15">
        <v>11</v>
      </c>
      <c r="Y40" s="15">
        <v>64.5</v>
      </c>
      <c r="Z40" s="15">
        <v>61.9</v>
      </c>
      <c r="AA40" s="15">
        <v>15</v>
      </c>
      <c r="AC40">
        <f t="shared" si="6"/>
        <v>37.65789473684211</v>
      </c>
      <c r="AD40">
        <f t="shared" si="7"/>
        <v>35</v>
      </c>
      <c r="AE40">
        <f t="shared" si="8"/>
        <v>35.148648648648646</v>
      </c>
      <c r="AF40">
        <f t="shared" si="9"/>
        <v>38.07692307692308</v>
      </c>
      <c r="AG40">
        <f t="shared" si="10"/>
        <v>38.700000000000003</v>
      </c>
      <c r="AH40">
        <f t="shared" si="11"/>
        <v>35.71153846153846</v>
      </c>
      <c r="AI40">
        <f t="shared" si="12"/>
        <v>37.5</v>
      </c>
    </row>
    <row r="41" spans="1:37" x14ac:dyDescent="0.3">
      <c r="A41">
        <v>38</v>
      </c>
      <c r="B41" s="25"/>
      <c r="C41" s="8" t="s">
        <v>82</v>
      </c>
      <c r="D41" s="8" t="s">
        <v>60</v>
      </c>
      <c r="E41" s="15">
        <f t="shared" si="13"/>
        <v>1.5111111111111111</v>
      </c>
      <c r="F41" s="15">
        <f t="shared" si="14"/>
        <v>1.6222222222222222</v>
      </c>
      <c r="G41" s="15">
        <f t="shared" si="15"/>
        <v>1.3333333333333333</v>
      </c>
      <c r="H41" s="15">
        <f t="shared" si="16"/>
        <v>0.84444444444444433</v>
      </c>
      <c r="I41" s="15">
        <f t="shared" si="17"/>
        <v>1.1333333333333333</v>
      </c>
      <c r="J41" s="15">
        <f t="shared" si="18"/>
        <v>1.3333333333333333</v>
      </c>
      <c r="K41" s="15">
        <f t="shared" si="19"/>
        <v>0.13333333333333333</v>
      </c>
      <c r="M41" s="15">
        <f>1+8/60</f>
        <v>1.1333333333333333</v>
      </c>
      <c r="N41" s="15">
        <f>1+13/60</f>
        <v>1.2166666666666668</v>
      </c>
      <c r="O41" s="15">
        <v>1</v>
      </c>
      <c r="P41" s="15">
        <f>38/60</f>
        <v>0.6333333333333333</v>
      </c>
      <c r="Q41" s="15">
        <f>51/60</f>
        <v>0.85</v>
      </c>
      <c r="R41" s="15">
        <v>1</v>
      </c>
      <c r="S41" s="15">
        <f>6/60</f>
        <v>0.1</v>
      </c>
      <c r="U41" s="15">
        <v>50.6</v>
      </c>
      <c r="V41" s="15">
        <v>52</v>
      </c>
      <c r="W41" s="15">
        <v>40.299999999999997</v>
      </c>
      <c r="X41" s="15">
        <v>31.7</v>
      </c>
      <c r="Y41" s="15">
        <v>43.5</v>
      </c>
      <c r="Z41" s="15">
        <v>50</v>
      </c>
      <c r="AA41" s="15">
        <v>6</v>
      </c>
      <c r="AC41">
        <f t="shared" si="6"/>
        <v>33.485294117647058</v>
      </c>
      <c r="AD41">
        <f t="shared" si="7"/>
        <v>32.054794520547944</v>
      </c>
      <c r="AE41">
        <f t="shared" si="8"/>
        <v>30.224999999999998</v>
      </c>
      <c r="AF41">
        <f t="shared" si="9"/>
        <v>37.539473684210527</v>
      </c>
      <c r="AG41">
        <f t="shared" si="10"/>
        <v>38.382352941176471</v>
      </c>
      <c r="AH41">
        <f t="shared" si="11"/>
        <v>37.5</v>
      </c>
      <c r="AI41">
        <f t="shared" si="12"/>
        <v>45</v>
      </c>
    </row>
    <row r="42" spans="1:37" x14ac:dyDescent="0.3">
      <c r="A42">
        <v>39</v>
      </c>
      <c r="B42" s="25"/>
      <c r="C42" s="8" t="s">
        <v>83</v>
      </c>
      <c r="D42" s="8" t="s">
        <v>61</v>
      </c>
      <c r="E42" s="15">
        <f t="shared" si="13"/>
        <v>1.911111111111111</v>
      </c>
      <c r="F42" s="15">
        <f t="shared" si="14"/>
        <v>2.0222222222222221</v>
      </c>
      <c r="G42" s="15">
        <f t="shared" si="15"/>
        <v>1.5999999999999999</v>
      </c>
      <c r="H42" s="15">
        <f t="shared" si="16"/>
        <v>1.0666666666666667</v>
      </c>
      <c r="I42" s="15">
        <f t="shared" si="17"/>
        <v>1.6666666666666665</v>
      </c>
      <c r="J42" s="15">
        <f t="shared" si="18"/>
        <v>1.8666666666666665</v>
      </c>
      <c r="K42" s="15">
        <f t="shared" si="19"/>
        <v>0.39999999999999997</v>
      </c>
      <c r="M42" s="15">
        <f>1+26/60</f>
        <v>1.4333333333333333</v>
      </c>
      <c r="N42" s="15">
        <f>1 +31/60</f>
        <v>1.5166666666666666</v>
      </c>
      <c r="O42" s="15">
        <f>1+12/60</f>
        <v>1.2</v>
      </c>
      <c r="P42" s="15">
        <f>48/60</f>
        <v>0.8</v>
      </c>
      <c r="Q42" s="15">
        <f>1+15/60</f>
        <v>1.25</v>
      </c>
      <c r="R42" s="15">
        <f>1+24/60</f>
        <v>1.4</v>
      </c>
      <c r="S42" s="15">
        <f>18/60</f>
        <v>0.3</v>
      </c>
      <c r="U42" s="15">
        <v>59.8</v>
      </c>
      <c r="V42" s="15">
        <v>61.2</v>
      </c>
      <c r="W42" s="15">
        <v>49.1</v>
      </c>
      <c r="X42" s="15">
        <v>31.2</v>
      </c>
      <c r="Y42" s="15">
        <v>57.9</v>
      </c>
      <c r="Z42" s="15">
        <v>64.400000000000006</v>
      </c>
      <c r="AA42" s="15">
        <v>8.6</v>
      </c>
      <c r="AC42">
        <f t="shared" si="6"/>
        <v>31.290697674418606</v>
      </c>
      <c r="AD42">
        <f t="shared" si="7"/>
        <v>30.263736263736266</v>
      </c>
      <c r="AE42">
        <f t="shared" si="8"/>
        <v>30.687500000000004</v>
      </c>
      <c r="AF42">
        <f t="shared" si="9"/>
        <v>29.25</v>
      </c>
      <c r="AG42">
        <f t="shared" si="10"/>
        <v>34.74</v>
      </c>
      <c r="AH42">
        <f t="shared" si="11"/>
        <v>34.500000000000007</v>
      </c>
      <c r="AI42">
        <f t="shared" si="12"/>
        <v>21.5</v>
      </c>
    </row>
    <row r="43" spans="1:37" x14ac:dyDescent="0.3">
      <c r="A43">
        <v>40</v>
      </c>
      <c r="B43" s="25"/>
      <c r="C43" s="8" t="s">
        <v>84</v>
      </c>
      <c r="D43" s="8" t="s">
        <v>62</v>
      </c>
      <c r="E43" s="15">
        <f t="shared" si="13"/>
        <v>2.4666666666666668</v>
      </c>
      <c r="F43" s="15">
        <f t="shared" si="14"/>
        <v>2.6666666666666665</v>
      </c>
      <c r="G43" s="15">
        <f t="shared" si="15"/>
        <v>2.2888888888888888</v>
      </c>
      <c r="H43" s="15">
        <f t="shared" si="16"/>
        <v>1.7333333333333334</v>
      </c>
      <c r="I43" s="15">
        <f t="shared" si="17"/>
        <v>1.911111111111111</v>
      </c>
      <c r="J43" s="15">
        <f t="shared" si="18"/>
        <v>2.1111111111111112</v>
      </c>
      <c r="K43" s="15">
        <f t="shared" si="19"/>
        <v>1.1111111111111112</v>
      </c>
      <c r="M43" s="15">
        <f>1+51/60</f>
        <v>1.85</v>
      </c>
      <c r="N43" s="15">
        <v>2</v>
      </c>
      <c r="O43" s="15">
        <f>1+43/60</f>
        <v>1.7166666666666668</v>
      </c>
      <c r="P43" s="15">
        <f>1+18/60</f>
        <v>1.3</v>
      </c>
      <c r="Q43" s="15">
        <f>1+26/60</f>
        <v>1.4333333333333333</v>
      </c>
      <c r="R43" s="15">
        <f>1+35/60</f>
        <v>1.5833333333333335</v>
      </c>
      <c r="S43" s="15">
        <f>50/60</f>
        <v>0.83333333333333337</v>
      </c>
      <c r="U43" s="15">
        <v>64.400000000000006</v>
      </c>
      <c r="V43" s="15">
        <v>65.8</v>
      </c>
      <c r="W43" s="15">
        <v>54.1</v>
      </c>
      <c r="X43" s="15">
        <v>36.200000000000003</v>
      </c>
      <c r="Y43" s="15">
        <v>50.2</v>
      </c>
      <c r="Z43" s="15">
        <v>56.7</v>
      </c>
      <c r="AA43" s="15">
        <v>19.8</v>
      </c>
      <c r="AC43">
        <f t="shared" si="6"/>
        <v>26.108108108108109</v>
      </c>
      <c r="AD43">
        <f t="shared" si="7"/>
        <v>24.675000000000001</v>
      </c>
      <c r="AE43">
        <f t="shared" si="8"/>
        <v>23.635922330097088</v>
      </c>
      <c r="AF43">
        <f t="shared" si="9"/>
        <v>20.884615384615387</v>
      </c>
      <c r="AG43">
        <f t="shared" si="10"/>
        <v>26.267441860465119</v>
      </c>
      <c r="AH43">
        <f t="shared" si="11"/>
        <v>26.857894736842105</v>
      </c>
      <c r="AI43">
        <f t="shared" si="12"/>
        <v>17.82</v>
      </c>
    </row>
    <row r="44" spans="1:37" x14ac:dyDescent="0.3">
      <c r="A44">
        <v>41</v>
      </c>
      <c r="B44" s="25"/>
      <c r="C44" s="8" t="s">
        <v>85</v>
      </c>
      <c r="D44" s="8" t="s">
        <v>63</v>
      </c>
      <c r="E44" s="15">
        <f t="shared" si="13"/>
        <v>2.7777777777777777</v>
      </c>
      <c r="F44" s="15">
        <f t="shared" si="14"/>
        <v>3.0222222222222221</v>
      </c>
      <c r="G44" s="15">
        <f t="shared" si="15"/>
        <v>2.6666666666666665</v>
      </c>
      <c r="H44" s="15">
        <f t="shared" si="16"/>
        <v>2.1555555555555554</v>
      </c>
      <c r="I44" s="15">
        <f t="shared" si="17"/>
        <v>2</v>
      </c>
      <c r="J44" s="15">
        <f t="shared" si="18"/>
        <v>2.3111111111111109</v>
      </c>
      <c r="K44" s="15">
        <f t="shared" si="19"/>
        <v>1.5333333333333332</v>
      </c>
      <c r="M44" s="15">
        <f>2+5/60</f>
        <v>2.0833333333333335</v>
      </c>
      <c r="N44" s="15">
        <f>2+16/60</f>
        <v>2.2666666666666666</v>
      </c>
      <c r="O44" s="15">
        <v>2</v>
      </c>
      <c r="P44" s="15">
        <f>1+37/60</f>
        <v>1.6166666666666667</v>
      </c>
      <c r="Q44" s="15">
        <v>1.5</v>
      </c>
      <c r="R44" s="15">
        <f>1+44/60</f>
        <v>1.7333333333333334</v>
      </c>
      <c r="S44" s="15">
        <f>1+9/60</f>
        <v>1.1499999999999999</v>
      </c>
      <c r="U44" s="15">
        <v>60.2</v>
      </c>
      <c r="V44" s="15">
        <v>71.599999999999994</v>
      </c>
      <c r="W44" s="15">
        <v>60</v>
      </c>
      <c r="X44" s="15">
        <v>42.1</v>
      </c>
      <c r="Y44" s="15">
        <v>36.9</v>
      </c>
      <c r="Z44" s="15">
        <v>46</v>
      </c>
      <c r="AA44" s="15">
        <v>25.7</v>
      </c>
      <c r="AC44">
        <f t="shared" si="6"/>
        <v>21.672000000000001</v>
      </c>
      <c r="AD44">
        <f t="shared" si="7"/>
        <v>23.691176470588236</v>
      </c>
      <c r="AE44">
        <f t="shared" si="8"/>
        <v>22.5</v>
      </c>
      <c r="AF44">
        <f t="shared" si="9"/>
        <v>19.530927835051546</v>
      </c>
      <c r="AG44">
        <f t="shared" si="10"/>
        <v>18.45</v>
      </c>
      <c r="AH44">
        <f t="shared" si="11"/>
        <v>19.903846153846157</v>
      </c>
      <c r="AI44">
        <f t="shared" si="12"/>
        <v>16.760869565217391</v>
      </c>
    </row>
    <row r="45" spans="1:37" x14ac:dyDescent="0.3">
      <c r="A45">
        <v>42</v>
      </c>
      <c r="B45" s="25"/>
      <c r="C45" s="8" t="s">
        <v>86</v>
      </c>
      <c r="D45" s="8" t="s">
        <v>64</v>
      </c>
      <c r="E45" s="15">
        <f t="shared" si="13"/>
        <v>2.2222222222222219</v>
      </c>
      <c r="F45" s="15">
        <f t="shared" si="14"/>
        <v>2.333333333333333</v>
      </c>
      <c r="G45" s="15">
        <f t="shared" si="15"/>
        <v>1.8666666666666665</v>
      </c>
      <c r="H45" s="15">
        <f t="shared" si="16"/>
        <v>1.3333333333333333</v>
      </c>
      <c r="I45" s="15">
        <f t="shared" si="17"/>
        <v>2.1333333333333333</v>
      </c>
      <c r="J45" s="15">
        <f t="shared" si="18"/>
        <v>2.333333333333333</v>
      </c>
      <c r="K45" s="15">
        <f t="shared" si="19"/>
        <v>0.8666666666666667</v>
      </c>
      <c r="M45" s="15">
        <f>1+40/60</f>
        <v>1.6666666666666665</v>
      </c>
      <c r="N45" s="15">
        <f>1+45/60</f>
        <v>1.75</v>
      </c>
      <c r="O45" s="15">
        <f>1+24/60</f>
        <v>1.4</v>
      </c>
      <c r="P45" s="15">
        <v>1</v>
      </c>
      <c r="Q45" s="15">
        <f>1+36/60</f>
        <v>1.6</v>
      </c>
      <c r="R45" s="15">
        <f>1+45/60</f>
        <v>1.75</v>
      </c>
      <c r="S45" s="15">
        <f>39/60</f>
        <v>0.65</v>
      </c>
      <c r="U45" s="15">
        <v>74.099999999999994</v>
      </c>
      <c r="V45" s="15">
        <v>75.400000000000006</v>
      </c>
      <c r="W45" s="15">
        <v>58.5</v>
      </c>
      <c r="X45" s="15">
        <v>40.6</v>
      </c>
      <c r="Y45" s="15">
        <v>72.599999999999994</v>
      </c>
      <c r="Z45" s="15">
        <v>79.099999999999994</v>
      </c>
      <c r="AA45" s="15">
        <v>23.3</v>
      </c>
      <c r="AC45">
        <f t="shared" si="6"/>
        <v>33.345000000000006</v>
      </c>
      <c r="AD45">
        <f t="shared" si="7"/>
        <v>32.314285714285724</v>
      </c>
      <c r="AE45">
        <f t="shared" si="8"/>
        <v>31.339285714285719</v>
      </c>
      <c r="AF45">
        <f t="shared" si="9"/>
        <v>30.450000000000003</v>
      </c>
      <c r="AG45">
        <f t="shared" si="10"/>
        <v>34.03125</v>
      </c>
      <c r="AH45">
        <f t="shared" si="11"/>
        <v>33.9</v>
      </c>
      <c r="AI45">
        <f t="shared" si="12"/>
        <v>26.884615384615383</v>
      </c>
    </row>
    <row r="46" spans="1:37" x14ac:dyDescent="0.3">
      <c r="A46">
        <v>43</v>
      </c>
      <c r="B46" s="26"/>
      <c r="C46" s="9" t="s">
        <v>87</v>
      </c>
      <c r="D46" s="9" t="s">
        <v>65</v>
      </c>
      <c r="E46" s="15">
        <f t="shared" si="13"/>
        <v>1.8888888888888888</v>
      </c>
      <c r="F46" s="15">
        <f t="shared" si="14"/>
        <v>2</v>
      </c>
      <c r="G46" s="15">
        <f t="shared" si="15"/>
        <v>1.5333333333333332</v>
      </c>
      <c r="H46" s="15">
        <f t="shared" si="16"/>
        <v>1</v>
      </c>
      <c r="I46" s="15">
        <f t="shared" si="17"/>
        <v>1.9333333333333331</v>
      </c>
      <c r="J46" s="15">
        <f t="shared" si="18"/>
        <v>2.3555555555555552</v>
      </c>
      <c r="K46" s="15">
        <f t="shared" si="19"/>
        <v>0.66666666666666663</v>
      </c>
      <c r="M46" s="15">
        <f>1+25/60</f>
        <v>1.4166666666666667</v>
      </c>
      <c r="N46" s="15">
        <f>1.5</f>
        <v>1.5</v>
      </c>
      <c r="O46" s="15">
        <f>1+9/60</f>
        <v>1.1499999999999999</v>
      </c>
      <c r="P46" s="15">
        <f>45/60</f>
        <v>0.75</v>
      </c>
      <c r="Q46" s="15">
        <f>1+27/60</f>
        <v>1.45</v>
      </c>
      <c r="R46" s="15">
        <f>1+46/60</f>
        <v>1.7666666666666666</v>
      </c>
      <c r="S46" s="15">
        <v>0.5</v>
      </c>
      <c r="U46" s="15">
        <v>64.900000000000006</v>
      </c>
      <c r="V46" s="15">
        <v>66.2</v>
      </c>
      <c r="W46" s="15">
        <v>49.3</v>
      </c>
      <c r="X46" s="15">
        <v>31.4</v>
      </c>
      <c r="Y46" s="15">
        <v>69.5</v>
      </c>
      <c r="Z46" s="15">
        <v>79.099999999999994</v>
      </c>
      <c r="AA46" s="15">
        <v>20</v>
      </c>
      <c r="AC46">
        <f t="shared" si="6"/>
        <v>34.358823529411765</v>
      </c>
      <c r="AD46">
        <f t="shared" si="7"/>
        <v>33.1</v>
      </c>
      <c r="AE46">
        <f t="shared" si="8"/>
        <v>32.152173913043477</v>
      </c>
      <c r="AF46">
        <f t="shared" si="9"/>
        <v>31.4</v>
      </c>
      <c r="AG46">
        <f t="shared" si="10"/>
        <v>35.948275862068968</v>
      </c>
      <c r="AH46">
        <f t="shared" si="11"/>
        <v>33.580188679245289</v>
      </c>
      <c r="AI46">
        <f t="shared" si="12"/>
        <v>30</v>
      </c>
    </row>
    <row r="48" spans="1:37" x14ac:dyDescent="0.3">
      <c r="V48" s="15">
        <f>MAX(V4:V47)</f>
        <v>104</v>
      </c>
      <c r="AC48">
        <f>AVERAGE(AC4:AC47)</f>
        <v>29.523431969395446</v>
      </c>
      <c r="AD48">
        <f t="shared" ref="AD48:AI48" si="20">AVERAGE(AD4:AD47)</f>
        <v>29.541730499040082</v>
      </c>
      <c r="AE48">
        <f t="shared" si="20"/>
        <v>29.808811426037362</v>
      </c>
      <c r="AF48">
        <f t="shared" si="20"/>
        <v>31.104188351300234</v>
      </c>
      <c r="AG48">
        <f t="shared" si="20"/>
        <v>30.850023418160237</v>
      </c>
      <c r="AH48">
        <f t="shared" si="20"/>
        <v>28.996733290995291</v>
      </c>
      <c r="AI48">
        <f t="shared" si="20"/>
        <v>31.877547176116455</v>
      </c>
      <c r="AK48" s="21">
        <f>AVERAGE(AC48:AI48)</f>
        <v>30.243209447292156</v>
      </c>
    </row>
  </sheetData>
  <mergeCells count="7">
    <mergeCell ref="U1:AA1"/>
    <mergeCell ref="B4:B17"/>
    <mergeCell ref="B18:B27"/>
    <mergeCell ref="B28:B38"/>
    <mergeCell ref="B39:B46"/>
    <mergeCell ref="E1:K1"/>
    <mergeCell ref="M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14"/>
  <sheetViews>
    <sheetView workbookViewId="0">
      <selection activeCell="F4" sqref="F4"/>
    </sheetView>
  </sheetViews>
  <sheetFormatPr defaultRowHeight="14.4" x14ac:dyDescent="0.3"/>
  <cols>
    <col min="1" max="1" width="3.33203125" customWidth="1"/>
    <col min="2" max="2" width="2" bestFit="1" customWidth="1"/>
    <col min="3" max="3" width="26.44140625" bestFit="1" customWidth="1"/>
    <col min="4" max="4" width="13.6640625" bestFit="1" customWidth="1"/>
    <col min="5" max="5" width="25.33203125" bestFit="1" customWidth="1"/>
  </cols>
  <sheetData>
    <row r="1" spans="2:25" x14ac:dyDescent="0.3">
      <c r="F1" s="22" t="s">
        <v>174</v>
      </c>
      <c r="G1" s="22"/>
      <c r="H1" s="22"/>
      <c r="I1" s="22"/>
      <c r="K1" s="22" t="s">
        <v>174</v>
      </c>
      <c r="L1" s="22"/>
      <c r="M1" s="22"/>
      <c r="N1" s="22"/>
      <c r="P1" s="22" t="s">
        <v>177</v>
      </c>
      <c r="Q1" s="22"/>
      <c r="R1" s="22"/>
      <c r="S1" s="22"/>
    </row>
    <row r="2" spans="2:25" x14ac:dyDescent="0.3">
      <c r="F2" s="10" t="s">
        <v>120</v>
      </c>
      <c r="G2" t="s">
        <v>121</v>
      </c>
      <c r="H2" t="s">
        <v>118</v>
      </c>
      <c r="I2" s="3" t="s">
        <v>123</v>
      </c>
      <c r="K2" s="10" t="s">
        <v>120</v>
      </c>
      <c r="L2" t="s">
        <v>121</v>
      </c>
      <c r="M2" t="s">
        <v>118</v>
      </c>
      <c r="N2" s="3" t="s">
        <v>123</v>
      </c>
      <c r="P2" s="10" t="s">
        <v>120</v>
      </c>
      <c r="Q2" t="s">
        <v>121</v>
      </c>
      <c r="R2" t="s">
        <v>118</v>
      </c>
      <c r="S2" s="3" t="s">
        <v>123</v>
      </c>
    </row>
    <row r="3" spans="2:25" x14ac:dyDescent="0.3">
      <c r="B3" t="s">
        <v>144</v>
      </c>
      <c r="D3" s="4" t="s">
        <v>103</v>
      </c>
      <c r="E3" s="4"/>
      <c r="F3" t="s">
        <v>164</v>
      </c>
      <c r="G3" t="s">
        <v>165</v>
      </c>
      <c r="H3" t="s">
        <v>166</v>
      </c>
      <c r="I3" t="s">
        <v>167</v>
      </c>
      <c r="K3" t="s">
        <v>164</v>
      </c>
      <c r="L3" t="s">
        <v>165</v>
      </c>
      <c r="M3" t="s">
        <v>166</v>
      </c>
      <c r="N3" t="s">
        <v>167</v>
      </c>
      <c r="P3" t="s">
        <v>164</v>
      </c>
      <c r="Q3" t="s">
        <v>165</v>
      </c>
      <c r="R3" t="s">
        <v>166</v>
      </c>
      <c r="S3" t="s">
        <v>167</v>
      </c>
    </row>
    <row r="4" spans="2:25" ht="15" customHeight="1" x14ac:dyDescent="0.3">
      <c r="B4">
        <v>1</v>
      </c>
      <c r="C4" s="10" t="s">
        <v>25</v>
      </c>
      <c r="D4" t="s">
        <v>178</v>
      </c>
      <c r="E4" t="s">
        <v>104</v>
      </c>
      <c r="F4">
        <f>K4*(1/(30/45))</f>
        <v>1.2000000000000002</v>
      </c>
      <c r="G4">
        <f t="shared" ref="G4:I12" si="0">L4*(1/(30/45))</f>
        <v>1.9</v>
      </c>
      <c r="H4">
        <f t="shared" si="0"/>
        <v>1.125</v>
      </c>
      <c r="I4">
        <f t="shared" si="0"/>
        <v>1.4749999999999999</v>
      </c>
      <c r="K4">
        <f>48/60</f>
        <v>0.8</v>
      </c>
      <c r="L4">
        <f>1+16/60</f>
        <v>1.2666666666666666</v>
      </c>
      <c r="M4">
        <f>45/60</f>
        <v>0.75</v>
      </c>
      <c r="N4">
        <f>59/60</f>
        <v>0.98333333333333328</v>
      </c>
      <c r="P4">
        <v>33.799999999999997</v>
      </c>
      <c r="Q4">
        <v>57.7</v>
      </c>
      <c r="R4">
        <v>31.7</v>
      </c>
      <c r="S4">
        <v>49</v>
      </c>
      <c r="V4">
        <f>P4/F4</f>
        <v>28.166666666666661</v>
      </c>
      <c r="W4">
        <f>Q4/G4</f>
        <v>30.368421052631582</v>
      </c>
      <c r="X4">
        <f>R4/H4</f>
        <v>28.177777777777777</v>
      </c>
      <c r="Y4">
        <f>S4/I4</f>
        <v>33.220338983050851</v>
      </c>
    </row>
    <row r="5" spans="2:25" x14ac:dyDescent="0.3">
      <c r="B5">
        <v>2</v>
      </c>
      <c r="D5" t="s">
        <v>179</v>
      </c>
      <c r="E5" t="s">
        <v>105</v>
      </c>
      <c r="F5">
        <f t="shared" ref="F5:F12" si="1">K5*(1/(30/45))</f>
        <v>0.1</v>
      </c>
      <c r="G5">
        <f t="shared" si="0"/>
        <v>0.875</v>
      </c>
      <c r="H5">
        <f t="shared" si="0"/>
        <v>2.0999999999999996</v>
      </c>
      <c r="I5">
        <f t="shared" si="0"/>
        <v>1</v>
      </c>
      <c r="K5">
        <f>4/60</f>
        <v>6.6666666666666666E-2</v>
      </c>
      <c r="L5">
        <f>35/60</f>
        <v>0.58333333333333337</v>
      </c>
      <c r="M5">
        <f>1 +24/60</f>
        <v>1.4</v>
      </c>
      <c r="N5">
        <f>40/60</f>
        <v>0.66666666666666663</v>
      </c>
      <c r="P5">
        <v>2.7</v>
      </c>
      <c r="Q5">
        <v>27.4</v>
      </c>
      <c r="R5">
        <v>67.8</v>
      </c>
      <c r="S5">
        <v>34.799999999999997</v>
      </c>
      <c r="V5">
        <f t="shared" ref="V5:V12" si="2">P5/F5</f>
        <v>27</v>
      </c>
      <c r="W5">
        <f t="shared" ref="W5:Y12" si="3">Q5/G5</f>
        <v>31.314285714285713</v>
      </c>
      <c r="X5">
        <f t="shared" si="3"/>
        <v>32.285714285714292</v>
      </c>
      <c r="Y5">
        <f t="shared" si="3"/>
        <v>34.799999999999997</v>
      </c>
    </row>
    <row r="6" spans="2:25" ht="15" customHeight="1" x14ac:dyDescent="0.3">
      <c r="B6">
        <v>3</v>
      </c>
      <c r="C6" s="10" t="s">
        <v>47</v>
      </c>
      <c r="D6" s="11" t="s">
        <v>106</v>
      </c>
      <c r="E6" s="11" t="s">
        <v>107</v>
      </c>
      <c r="F6">
        <f t="shared" si="1"/>
        <v>0.625</v>
      </c>
      <c r="G6">
        <f t="shared" si="0"/>
        <v>0.25</v>
      </c>
      <c r="H6">
        <f t="shared" si="0"/>
        <v>2.3250000000000002</v>
      </c>
      <c r="I6">
        <f t="shared" si="0"/>
        <v>1.0499999999999998</v>
      </c>
      <c r="K6">
        <f>25/60</f>
        <v>0.41666666666666669</v>
      </c>
      <c r="L6">
        <f>10/60</f>
        <v>0.16666666666666666</v>
      </c>
      <c r="M6">
        <f>1+33/60</f>
        <v>1.55</v>
      </c>
      <c r="N6">
        <f>42/60</f>
        <v>0.7</v>
      </c>
      <c r="P6">
        <v>19.7</v>
      </c>
      <c r="Q6">
        <v>8.4</v>
      </c>
      <c r="R6">
        <v>71.3</v>
      </c>
      <c r="S6">
        <v>33</v>
      </c>
      <c r="V6">
        <f t="shared" si="2"/>
        <v>31.52</v>
      </c>
      <c r="W6">
        <f t="shared" si="3"/>
        <v>33.6</v>
      </c>
      <c r="X6">
        <f t="shared" si="3"/>
        <v>30.666666666666664</v>
      </c>
      <c r="Y6">
        <f t="shared" si="3"/>
        <v>31.428571428571434</v>
      </c>
    </row>
    <row r="7" spans="2:25" x14ac:dyDescent="0.3">
      <c r="B7">
        <v>4</v>
      </c>
      <c r="D7" s="12" t="s">
        <v>108</v>
      </c>
      <c r="E7" s="12" t="s">
        <v>109</v>
      </c>
      <c r="F7">
        <f t="shared" si="1"/>
        <v>1.0499999999999998</v>
      </c>
      <c r="G7">
        <f t="shared" si="0"/>
        <v>1.2749999999999999</v>
      </c>
      <c r="H7">
        <f t="shared" si="0"/>
        <v>2.15</v>
      </c>
      <c r="I7">
        <f t="shared" si="0"/>
        <v>0.875</v>
      </c>
      <c r="K7">
        <f>42/60</f>
        <v>0.7</v>
      </c>
      <c r="L7">
        <f>51/60</f>
        <v>0.85</v>
      </c>
      <c r="M7">
        <f>1+26/60</f>
        <v>1.4333333333333333</v>
      </c>
      <c r="N7">
        <f>35/60</f>
        <v>0.58333333333333337</v>
      </c>
      <c r="P7">
        <v>30.8</v>
      </c>
      <c r="Q7">
        <v>2.6</v>
      </c>
      <c r="R7">
        <v>62.7</v>
      </c>
      <c r="S7">
        <v>24.3</v>
      </c>
      <c r="V7">
        <f t="shared" si="2"/>
        <v>29.333333333333339</v>
      </c>
      <c r="W7">
        <f t="shared" si="3"/>
        <v>2.0392156862745101</v>
      </c>
      <c r="X7">
        <f t="shared" si="3"/>
        <v>29.162790697674421</v>
      </c>
      <c r="Y7">
        <f t="shared" si="3"/>
        <v>27.771428571428572</v>
      </c>
    </row>
    <row r="8" spans="2:25" ht="15" customHeight="1" x14ac:dyDescent="0.3">
      <c r="B8">
        <v>5</v>
      </c>
      <c r="C8" s="10" t="s">
        <v>46</v>
      </c>
      <c r="D8" s="10" t="s">
        <v>110</v>
      </c>
      <c r="E8" s="10" t="s">
        <v>111</v>
      </c>
      <c r="F8">
        <f t="shared" si="1"/>
        <v>2.5</v>
      </c>
      <c r="G8">
        <f t="shared" si="0"/>
        <v>2.4500000000000002</v>
      </c>
      <c r="H8">
        <f t="shared" si="0"/>
        <v>0.35</v>
      </c>
      <c r="I8">
        <f t="shared" si="0"/>
        <v>1.7249999999999999</v>
      </c>
      <c r="K8">
        <f>1+40/60</f>
        <v>1.6666666666666665</v>
      </c>
      <c r="L8">
        <f>1+38/60</f>
        <v>1.6333333333333333</v>
      </c>
      <c r="M8">
        <f>14/60</f>
        <v>0.23333333333333334</v>
      </c>
      <c r="N8">
        <f>1+9/60</f>
        <v>1.1499999999999999</v>
      </c>
      <c r="P8">
        <v>70</v>
      </c>
      <c r="Q8">
        <v>74.099999999999994</v>
      </c>
      <c r="R8">
        <v>11.1</v>
      </c>
      <c r="S8">
        <v>58.7</v>
      </c>
      <c r="V8">
        <f t="shared" si="2"/>
        <v>28</v>
      </c>
      <c r="W8">
        <f t="shared" si="3"/>
        <v>30.244897959183668</v>
      </c>
      <c r="X8">
        <f t="shared" si="3"/>
        <v>31.714285714285715</v>
      </c>
      <c r="Y8">
        <f t="shared" si="3"/>
        <v>34.028985507246382</v>
      </c>
    </row>
    <row r="9" spans="2:25" x14ac:dyDescent="0.3">
      <c r="B9">
        <v>6</v>
      </c>
      <c r="D9" t="s">
        <v>112</v>
      </c>
      <c r="E9" t="s">
        <v>113</v>
      </c>
      <c r="F9">
        <f t="shared" si="1"/>
        <v>1.8250000000000002</v>
      </c>
      <c r="G9">
        <f t="shared" si="0"/>
        <v>2.6</v>
      </c>
      <c r="H9">
        <f t="shared" si="0"/>
        <v>0.5</v>
      </c>
      <c r="I9">
        <f t="shared" si="0"/>
        <v>1.875</v>
      </c>
      <c r="K9">
        <f>1+13/60</f>
        <v>1.2166666666666668</v>
      </c>
      <c r="L9">
        <f>1+44/60</f>
        <v>1.7333333333333334</v>
      </c>
      <c r="M9">
        <f>20/60</f>
        <v>0.33333333333333331</v>
      </c>
      <c r="N9">
        <f>1+15/60</f>
        <v>1.25</v>
      </c>
      <c r="P9">
        <v>50.8</v>
      </c>
      <c r="Q9">
        <v>75.400000000000006</v>
      </c>
      <c r="R9">
        <v>14.8</v>
      </c>
      <c r="S9">
        <v>62.5</v>
      </c>
      <c r="V9">
        <f t="shared" si="2"/>
        <v>27.835616438356158</v>
      </c>
      <c r="W9">
        <f t="shared" si="3"/>
        <v>29</v>
      </c>
      <c r="X9">
        <f t="shared" si="3"/>
        <v>29.6</v>
      </c>
      <c r="Y9">
        <f t="shared" si="3"/>
        <v>33.333333333333336</v>
      </c>
    </row>
    <row r="10" spans="2:25" x14ac:dyDescent="0.3">
      <c r="B10">
        <v>7</v>
      </c>
      <c r="D10" t="s">
        <v>102</v>
      </c>
      <c r="E10" t="s">
        <v>114</v>
      </c>
      <c r="F10">
        <f t="shared" si="1"/>
        <v>1.7</v>
      </c>
      <c r="G10">
        <f t="shared" si="0"/>
        <v>1.5750000000000002</v>
      </c>
      <c r="H10">
        <f t="shared" si="0"/>
        <v>0.5</v>
      </c>
      <c r="I10">
        <f t="shared" si="0"/>
        <v>0.875</v>
      </c>
      <c r="K10">
        <f>1+8/60</f>
        <v>1.1333333333333333</v>
      </c>
      <c r="L10">
        <f>1+3/60</f>
        <v>1.05</v>
      </c>
      <c r="M10">
        <f>20/60</f>
        <v>0.33333333333333331</v>
      </c>
      <c r="N10">
        <f>35/60</f>
        <v>0.58333333333333337</v>
      </c>
      <c r="P10">
        <v>52.3</v>
      </c>
      <c r="Q10">
        <v>44.6</v>
      </c>
      <c r="R10">
        <v>18.399999999999999</v>
      </c>
      <c r="S10">
        <v>29.3</v>
      </c>
      <c r="V10">
        <f t="shared" si="2"/>
        <v>30.764705882352942</v>
      </c>
      <c r="W10">
        <f t="shared" si="3"/>
        <v>28.317460317460316</v>
      </c>
      <c r="X10">
        <f t="shared" si="3"/>
        <v>36.799999999999997</v>
      </c>
      <c r="Y10">
        <f t="shared" si="3"/>
        <v>33.485714285714288</v>
      </c>
    </row>
    <row r="11" spans="2:25" ht="15" customHeight="1" x14ac:dyDescent="0.3">
      <c r="B11">
        <v>8</v>
      </c>
      <c r="C11" s="10" t="s">
        <v>57</v>
      </c>
      <c r="D11" s="7" t="s">
        <v>115</v>
      </c>
      <c r="E11" s="7" t="s">
        <v>116</v>
      </c>
      <c r="F11">
        <f t="shared" si="1"/>
        <v>1.5</v>
      </c>
      <c r="G11">
        <f t="shared" si="0"/>
        <v>1.2749999999999999</v>
      </c>
      <c r="H11">
        <f t="shared" si="0"/>
        <v>1.2000000000000002</v>
      </c>
      <c r="I11">
        <f t="shared" si="0"/>
        <v>0.44999999999999996</v>
      </c>
      <c r="K11">
        <v>1</v>
      </c>
      <c r="L11">
        <f>51/60</f>
        <v>0.85</v>
      </c>
      <c r="M11">
        <f>48/60</f>
        <v>0.8</v>
      </c>
      <c r="N11">
        <f>18/60</f>
        <v>0.3</v>
      </c>
      <c r="P11">
        <v>43.3</v>
      </c>
      <c r="Q11">
        <v>38.200000000000003</v>
      </c>
      <c r="R11">
        <v>41.7</v>
      </c>
      <c r="S11">
        <v>14.4</v>
      </c>
      <c r="V11">
        <f t="shared" si="2"/>
        <v>28.866666666666664</v>
      </c>
      <c r="W11">
        <f t="shared" si="3"/>
        <v>29.960784313725494</v>
      </c>
      <c r="X11">
        <f t="shared" si="3"/>
        <v>34.75</v>
      </c>
      <c r="Y11">
        <f t="shared" si="3"/>
        <v>32.000000000000007</v>
      </c>
    </row>
    <row r="12" spans="2:25" x14ac:dyDescent="0.3">
      <c r="B12">
        <v>9</v>
      </c>
      <c r="C12" s="3"/>
      <c r="D12" s="9" t="s">
        <v>80</v>
      </c>
      <c r="E12" s="9" t="s">
        <v>117</v>
      </c>
      <c r="F12">
        <f t="shared" si="1"/>
        <v>1.0499999999999998</v>
      </c>
      <c r="G12">
        <f t="shared" si="0"/>
        <v>0.7</v>
      </c>
      <c r="H12">
        <f t="shared" si="0"/>
        <v>1.45</v>
      </c>
      <c r="I12">
        <f t="shared" si="0"/>
        <v>0.1</v>
      </c>
      <c r="K12">
        <f>42/60</f>
        <v>0.7</v>
      </c>
      <c r="L12">
        <f>28/60</f>
        <v>0.46666666666666667</v>
      </c>
      <c r="M12">
        <f>58/60</f>
        <v>0.96666666666666667</v>
      </c>
      <c r="N12">
        <f>4/60</f>
        <v>6.6666666666666666E-2</v>
      </c>
      <c r="P12">
        <v>34.5</v>
      </c>
      <c r="Q12">
        <v>21</v>
      </c>
      <c r="R12">
        <v>51.6</v>
      </c>
      <c r="S12">
        <v>3.5</v>
      </c>
      <c r="V12">
        <f t="shared" si="2"/>
        <v>32.857142857142861</v>
      </c>
      <c r="W12">
        <f t="shared" si="3"/>
        <v>30.000000000000004</v>
      </c>
      <c r="X12">
        <f t="shared" si="3"/>
        <v>35.58620689655173</v>
      </c>
      <c r="Y12">
        <f t="shared" si="3"/>
        <v>35</v>
      </c>
    </row>
    <row r="14" spans="2:25" x14ac:dyDescent="0.3">
      <c r="V14" s="21">
        <f>AVERAGE(V4:Y12)</f>
        <v>30.361139195447095</v>
      </c>
    </row>
  </sheetData>
  <mergeCells count="3">
    <mergeCell ref="F1:I1"/>
    <mergeCell ref="P1:S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0"/>
  <sheetViews>
    <sheetView workbookViewId="0">
      <selection activeCell="V9" sqref="V9"/>
    </sheetView>
  </sheetViews>
  <sheetFormatPr defaultRowHeight="14.4" x14ac:dyDescent="0.3"/>
  <cols>
    <col min="1" max="1" width="2" customWidth="1"/>
    <col min="2" max="2" width="2" bestFit="1" customWidth="1"/>
    <col min="3" max="3" width="26.44140625" bestFit="1" customWidth="1"/>
    <col min="4" max="4" width="12.33203125" bestFit="1" customWidth="1"/>
    <col min="5" max="5" width="25.33203125" bestFit="1" customWidth="1"/>
    <col min="6" max="8" width="5.5546875" customWidth="1"/>
    <col min="9" max="9" width="5.6640625" customWidth="1"/>
    <col min="10" max="10" width="7.44140625" customWidth="1"/>
    <col min="11" max="14" width="4.6640625" customWidth="1"/>
    <col min="20" max="24" width="4.6640625" customWidth="1"/>
  </cols>
  <sheetData>
    <row r="1" spans="2:24" x14ac:dyDescent="0.3">
      <c r="F1" s="22" t="s">
        <v>174</v>
      </c>
      <c r="G1" s="22"/>
      <c r="H1" s="22"/>
      <c r="I1" s="22"/>
      <c r="K1" s="22" t="s">
        <v>174</v>
      </c>
      <c r="L1" s="22"/>
      <c r="M1" s="22"/>
      <c r="N1" s="22"/>
      <c r="P1" s="22" t="s">
        <v>177</v>
      </c>
      <c r="Q1" s="22"/>
      <c r="R1" s="22"/>
      <c r="S1" s="22"/>
    </row>
    <row r="2" spans="2:24" x14ac:dyDescent="0.3">
      <c r="F2" t="s">
        <v>142</v>
      </c>
      <c r="G2" t="s">
        <v>140</v>
      </c>
      <c r="H2" t="s">
        <v>139</v>
      </c>
      <c r="I2" t="s">
        <v>141</v>
      </c>
      <c r="K2" t="s">
        <v>142</v>
      </c>
      <c r="L2" t="s">
        <v>140</v>
      </c>
      <c r="M2" t="s">
        <v>139</v>
      </c>
      <c r="N2" t="s">
        <v>141</v>
      </c>
      <c r="P2" t="s">
        <v>142</v>
      </c>
      <c r="Q2" t="s">
        <v>140</v>
      </c>
      <c r="R2" t="s">
        <v>139</v>
      </c>
      <c r="S2" t="s">
        <v>141</v>
      </c>
    </row>
    <row r="3" spans="2:24" x14ac:dyDescent="0.3">
      <c r="B3" t="s">
        <v>145</v>
      </c>
      <c r="F3" t="s">
        <v>168</v>
      </c>
      <c r="G3" t="s">
        <v>169</v>
      </c>
      <c r="H3" t="s">
        <v>170</v>
      </c>
      <c r="I3" t="s">
        <v>171</v>
      </c>
      <c r="K3" t="s">
        <v>168</v>
      </c>
      <c r="L3" t="s">
        <v>169</v>
      </c>
      <c r="M3" t="s">
        <v>170</v>
      </c>
      <c r="N3" t="s">
        <v>171</v>
      </c>
      <c r="P3" t="s">
        <v>168</v>
      </c>
      <c r="Q3" t="s">
        <v>169</v>
      </c>
      <c r="R3" t="s">
        <v>170</v>
      </c>
      <c r="S3" t="s">
        <v>171</v>
      </c>
    </row>
    <row r="4" spans="2:24" x14ac:dyDescent="0.3">
      <c r="B4">
        <v>1</v>
      </c>
      <c r="C4" s="10" t="s">
        <v>25</v>
      </c>
      <c r="D4" s="10" t="s">
        <v>98</v>
      </c>
      <c r="E4" s="10" t="s">
        <v>91</v>
      </c>
      <c r="F4">
        <f>K4*(1/(30/45))</f>
        <v>1.875</v>
      </c>
      <c r="G4">
        <f t="shared" ref="G4:G10" si="0">L4*(1/(30/45))</f>
        <v>2</v>
      </c>
      <c r="H4">
        <f t="shared" ref="H4:H10" si="1">M4*(1/(30/45))</f>
        <v>3.3250000000000002</v>
      </c>
      <c r="I4">
        <f>N10*(1/(30/45))</f>
        <v>1.5</v>
      </c>
      <c r="K4">
        <v>1.25</v>
      </c>
      <c r="L4">
        <f>1+20/60</f>
        <v>1.3333333333333333</v>
      </c>
      <c r="M4">
        <f>2+13/60</f>
        <v>2.2166666666666668</v>
      </c>
      <c r="N4">
        <f>1+50/60</f>
        <v>1.8333333333333335</v>
      </c>
      <c r="P4">
        <v>63</v>
      </c>
      <c r="Q4">
        <v>62</v>
      </c>
      <c r="R4">
        <v>102</v>
      </c>
      <c r="S4">
        <v>104</v>
      </c>
      <c r="U4">
        <f>P4/F4</f>
        <v>33.6</v>
      </c>
      <c r="V4">
        <f>Q4/G4</f>
        <v>31</v>
      </c>
      <c r="W4">
        <f>R4/H4</f>
        <v>30.676691729323306</v>
      </c>
      <c r="X4">
        <f>S10/I4</f>
        <v>40</v>
      </c>
    </row>
    <row r="5" spans="2:24" x14ac:dyDescent="0.3">
      <c r="B5">
        <v>2</v>
      </c>
      <c r="D5" t="s">
        <v>21</v>
      </c>
      <c r="E5" t="s">
        <v>92</v>
      </c>
      <c r="F5">
        <f t="shared" ref="F5:F10" si="2">K5*(1/(30/45))</f>
        <v>2.0750000000000002</v>
      </c>
      <c r="G5">
        <f t="shared" si="0"/>
        <v>2.1749999999999998</v>
      </c>
      <c r="H5">
        <f t="shared" si="1"/>
        <v>2.6749999999999998</v>
      </c>
      <c r="I5">
        <f t="shared" ref="I5:I10" si="3">N5*(1/(30/45))</f>
        <v>2.5249999999999999</v>
      </c>
      <c r="K5">
        <f>1+23/60</f>
        <v>1.3833333333333333</v>
      </c>
      <c r="L5">
        <f>1+27/60</f>
        <v>1.45</v>
      </c>
      <c r="M5">
        <f>1+47/60</f>
        <v>1.7833333333333332</v>
      </c>
      <c r="N5">
        <f>1+41/60</f>
        <v>1.6833333333333333</v>
      </c>
      <c r="P5">
        <v>64</v>
      </c>
      <c r="Q5">
        <v>64</v>
      </c>
      <c r="R5">
        <v>82</v>
      </c>
      <c r="S5">
        <v>81</v>
      </c>
      <c r="U5">
        <f t="shared" ref="U5:U10" si="4">P5/F5</f>
        <v>30.8433734939759</v>
      </c>
      <c r="V5">
        <f t="shared" ref="V5:V10" si="5">Q5/G5</f>
        <v>29.425287356321842</v>
      </c>
      <c r="W5">
        <f t="shared" ref="W5:W10" si="6">R5/H5</f>
        <v>30.654205607476637</v>
      </c>
      <c r="X5">
        <f t="shared" ref="X5:X10" si="7">S5/I5</f>
        <v>32.079207920792079</v>
      </c>
    </row>
    <row r="6" spans="2:24" x14ac:dyDescent="0.3">
      <c r="B6">
        <v>3</v>
      </c>
      <c r="C6" s="14" t="s">
        <v>47</v>
      </c>
      <c r="D6" s="10" t="s">
        <v>99</v>
      </c>
      <c r="E6" s="10" t="s">
        <v>93</v>
      </c>
      <c r="F6">
        <f t="shared" si="2"/>
        <v>70.5</v>
      </c>
      <c r="G6">
        <f t="shared" si="0"/>
        <v>1.5</v>
      </c>
      <c r="H6">
        <f t="shared" si="1"/>
        <v>1.6500000000000001</v>
      </c>
      <c r="I6">
        <f t="shared" si="3"/>
        <v>1.5</v>
      </c>
      <c r="K6">
        <v>47</v>
      </c>
      <c r="L6">
        <v>1</v>
      </c>
      <c r="M6">
        <v>1.1000000000000001</v>
      </c>
      <c r="N6">
        <v>1</v>
      </c>
      <c r="P6">
        <v>59</v>
      </c>
      <c r="Q6">
        <v>47</v>
      </c>
      <c r="R6">
        <v>54</v>
      </c>
      <c r="S6">
        <v>45</v>
      </c>
      <c r="U6">
        <f t="shared" si="4"/>
        <v>0.83687943262411346</v>
      </c>
      <c r="V6">
        <f t="shared" si="5"/>
        <v>31.333333333333332</v>
      </c>
      <c r="W6">
        <f t="shared" si="6"/>
        <v>32.727272727272727</v>
      </c>
      <c r="X6">
        <f t="shared" si="7"/>
        <v>30</v>
      </c>
    </row>
    <row r="7" spans="2:24" x14ac:dyDescent="0.3">
      <c r="B7">
        <v>4</v>
      </c>
      <c r="D7" t="s">
        <v>100</v>
      </c>
      <c r="E7" t="s">
        <v>94</v>
      </c>
      <c r="F7">
        <f t="shared" si="2"/>
        <v>52.5</v>
      </c>
      <c r="G7">
        <f t="shared" si="0"/>
        <v>60</v>
      </c>
      <c r="H7">
        <f t="shared" si="1"/>
        <v>1.675</v>
      </c>
      <c r="I7">
        <f t="shared" si="3"/>
        <v>1.85</v>
      </c>
      <c r="K7">
        <v>35</v>
      </c>
      <c r="L7">
        <v>40</v>
      </c>
      <c r="M7">
        <f>1+7/60</f>
        <v>1.1166666666666667</v>
      </c>
      <c r="N7">
        <f>1+14/60</f>
        <v>1.2333333333333334</v>
      </c>
      <c r="P7">
        <v>29</v>
      </c>
      <c r="Q7">
        <v>29</v>
      </c>
      <c r="R7">
        <v>63</v>
      </c>
      <c r="S7">
        <v>70</v>
      </c>
      <c r="U7">
        <f t="shared" si="4"/>
        <v>0.55238095238095242</v>
      </c>
      <c r="V7">
        <f t="shared" si="5"/>
        <v>0.48333333333333334</v>
      </c>
      <c r="W7">
        <f t="shared" si="6"/>
        <v>37.611940298507463</v>
      </c>
      <c r="X7">
        <f t="shared" si="7"/>
        <v>37.837837837837839</v>
      </c>
    </row>
    <row r="8" spans="2:24" x14ac:dyDescent="0.3">
      <c r="B8">
        <v>5</v>
      </c>
      <c r="C8" s="14" t="s">
        <v>46</v>
      </c>
      <c r="D8" s="10" t="s">
        <v>101</v>
      </c>
      <c r="E8" s="10" t="s">
        <v>96</v>
      </c>
      <c r="F8">
        <f t="shared" si="2"/>
        <v>2</v>
      </c>
      <c r="G8">
        <f t="shared" si="0"/>
        <v>2</v>
      </c>
      <c r="H8">
        <f t="shared" si="1"/>
        <v>3</v>
      </c>
      <c r="I8">
        <f t="shared" si="3"/>
        <v>3</v>
      </c>
      <c r="K8">
        <f>1+20/60</f>
        <v>1.3333333333333333</v>
      </c>
      <c r="L8">
        <f>1+20/60</f>
        <v>1.3333333333333333</v>
      </c>
      <c r="M8">
        <v>2</v>
      </c>
      <c r="N8">
        <v>2</v>
      </c>
      <c r="P8">
        <v>67</v>
      </c>
      <c r="Q8">
        <v>66</v>
      </c>
      <c r="R8">
        <v>102</v>
      </c>
      <c r="S8">
        <v>109</v>
      </c>
      <c r="U8">
        <f t="shared" si="4"/>
        <v>33.5</v>
      </c>
      <c r="V8">
        <f t="shared" si="5"/>
        <v>33</v>
      </c>
      <c r="W8">
        <f t="shared" si="6"/>
        <v>34</v>
      </c>
      <c r="X8">
        <f t="shared" si="7"/>
        <v>36.333333333333336</v>
      </c>
    </row>
    <row r="9" spans="2:24" x14ac:dyDescent="0.3">
      <c r="B9">
        <v>6</v>
      </c>
      <c r="D9" t="s">
        <v>72</v>
      </c>
      <c r="E9" t="s">
        <v>97</v>
      </c>
      <c r="F9">
        <f t="shared" si="2"/>
        <v>2.25</v>
      </c>
      <c r="G9">
        <f t="shared" si="0"/>
        <v>2.25</v>
      </c>
      <c r="H9">
        <f t="shared" si="1"/>
        <v>3</v>
      </c>
      <c r="I9">
        <f t="shared" si="3"/>
        <v>3.1500000000000004</v>
      </c>
      <c r="K9">
        <v>1.5</v>
      </c>
      <c r="L9">
        <v>1.5</v>
      </c>
      <c r="M9">
        <v>2</v>
      </c>
      <c r="N9">
        <v>2.1</v>
      </c>
      <c r="P9">
        <v>74</v>
      </c>
      <c r="Q9">
        <v>72</v>
      </c>
      <c r="R9">
        <v>108</v>
      </c>
      <c r="S9">
        <v>115</v>
      </c>
      <c r="U9">
        <f t="shared" si="4"/>
        <v>32.888888888888886</v>
      </c>
      <c r="V9">
        <f t="shared" si="5"/>
        <v>32</v>
      </c>
      <c r="W9">
        <f t="shared" si="6"/>
        <v>36</v>
      </c>
      <c r="X9">
        <f t="shared" si="7"/>
        <v>36.507936507936506</v>
      </c>
    </row>
    <row r="10" spans="2:24" x14ac:dyDescent="0.3">
      <c r="B10">
        <v>7</v>
      </c>
      <c r="C10" s="6" t="s">
        <v>57</v>
      </c>
      <c r="D10" s="3" t="s">
        <v>102</v>
      </c>
      <c r="E10" s="3" t="s">
        <v>95</v>
      </c>
      <c r="F10">
        <f t="shared" si="2"/>
        <v>31.5</v>
      </c>
      <c r="G10">
        <f t="shared" si="0"/>
        <v>0.60000000000000009</v>
      </c>
      <c r="H10">
        <f t="shared" si="1"/>
        <v>1.325</v>
      </c>
      <c r="I10">
        <f t="shared" si="3"/>
        <v>1.5</v>
      </c>
      <c r="K10">
        <v>21</v>
      </c>
      <c r="L10">
        <f>24/60</f>
        <v>0.4</v>
      </c>
      <c r="M10">
        <f>53/60</f>
        <v>0.8833333333333333</v>
      </c>
      <c r="N10">
        <v>1</v>
      </c>
      <c r="P10">
        <v>18</v>
      </c>
      <c r="Q10">
        <v>14</v>
      </c>
      <c r="R10">
        <v>3</v>
      </c>
      <c r="S10">
        <v>60</v>
      </c>
      <c r="U10">
        <f t="shared" si="4"/>
        <v>0.5714285714285714</v>
      </c>
      <c r="V10">
        <f t="shared" si="5"/>
        <v>23.333333333333329</v>
      </c>
      <c r="W10">
        <f t="shared" si="6"/>
        <v>2.2641509433962264</v>
      </c>
      <c r="X10">
        <f t="shared" si="7"/>
        <v>40</v>
      </c>
    </row>
  </sheetData>
  <mergeCells count="3">
    <mergeCell ref="K1:N1"/>
    <mergeCell ref="P1:S1"/>
    <mergeCell ref="F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"/>
  <sheetViews>
    <sheetView workbookViewId="0">
      <selection activeCell="E2" sqref="E2"/>
    </sheetView>
  </sheetViews>
  <sheetFormatPr defaultRowHeight="14.4" x14ac:dyDescent="0.3"/>
  <cols>
    <col min="1" max="1" width="3.33203125" customWidth="1"/>
    <col min="2" max="2" width="2" bestFit="1" customWidth="1"/>
    <col min="3" max="3" width="26.44140625" bestFit="1" customWidth="1"/>
    <col min="4" max="4" width="13.33203125" bestFit="1" customWidth="1"/>
    <col min="5" max="5" width="25.33203125" bestFit="1" customWidth="1"/>
    <col min="6" max="9" width="4.6640625" customWidth="1"/>
    <col min="10" max="10" width="4" bestFit="1" customWidth="1"/>
    <col min="11" max="19" width="4.6640625" customWidth="1"/>
    <col min="20" max="20" width="3.5546875" customWidth="1"/>
  </cols>
  <sheetData>
    <row r="1" spans="2:19" x14ac:dyDescent="0.3">
      <c r="F1" s="22" t="s">
        <v>174</v>
      </c>
      <c r="G1" s="22"/>
      <c r="H1" s="22"/>
      <c r="I1" s="22"/>
      <c r="K1" s="22" t="s">
        <v>174</v>
      </c>
      <c r="L1" s="22"/>
      <c r="M1" s="22"/>
      <c r="N1" s="22"/>
      <c r="P1" s="22" t="s">
        <v>177</v>
      </c>
      <c r="Q1" s="22"/>
      <c r="R1" s="22"/>
      <c r="S1" s="22"/>
    </row>
    <row r="2" spans="2:19" x14ac:dyDescent="0.3">
      <c r="F2" t="s">
        <v>142</v>
      </c>
      <c r="G2" t="s">
        <v>140</v>
      </c>
      <c r="H2" t="s">
        <v>139</v>
      </c>
      <c r="I2" t="s">
        <v>141</v>
      </c>
      <c r="K2" t="s">
        <v>142</v>
      </c>
      <c r="L2" t="s">
        <v>140</v>
      </c>
      <c r="M2" t="s">
        <v>139</v>
      </c>
      <c r="N2" t="s">
        <v>141</v>
      </c>
      <c r="P2" t="s">
        <v>142</v>
      </c>
      <c r="Q2" t="s">
        <v>140</v>
      </c>
      <c r="R2" t="s">
        <v>139</v>
      </c>
      <c r="S2" t="s">
        <v>141</v>
      </c>
    </row>
    <row r="3" spans="2:19" x14ac:dyDescent="0.3">
      <c r="B3" t="s">
        <v>146</v>
      </c>
      <c r="D3" t="s">
        <v>130</v>
      </c>
      <c r="F3" t="s">
        <v>168</v>
      </c>
      <c r="G3" t="s">
        <v>169</v>
      </c>
      <c r="H3" t="s">
        <v>170</v>
      </c>
      <c r="I3" t="s">
        <v>171</v>
      </c>
      <c r="K3" t="s">
        <v>168</v>
      </c>
      <c r="L3" t="s">
        <v>169</v>
      </c>
      <c r="M3" t="s">
        <v>170</v>
      </c>
      <c r="N3" t="s">
        <v>171</v>
      </c>
      <c r="P3" t="s">
        <v>168</v>
      </c>
      <c r="Q3" t="s">
        <v>169</v>
      </c>
      <c r="R3" t="s">
        <v>170</v>
      </c>
      <c r="S3" t="s">
        <v>171</v>
      </c>
    </row>
    <row r="4" spans="2:19" x14ac:dyDescent="0.3">
      <c r="B4">
        <v>1</v>
      </c>
      <c r="C4" s="10" t="s">
        <v>25</v>
      </c>
      <c r="D4" s="10" t="s">
        <v>119</v>
      </c>
      <c r="E4" s="10" t="s">
        <v>120</v>
      </c>
      <c r="F4">
        <f>K4*(1/(40/50))</f>
        <v>1.25</v>
      </c>
      <c r="G4">
        <f t="shared" ref="G4:I7" si="0">L4*(1/(40/50))</f>
        <v>1.3541666666666665</v>
      </c>
      <c r="H4">
        <f t="shared" si="0"/>
        <v>1.875</v>
      </c>
      <c r="I4">
        <f t="shared" si="0"/>
        <v>1.6666666666666665</v>
      </c>
      <c r="K4">
        <v>1</v>
      </c>
      <c r="L4">
        <f>1+5/60</f>
        <v>1.0833333333333333</v>
      </c>
      <c r="M4">
        <v>1.5</v>
      </c>
      <c r="N4">
        <f>1+20/60</f>
        <v>1.3333333333333333</v>
      </c>
      <c r="P4">
        <v>52</v>
      </c>
      <c r="Q4">
        <v>52.9</v>
      </c>
      <c r="R4">
        <v>72.2</v>
      </c>
      <c r="S4">
        <v>63.6</v>
      </c>
    </row>
    <row r="5" spans="2:19" x14ac:dyDescent="0.3">
      <c r="B5">
        <v>2</v>
      </c>
      <c r="C5" s="1" t="s">
        <v>47</v>
      </c>
      <c r="D5" t="s">
        <v>21</v>
      </c>
      <c r="E5" t="s">
        <v>121</v>
      </c>
      <c r="F5">
        <f t="shared" ref="F5:F7" si="1">K5*(1/(40/50))</f>
        <v>1</v>
      </c>
      <c r="G5">
        <f t="shared" si="0"/>
        <v>1.1041666666666665</v>
      </c>
      <c r="H5">
        <f t="shared" si="0"/>
        <v>1.4583333333333335</v>
      </c>
      <c r="I5">
        <f t="shared" si="0"/>
        <v>1.2708333333333333</v>
      </c>
      <c r="K5">
        <f>48/60</f>
        <v>0.8</v>
      </c>
      <c r="L5">
        <f>53/60</f>
        <v>0.8833333333333333</v>
      </c>
      <c r="M5">
        <f>1+10/60</f>
        <v>1.1666666666666667</v>
      </c>
      <c r="N5">
        <f>1+1/60</f>
        <v>1.0166666666666666</v>
      </c>
      <c r="P5">
        <v>39</v>
      </c>
      <c r="Q5">
        <v>40</v>
      </c>
      <c r="R5">
        <v>54.7</v>
      </c>
      <c r="S5">
        <v>46.1</v>
      </c>
    </row>
    <row r="6" spans="2:19" x14ac:dyDescent="0.3">
      <c r="B6">
        <v>3</v>
      </c>
      <c r="C6" s="1" t="s">
        <v>46</v>
      </c>
      <c r="D6" t="s">
        <v>102</v>
      </c>
      <c r="E6" t="s">
        <v>118</v>
      </c>
      <c r="F6">
        <f t="shared" si="1"/>
        <v>1.2916666666666667</v>
      </c>
      <c r="G6">
        <f t="shared" si="0"/>
        <v>1.3541666666666665</v>
      </c>
      <c r="H6">
        <f t="shared" si="0"/>
        <v>2.1458333333333335</v>
      </c>
      <c r="I6">
        <f t="shared" si="0"/>
        <v>2.3333333333333335</v>
      </c>
      <c r="K6">
        <f>1+2/60</f>
        <v>1.0333333333333334</v>
      </c>
      <c r="L6">
        <f>1+5/60</f>
        <v>1.0833333333333333</v>
      </c>
      <c r="M6">
        <f>1+43/60</f>
        <v>1.7166666666666668</v>
      </c>
      <c r="N6">
        <f>1+52/60</f>
        <v>1.8666666666666667</v>
      </c>
      <c r="P6">
        <v>56.9</v>
      </c>
      <c r="Q6">
        <v>51.7</v>
      </c>
      <c r="R6">
        <v>89.3</v>
      </c>
      <c r="S6">
        <v>97.3</v>
      </c>
    </row>
    <row r="7" spans="2:19" x14ac:dyDescent="0.3">
      <c r="B7">
        <v>4</v>
      </c>
      <c r="C7" s="2" t="s">
        <v>57</v>
      </c>
      <c r="D7" s="3" t="s">
        <v>122</v>
      </c>
      <c r="E7" s="3" t="s">
        <v>123</v>
      </c>
      <c r="F7">
        <f t="shared" si="1"/>
        <v>0.33333333333333331</v>
      </c>
      <c r="G7">
        <f t="shared" si="0"/>
        <v>0.41666666666666663</v>
      </c>
      <c r="H7">
        <f t="shared" si="0"/>
        <v>1.1666666666666667</v>
      </c>
      <c r="I7">
        <f t="shared" si="0"/>
        <v>1.3125</v>
      </c>
      <c r="K7">
        <f>16/60</f>
        <v>0.26666666666666666</v>
      </c>
      <c r="L7">
        <f>20/60</f>
        <v>0.33333333333333331</v>
      </c>
      <c r="M7">
        <f>56/60</f>
        <v>0.93333333333333335</v>
      </c>
      <c r="N7">
        <f>1+3/60</f>
        <v>1.05</v>
      </c>
      <c r="P7">
        <v>14.4</v>
      </c>
      <c r="Q7">
        <v>15.4</v>
      </c>
      <c r="R7">
        <v>46.9</v>
      </c>
      <c r="S7">
        <v>54.8</v>
      </c>
    </row>
  </sheetData>
  <mergeCells count="3">
    <mergeCell ref="F1:I1"/>
    <mergeCell ref="K1:N1"/>
    <mergeCell ref="P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G26" sqref="G26"/>
    </sheetView>
  </sheetViews>
  <sheetFormatPr defaultRowHeight="14.4" x14ac:dyDescent="0.3"/>
  <cols>
    <col min="2" max="2" width="13.6640625" bestFit="1" customWidth="1"/>
    <col min="3" max="3" width="25.33203125" bestFit="1" customWidth="1"/>
    <col min="4" max="4" width="38.44140625" bestFit="1" customWidth="1"/>
  </cols>
  <sheetData>
    <row r="1" spans="1:4" x14ac:dyDescent="0.3">
      <c r="A1" t="s">
        <v>148</v>
      </c>
    </row>
    <row r="2" spans="1:4" x14ac:dyDescent="0.3">
      <c r="A2">
        <v>1</v>
      </c>
      <c r="B2" t="s">
        <v>132</v>
      </c>
      <c r="C2" t="s">
        <v>142</v>
      </c>
      <c r="D2" s="1" t="s">
        <v>131</v>
      </c>
    </row>
    <row r="3" spans="1:4" x14ac:dyDescent="0.3">
      <c r="A3">
        <v>2</v>
      </c>
      <c r="B3" t="s">
        <v>134</v>
      </c>
      <c r="C3" t="s">
        <v>140</v>
      </c>
      <c r="D3" s="1" t="s">
        <v>133</v>
      </c>
    </row>
    <row r="4" spans="1:4" x14ac:dyDescent="0.3">
      <c r="A4">
        <v>3</v>
      </c>
      <c r="B4" t="s">
        <v>136</v>
      </c>
      <c r="C4" t="s">
        <v>139</v>
      </c>
      <c r="D4" s="1" t="s">
        <v>135</v>
      </c>
    </row>
    <row r="5" spans="1:4" x14ac:dyDescent="0.3">
      <c r="A5">
        <v>4</v>
      </c>
      <c r="B5" t="s">
        <v>138</v>
      </c>
      <c r="C5" t="s">
        <v>141</v>
      </c>
      <c r="D5" s="1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E13"/>
  <sheetViews>
    <sheetView workbookViewId="0">
      <selection activeCell="O15" sqref="O15"/>
    </sheetView>
  </sheetViews>
  <sheetFormatPr defaultRowHeight="14.4" x14ac:dyDescent="0.3"/>
  <cols>
    <col min="1" max="1" width="2.5546875" customWidth="1"/>
    <col min="2" max="2" width="1.33203125" customWidth="1"/>
    <col min="3" max="3" width="2" bestFit="1" customWidth="1"/>
    <col min="4" max="4" width="27.44140625" bestFit="1" customWidth="1"/>
    <col min="5" max="5" width="9.6640625" bestFit="1" customWidth="1"/>
    <col min="6" max="6" width="11.5546875" customWidth="1"/>
    <col min="7" max="21" width="6.6640625" customWidth="1"/>
    <col min="22" max="22" width="4.6640625" customWidth="1"/>
  </cols>
  <sheetData>
    <row r="1" spans="3:31" x14ac:dyDescent="0.3">
      <c r="G1" s="19" t="s">
        <v>91</v>
      </c>
      <c r="H1" s="15" t="s">
        <v>92</v>
      </c>
      <c r="I1" s="15" t="s">
        <v>93</v>
      </c>
      <c r="J1" s="15" t="s">
        <v>94</v>
      </c>
      <c r="K1" s="15" t="s">
        <v>96</v>
      </c>
      <c r="L1" s="15" t="s">
        <v>97</v>
      </c>
      <c r="M1" s="15" t="s">
        <v>95</v>
      </c>
      <c r="O1" s="19" t="s">
        <v>91</v>
      </c>
      <c r="P1" s="15" t="s">
        <v>92</v>
      </c>
      <c r="Q1" s="15" t="s">
        <v>93</v>
      </c>
      <c r="R1" s="15" t="s">
        <v>94</v>
      </c>
      <c r="S1" s="15" t="s">
        <v>96</v>
      </c>
      <c r="T1" s="15" t="s">
        <v>97</v>
      </c>
      <c r="U1" s="15" t="s">
        <v>95</v>
      </c>
    </row>
    <row r="2" spans="3:31" x14ac:dyDescent="0.3">
      <c r="C2" t="s">
        <v>147</v>
      </c>
      <c r="D2" s="4" t="s">
        <v>124</v>
      </c>
      <c r="E2" s="4" t="s">
        <v>125</v>
      </c>
      <c r="F2" t="s">
        <v>173</v>
      </c>
      <c r="G2" t="s">
        <v>149</v>
      </c>
      <c r="H2" t="s">
        <v>150</v>
      </c>
      <c r="I2" t="s">
        <v>151</v>
      </c>
      <c r="J2" t="s">
        <v>152</v>
      </c>
      <c r="K2" t="s">
        <v>172</v>
      </c>
      <c r="L2" t="s">
        <v>153</v>
      </c>
      <c r="M2" t="s">
        <v>154</v>
      </c>
      <c r="O2" t="s">
        <v>149</v>
      </c>
      <c r="P2" t="s">
        <v>150</v>
      </c>
      <c r="Q2" t="s">
        <v>151</v>
      </c>
      <c r="R2" t="s">
        <v>152</v>
      </c>
      <c r="S2" t="s">
        <v>172</v>
      </c>
      <c r="T2" t="s">
        <v>153</v>
      </c>
      <c r="U2" t="s">
        <v>154</v>
      </c>
    </row>
    <row r="3" spans="3:31" ht="15.75" customHeight="1" x14ac:dyDescent="0.3">
      <c r="C3">
        <v>1</v>
      </c>
      <c r="D3" t="s">
        <v>126</v>
      </c>
      <c r="E3">
        <v>9477</v>
      </c>
      <c r="F3">
        <f>E3*0.043</f>
        <v>407.51099999999997</v>
      </c>
      <c r="G3">
        <f>1+5/60</f>
        <v>1.0833333333333333</v>
      </c>
      <c r="H3">
        <f>22/60</f>
        <v>0.36666666666666664</v>
      </c>
      <c r="I3">
        <v>1</v>
      </c>
      <c r="J3">
        <f>1+26/60</f>
        <v>1.4333333333333333</v>
      </c>
      <c r="K3">
        <f>1+52/60</f>
        <v>1.8666666666666667</v>
      </c>
      <c r="L3">
        <f>1+19/60</f>
        <v>1.3166666666666667</v>
      </c>
      <c r="M3">
        <f>1+37/60</f>
        <v>1.6166666666666667</v>
      </c>
      <c r="O3">
        <v>40.200000000000003</v>
      </c>
      <c r="P3">
        <v>13.3</v>
      </c>
      <c r="Q3">
        <v>44.7</v>
      </c>
      <c r="R3">
        <v>62.5</v>
      </c>
      <c r="S3">
        <v>73.2</v>
      </c>
      <c r="T3">
        <v>50.2</v>
      </c>
      <c r="U3">
        <v>66.099999999999994</v>
      </c>
      <c r="X3">
        <f>O3/G3</f>
        <v>37.107692307692311</v>
      </c>
      <c r="Y3">
        <f t="shared" ref="Y3:AD3" si="0">P3/H3</f>
        <v>36.27272727272728</v>
      </c>
      <c r="Z3">
        <f t="shared" si="0"/>
        <v>44.7</v>
      </c>
      <c r="AA3">
        <f t="shared" si="0"/>
        <v>43.604651162790695</v>
      </c>
      <c r="AB3">
        <f t="shared" si="0"/>
        <v>39.214285714285715</v>
      </c>
      <c r="AC3">
        <f t="shared" si="0"/>
        <v>38.126582278481017</v>
      </c>
      <c r="AD3">
        <f t="shared" si="0"/>
        <v>40.886597938144327</v>
      </c>
    </row>
    <row r="4" spans="3:31" x14ac:dyDescent="0.3">
      <c r="C4">
        <v>2</v>
      </c>
      <c r="D4" t="s">
        <v>127</v>
      </c>
      <c r="E4">
        <v>12883</v>
      </c>
      <c r="F4">
        <f t="shared" ref="F4:F6" si="1">E4*0.043</f>
        <v>553.96899999999994</v>
      </c>
      <c r="G4">
        <f>1+46/60</f>
        <v>1.7666666666666666</v>
      </c>
      <c r="H4">
        <f>1+35/60</f>
        <v>1.5833333333333335</v>
      </c>
      <c r="I4">
        <f>51/60</f>
        <v>0.85</v>
      </c>
      <c r="J4">
        <f>50/60</f>
        <v>0.83333333333333337</v>
      </c>
      <c r="K4">
        <f>1+48/60</f>
        <v>1.8</v>
      </c>
      <c r="L4">
        <v>2</v>
      </c>
      <c r="M4">
        <f>51/60</f>
        <v>0.85</v>
      </c>
      <c r="O4">
        <v>86.6</v>
      </c>
      <c r="P4">
        <v>68.8</v>
      </c>
      <c r="Q4">
        <v>36.700000000000003</v>
      </c>
      <c r="R4">
        <v>30.6</v>
      </c>
      <c r="S4">
        <v>91.2</v>
      </c>
      <c r="T4">
        <v>97.7</v>
      </c>
      <c r="U4">
        <v>41.7</v>
      </c>
      <c r="X4">
        <f t="shared" ref="X4:X6" si="2">O4/G4</f>
        <v>49.018867924528301</v>
      </c>
      <c r="Y4">
        <f t="shared" ref="Y4:Y6" si="3">P4/H4</f>
        <v>43.452631578947361</v>
      </c>
      <c r="Z4">
        <f t="shared" ref="Z4:Z6" si="4">Q4/I4</f>
        <v>43.176470588235297</v>
      </c>
      <c r="AA4">
        <f t="shared" ref="AA4:AA6" si="5">R4/J4</f>
        <v>36.72</v>
      </c>
      <c r="AB4">
        <f t="shared" ref="AB4:AB6" si="6">S4/K4</f>
        <v>50.666666666666664</v>
      </c>
      <c r="AC4">
        <f t="shared" ref="AC4:AC6" si="7">T4/L4</f>
        <v>48.85</v>
      </c>
      <c r="AD4">
        <f t="shared" ref="AD4:AD6" si="8">U4/M4</f>
        <v>49.058823529411768</v>
      </c>
    </row>
    <row r="5" spans="3:31" x14ac:dyDescent="0.3">
      <c r="C5">
        <v>3</v>
      </c>
      <c r="D5" t="s">
        <v>128</v>
      </c>
      <c r="E5">
        <v>4935</v>
      </c>
      <c r="F5">
        <f t="shared" si="1"/>
        <v>212.20499999999998</v>
      </c>
      <c r="G5">
        <v>2</v>
      </c>
      <c r="H5">
        <f>2+32/60</f>
        <v>2.5333333333333332</v>
      </c>
      <c r="I5">
        <f>2+19/60</f>
        <v>2.3166666666666664</v>
      </c>
      <c r="J5">
        <f>1+54/60</f>
        <v>1.9</v>
      </c>
      <c r="K5">
        <f>1+28/60</f>
        <v>1.4666666666666668</v>
      </c>
      <c r="L5">
        <f>1+37/60</f>
        <v>1.6166666666666667</v>
      </c>
      <c r="M5">
        <f>1+26/60</f>
        <v>1.4333333333333333</v>
      </c>
      <c r="O5">
        <v>61.6</v>
      </c>
      <c r="P5">
        <v>86.6</v>
      </c>
      <c r="Q5">
        <v>74.8</v>
      </c>
      <c r="R5">
        <v>56.9</v>
      </c>
      <c r="S5">
        <v>40.9</v>
      </c>
      <c r="T5">
        <v>47.4</v>
      </c>
      <c r="U5">
        <v>40.5</v>
      </c>
      <c r="X5">
        <f t="shared" si="2"/>
        <v>30.8</v>
      </c>
      <c r="Y5">
        <f t="shared" si="3"/>
        <v>34.184210526315788</v>
      </c>
      <c r="Z5">
        <f t="shared" si="4"/>
        <v>32.287769784172667</v>
      </c>
      <c r="AA5">
        <f t="shared" si="5"/>
        <v>29.947368421052634</v>
      </c>
      <c r="AB5">
        <f t="shared" si="6"/>
        <v>27.886363636363633</v>
      </c>
      <c r="AC5">
        <f t="shared" si="7"/>
        <v>29.319587628865978</v>
      </c>
      <c r="AD5">
        <f t="shared" si="8"/>
        <v>28.255813953488371</v>
      </c>
    </row>
    <row r="6" spans="3:31" x14ac:dyDescent="0.3">
      <c r="C6">
        <v>4</v>
      </c>
      <c r="D6" s="3" t="s">
        <v>129</v>
      </c>
      <c r="E6" s="3">
        <v>583776</v>
      </c>
      <c r="F6">
        <f t="shared" si="1"/>
        <v>25102.367999999999</v>
      </c>
      <c r="G6">
        <f>1+11/60</f>
        <v>1.1833333333333333</v>
      </c>
      <c r="H6">
        <f>1+17/60</f>
        <v>1.2833333333333332</v>
      </c>
      <c r="I6">
        <f>56/60</f>
        <v>0.93333333333333335</v>
      </c>
      <c r="J6">
        <v>0.5</v>
      </c>
      <c r="K6">
        <f>1+10/60</f>
        <v>1.1666666666666667</v>
      </c>
      <c r="L6">
        <f>1+19/60</f>
        <v>1.3166666666666667</v>
      </c>
      <c r="M6">
        <f>13/60</f>
        <v>0.21666666666666667</v>
      </c>
      <c r="O6">
        <v>58.8</v>
      </c>
      <c r="P6">
        <v>60.2</v>
      </c>
      <c r="Q6">
        <v>43.2</v>
      </c>
      <c r="R6">
        <v>25.3</v>
      </c>
      <c r="S6">
        <v>57.3</v>
      </c>
      <c r="T6">
        <v>63.8</v>
      </c>
      <c r="U6">
        <v>8.1</v>
      </c>
      <c r="X6">
        <f t="shared" si="2"/>
        <v>49.690140845070417</v>
      </c>
      <c r="Y6">
        <f t="shared" si="3"/>
        <v>46.909090909090914</v>
      </c>
      <c r="Z6">
        <f t="shared" si="4"/>
        <v>46.285714285714285</v>
      </c>
      <c r="AA6">
        <f t="shared" si="5"/>
        <v>50.6</v>
      </c>
      <c r="AB6">
        <f t="shared" si="6"/>
        <v>49.114285714285707</v>
      </c>
      <c r="AC6">
        <f t="shared" si="7"/>
        <v>48.455696202531641</v>
      </c>
      <c r="AD6">
        <f t="shared" si="8"/>
        <v>37.38461538461538</v>
      </c>
    </row>
    <row r="7" spans="3:31" x14ac:dyDescent="0.3">
      <c r="AE7">
        <f>AVERAGE(X3:AD6)</f>
        <v>40.784880509052797</v>
      </c>
    </row>
    <row r="8" spans="3:31" x14ac:dyDescent="0.3">
      <c r="G8" s="10" t="s">
        <v>120</v>
      </c>
      <c r="H8" t="s">
        <v>121</v>
      </c>
      <c r="I8" t="s">
        <v>118</v>
      </c>
      <c r="J8" s="3" t="s">
        <v>123</v>
      </c>
      <c r="L8" s="10" t="s">
        <v>120</v>
      </c>
      <c r="M8" t="s">
        <v>121</v>
      </c>
      <c r="N8" t="s">
        <v>118</v>
      </c>
      <c r="O8" s="3" t="s">
        <v>123</v>
      </c>
    </row>
    <row r="9" spans="3:31" x14ac:dyDescent="0.3">
      <c r="C9" t="s">
        <v>147</v>
      </c>
      <c r="D9" s="4" t="s">
        <v>124</v>
      </c>
      <c r="E9" s="4" t="s">
        <v>125</v>
      </c>
      <c r="F9" t="s">
        <v>173</v>
      </c>
      <c r="G9" t="s">
        <v>164</v>
      </c>
      <c r="H9" t="s">
        <v>165</v>
      </c>
      <c r="I9" t="s">
        <v>166</v>
      </c>
      <c r="J9" t="s">
        <v>167</v>
      </c>
      <c r="L9" t="s">
        <v>164</v>
      </c>
      <c r="M9" t="s">
        <v>165</v>
      </c>
      <c r="N9" t="s">
        <v>166</v>
      </c>
      <c r="O9" t="s">
        <v>167</v>
      </c>
    </row>
    <row r="10" spans="3:31" x14ac:dyDescent="0.3">
      <c r="C10">
        <v>1</v>
      </c>
      <c r="D10" t="s">
        <v>126</v>
      </c>
      <c r="E10">
        <v>9477</v>
      </c>
      <c r="F10">
        <f>E10*0.043</f>
        <v>407.51099999999997</v>
      </c>
      <c r="G10">
        <f>42/60</f>
        <v>0.7</v>
      </c>
      <c r="H10">
        <f>1+12/60</f>
        <v>1.2</v>
      </c>
      <c r="I10">
        <f>1+44/60</f>
        <v>1.7333333333333334</v>
      </c>
      <c r="J10">
        <f>1+26/60</f>
        <v>1.4333333333333333</v>
      </c>
      <c r="L10">
        <v>26.5</v>
      </c>
      <c r="M10">
        <v>53.9</v>
      </c>
      <c r="N10">
        <v>68.3</v>
      </c>
      <c r="O10">
        <v>64.099999999999994</v>
      </c>
      <c r="X10">
        <f>L10/G10</f>
        <v>37.857142857142861</v>
      </c>
      <c r="Y10">
        <f t="shared" ref="Y10:Y13" si="9">M10/H10</f>
        <v>44.916666666666664</v>
      </c>
      <c r="Z10">
        <f t="shared" ref="Z10:Z13" si="10">N10/I10</f>
        <v>39.403846153846153</v>
      </c>
      <c r="AA10">
        <f t="shared" ref="AA10:AA13" si="11">O10/J10</f>
        <v>44.720930232558132</v>
      </c>
    </row>
    <row r="11" spans="3:31" x14ac:dyDescent="0.3">
      <c r="C11">
        <v>2</v>
      </c>
      <c r="D11" t="s">
        <v>127</v>
      </c>
      <c r="E11">
        <v>12883</v>
      </c>
      <c r="F11">
        <f t="shared" ref="F11:F13" si="12">E11*0.043</f>
        <v>553.96899999999994</v>
      </c>
      <c r="G11">
        <f>1+15/60</f>
        <v>1.25</v>
      </c>
      <c r="H11">
        <f>40/60</f>
        <v>0.66666666666666663</v>
      </c>
      <c r="I11">
        <f>1+33/60</f>
        <v>1.55</v>
      </c>
      <c r="J11">
        <f>47/60</f>
        <v>0.78333333333333333</v>
      </c>
      <c r="L11">
        <v>55.7</v>
      </c>
      <c r="M11">
        <v>24.3</v>
      </c>
      <c r="N11">
        <v>79.7</v>
      </c>
      <c r="O11">
        <v>37.200000000000003</v>
      </c>
      <c r="X11">
        <f t="shared" ref="X11:X13" si="13">L11/G11</f>
        <v>44.56</v>
      </c>
      <c r="Y11">
        <f t="shared" si="9"/>
        <v>36.450000000000003</v>
      </c>
      <c r="Z11">
        <f t="shared" si="10"/>
        <v>51.41935483870968</v>
      </c>
      <c r="AA11">
        <f t="shared" si="11"/>
        <v>47.489361702127667</v>
      </c>
    </row>
    <row r="12" spans="3:31" x14ac:dyDescent="0.3">
      <c r="C12">
        <v>3</v>
      </c>
      <c r="D12" t="s">
        <v>128</v>
      </c>
      <c r="E12">
        <v>4935</v>
      </c>
      <c r="F12">
        <f t="shared" si="12"/>
        <v>212.20499999999998</v>
      </c>
      <c r="G12">
        <f>2+12/60</f>
        <v>2.2000000000000002</v>
      </c>
      <c r="H12">
        <f>2+7/60</f>
        <v>2.1166666666666667</v>
      </c>
      <c r="I12">
        <f>1+13/60</f>
        <v>1.2166666666666668</v>
      </c>
      <c r="J12">
        <f>1+39/60</f>
        <v>1.65</v>
      </c>
      <c r="L12">
        <v>73.3</v>
      </c>
      <c r="M12">
        <v>65.599999999999994</v>
      </c>
      <c r="N12">
        <v>29.4</v>
      </c>
      <c r="O12">
        <v>50.3</v>
      </c>
      <c r="X12">
        <f t="shared" si="13"/>
        <v>33.318181818181813</v>
      </c>
      <c r="Y12">
        <f t="shared" si="9"/>
        <v>30.992125984251967</v>
      </c>
      <c r="Z12">
        <f t="shared" si="10"/>
        <v>24.164383561643831</v>
      </c>
      <c r="AA12">
        <f t="shared" si="11"/>
        <v>30.484848484848484</v>
      </c>
    </row>
    <row r="13" spans="3:31" x14ac:dyDescent="0.3">
      <c r="C13">
        <v>4</v>
      </c>
      <c r="D13" s="3" t="s">
        <v>129</v>
      </c>
      <c r="E13" s="3">
        <v>583776</v>
      </c>
      <c r="F13">
        <f t="shared" si="12"/>
        <v>25102.367999999999</v>
      </c>
      <c r="G13">
        <f>58/60</f>
        <v>0.96666666666666667</v>
      </c>
      <c r="H13">
        <f>45/60</f>
        <v>0.75</v>
      </c>
      <c r="I13">
        <f>55/60</f>
        <v>0.91666666666666663</v>
      </c>
      <c r="J13">
        <f>13/60</f>
        <v>0.21666666666666667</v>
      </c>
      <c r="L13">
        <v>47</v>
      </c>
      <c r="M13">
        <v>34</v>
      </c>
      <c r="N13">
        <v>45.8</v>
      </c>
      <c r="O13">
        <v>9.4</v>
      </c>
      <c r="X13">
        <f t="shared" si="13"/>
        <v>48.620689655172413</v>
      </c>
      <c r="Y13">
        <f t="shared" si="9"/>
        <v>45.333333333333336</v>
      </c>
      <c r="Z13">
        <f t="shared" si="10"/>
        <v>49.963636363636361</v>
      </c>
      <c r="AA13">
        <f t="shared" si="11"/>
        <v>43.384615384615387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Harvesting sites Dik</vt:lpstr>
      <vt:lpstr>Harvesting sites Dij</vt:lpstr>
      <vt:lpstr>Collecting sites Dkl</vt:lpstr>
      <vt:lpstr>Mobile refinery sites Djw</vt:lpstr>
      <vt:lpstr>Fixed refinery sites Dlw</vt:lpstr>
      <vt:lpstr>Warehouse</vt:lpstr>
      <vt:lpstr>Cities Daj_Dal_Daw</vt:lpstr>
      <vt:lpstr>Daj</vt:lpstr>
      <vt:lpstr>Dal</vt:lpstr>
      <vt:lpstr>Dij</vt:lpstr>
      <vt:lpstr>Dik</vt:lpstr>
      <vt:lpstr>Djw</vt:lpstr>
      <vt:lpstr>Dkl</vt:lpstr>
      <vt:lpstr>Dlw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2024-09-22T03:24:10Z</dcterms:modified>
</cp:coreProperties>
</file>