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/>
  <bookViews>
    <workbookView xWindow="0" yWindow="0" windowWidth="23040" windowHeight="9060" activeTab="1"/>
  </bookViews>
  <sheets>
    <sheet name="Sheet1" sheetId="1" r:id="rId1"/>
    <sheet name="Sheet2" sheetId="2" r:id="rId2"/>
  </sheets>
  <definedNames>
    <definedName name="_xlnm.Print_Area" localSheetId="0">Sheet1!$A$1:$Q$16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7" i="2" l="1"/>
  <c r="S16" i="2"/>
  <c r="R25" i="1"/>
  <c r="H14" i="2"/>
  <c r="P16" i="2"/>
  <c r="W15" i="1"/>
  <c r="P15" i="2"/>
  <c r="X15" i="1"/>
  <c r="L14" i="2"/>
  <c r="L13" i="2"/>
  <c r="L12" i="2"/>
  <c r="M10" i="2"/>
  <c r="L10" i="2"/>
  <c r="H15" i="2"/>
  <c r="H13" i="2"/>
  <c r="H12" i="2"/>
  <c r="Y15" i="1" l="1"/>
  <c r="Z15" i="1" s="1"/>
  <c r="F15" i="1" s="1"/>
  <c r="F10" i="1" l="1"/>
  <c r="F11" i="1"/>
  <c r="F12" i="1"/>
  <c r="F13" i="1"/>
  <c r="F14" i="1"/>
  <c r="F16" i="1"/>
  <c r="F17" i="1"/>
  <c r="F18" i="1"/>
  <c r="F19" i="1"/>
  <c r="F20" i="1"/>
  <c r="F9" i="1"/>
  <c r="H27" i="1"/>
  <c r="H26" i="1"/>
  <c r="W20" i="1"/>
  <c r="S20" i="1"/>
  <c r="V20" i="1" s="1"/>
  <c r="Y20" i="1" s="1"/>
  <c r="O20" i="1"/>
  <c r="M20" i="1"/>
  <c r="K20" i="1"/>
  <c r="I20" i="1"/>
  <c r="P20" i="1" s="1"/>
  <c r="W19" i="1"/>
  <c r="S19" i="1"/>
  <c r="V19" i="1" s="1"/>
  <c r="Y19" i="1" s="1"/>
  <c r="O19" i="1"/>
  <c r="M19" i="1"/>
  <c r="P19" i="1" s="1"/>
  <c r="K19" i="1"/>
  <c r="I19" i="1"/>
  <c r="Y18" i="1"/>
  <c r="W18" i="1"/>
  <c r="V18" i="1"/>
  <c r="S18" i="1"/>
  <c r="O18" i="1"/>
  <c r="P18" i="1" s="1"/>
  <c r="M18" i="1"/>
  <c r="K18" i="1"/>
  <c r="I18" i="1"/>
  <c r="W17" i="1"/>
  <c r="V17" i="1"/>
  <c r="Y17" i="1" s="1"/>
  <c r="S17" i="1"/>
  <c r="O17" i="1"/>
  <c r="P17" i="1" s="1"/>
  <c r="M17" i="1"/>
  <c r="K17" i="1"/>
  <c r="I17" i="1"/>
  <c r="W16" i="1"/>
  <c r="S16" i="1"/>
  <c r="V16" i="1" s="1"/>
  <c r="Y16" i="1" s="1"/>
  <c r="O16" i="1"/>
  <c r="M16" i="1"/>
  <c r="K16" i="1"/>
  <c r="I16" i="1"/>
  <c r="P16" i="1" s="1"/>
  <c r="S15" i="1"/>
  <c r="O15" i="1"/>
  <c r="M15" i="1"/>
  <c r="P15" i="1" s="1"/>
  <c r="K15" i="1"/>
  <c r="I15" i="1"/>
  <c r="Y14" i="1"/>
  <c r="W14" i="1"/>
  <c r="V14" i="1"/>
  <c r="S14" i="1"/>
  <c r="O14" i="1"/>
  <c r="P14" i="1" s="1"/>
  <c r="M14" i="1"/>
  <c r="K14" i="1"/>
  <c r="I14" i="1"/>
  <c r="W13" i="1"/>
  <c r="V13" i="1"/>
  <c r="Y13" i="1" s="1"/>
  <c r="S13" i="1"/>
  <c r="T13" i="1" s="1"/>
  <c r="O13" i="1"/>
  <c r="P13" i="1" s="1"/>
  <c r="M13" i="1"/>
  <c r="K13" i="1"/>
  <c r="I13" i="1"/>
  <c r="W12" i="1"/>
  <c r="S12" i="1"/>
  <c r="V12" i="1" s="1"/>
  <c r="Y12" i="1" s="1"/>
  <c r="O12" i="1"/>
  <c r="M12" i="1"/>
  <c r="K12" i="1"/>
  <c r="I12" i="1"/>
  <c r="P12" i="1" s="1"/>
  <c r="W11" i="1"/>
  <c r="S11" i="1"/>
  <c r="V11" i="1" s="1"/>
  <c r="Y11" i="1" s="1"/>
  <c r="O11" i="1"/>
  <c r="P11" i="1" s="1"/>
  <c r="M11" i="1"/>
  <c r="K11" i="1"/>
  <c r="I11" i="1"/>
  <c r="Y10" i="1"/>
  <c r="W10" i="1"/>
  <c r="V10" i="1"/>
  <c r="S10" i="1"/>
  <c r="O10" i="1"/>
  <c r="P10" i="1" s="1"/>
  <c r="M10" i="1"/>
  <c r="K10" i="1"/>
  <c r="I10" i="1"/>
  <c r="W9" i="1"/>
  <c r="V9" i="1"/>
  <c r="Y9" i="1" s="1"/>
  <c r="S9" i="1"/>
  <c r="O9" i="1"/>
  <c r="P9" i="1" s="1"/>
  <c r="M9" i="1"/>
  <c r="K9" i="1"/>
  <c r="I9" i="1"/>
  <c r="P21" i="1" l="1"/>
  <c r="T9" i="1"/>
  <c r="T14" i="1"/>
  <c r="T17" i="1"/>
  <c r="T18" i="1"/>
  <c r="T10" i="1"/>
  <c r="T15" i="1"/>
  <c r="T11" i="1"/>
  <c r="T19" i="1"/>
  <c r="T12" i="1"/>
  <c r="V15" i="1"/>
  <c r="T16" i="1"/>
  <c r="T20" i="1"/>
  <c r="T21" i="1" l="1"/>
  <c r="G24" i="1" s="1"/>
  <c r="H24" i="1" l="1"/>
  <c r="G25" i="1"/>
  <c r="H25" i="1" s="1"/>
  <c r="I26" i="1"/>
  <c r="X11" i="1" l="1"/>
  <c r="Z11" i="1" s="1"/>
  <c r="AA11" i="1" s="1"/>
  <c r="X12" i="1"/>
  <c r="Z12" i="1" s="1"/>
  <c r="AA12" i="1" s="1"/>
  <c r="X19" i="1"/>
  <c r="Z19" i="1" s="1"/>
  <c r="AA19" i="1" s="1"/>
  <c r="X14" i="1"/>
  <c r="Z14" i="1" s="1"/>
  <c r="AA14" i="1" s="1"/>
  <c r="AA15" i="1"/>
  <c r="X13" i="1"/>
  <c r="Z13" i="1" s="1"/>
  <c r="AA13" i="1" s="1"/>
  <c r="X16" i="1"/>
  <c r="Z16" i="1" s="1"/>
  <c r="AA16" i="1" s="1"/>
  <c r="X10" i="1"/>
  <c r="Z10" i="1" s="1"/>
  <c r="AA10" i="1" s="1"/>
  <c r="X20" i="1"/>
  <c r="Z20" i="1" s="1"/>
  <c r="AA20" i="1" s="1"/>
  <c r="X18" i="1"/>
  <c r="Z18" i="1" s="1"/>
  <c r="AA18" i="1" s="1"/>
  <c r="X17" i="1"/>
  <c r="Z17" i="1" s="1"/>
  <c r="AA17" i="1" s="1"/>
  <c r="X9" i="1"/>
  <c r="Z9" i="1" s="1"/>
  <c r="AA9" i="1" s="1"/>
  <c r="H28" i="1"/>
  <c r="AA21" i="1" l="1"/>
</calcChain>
</file>

<file path=xl/comments1.xml><?xml version="1.0" encoding="utf-8"?>
<comments xmlns="http://schemas.openxmlformats.org/spreadsheetml/2006/main">
  <authors>
    <author>Author</author>
  </authors>
  <commentList>
    <comment ref="P15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Application Cost
</t>
        </r>
      </text>
    </comment>
    <comment ref="P16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Sealant Cost</t>
        </r>
      </text>
    </comment>
  </commentList>
</comments>
</file>

<file path=xl/sharedStrings.xml><?xml version="1.0" encoding="utf-8"?>
<sst xmlns="http://schemas.openxmlformats.org/spreadsheetml/2006/main" count="147" uniqueCount="112">
  <si>
    <t>Sr. No.</t>
  </si>
  <si>
    <t>Item Description</t>
  </si>
  <si>
    <t>Unit</t>
  </si>
  <si>
    <t>50mm dia core X 32mm dia pipe X200mm depth</t>
  </si>
  <si>
    <t>Nos.</t>
  </si>
  <si>
    <t>Tower A</t>
  </si>
  <si>
    <t>Tower B</t>
  </si>
  <si>
    <t>Tower C</t>
  </si>
  <si>
    <t>Tower D</t>
  </si>
  <si>
    <t>80mm dia core X 50mm dia pipe X200mm depth</t>
  </si>
  <si>
    <t>80mm dia core X 65mm dia pipe X200mm depth</t>
  </si>
  <si>
    <t>150mm dia core X 80mm dia pipe X200mm depth</t>
  </si>
  <si>
    <t>Sub Mains</t>
  </si>
  <si>
    <t>FAPA Cables</t>
  </si>
  <si>
    <t>Fire Fighting</t>
  </si>
  <si>
    <t>Staircase speaker</t>
  </si>
  <si>
    <t>ELV Cables</t>
  </si>
  <si>
    <t>MCA Drain</t>
  </si>
  <si>
    <t>a)</t>
  </si>
  <si>
    <t>b)</t>
  </si>
  <si>
    <t>c)</t>
  </si>
  <si>
    <t>d)</t>
  </si>
  <si>
    <t>e)</t>
  </si>
  <si>
    <t>f)</t>
  </si>
  <si>
    <t>g)</t>
  </si>
  <si>
    <t>Quantity per floor</t>
  </si>
  <si>
    <t>Total floors</t>
  </si>
  <si>
    <t>Total Quantity</t>
  </si>
  <si>
    <t>Grand Total</t>
  </si>
  <si>
    <t>150mm dia core X 75mm dia pipe X200mm depth</t>
  </si>
  <si>
    <t>50mm dia core X 20mm dia pipe X200mm depth</t>
  </si>
  <si>
    <t>50mm dia core X 12mm dia pipe X100mm depth</t>
  </si>
  <si>
    <t>h)</t>
  </si>
  <si>
    <t>75mm dia core X 50mm dia pipe X425mm depth</t>
  </si>
  <si>
    <t>100mm dia core X 80mm dia pipe X230mm depth</t>
  </si>
  <si>
    <t>j)</t>
  </si>
  <si>
    <t>Sprinkler entry into apartment</t>
  </si>
  <si>
    <t>Sprinkler Riser to zone control valve</t>
  </si>
  <si>
    <t>I)</t>
  </si>
  <si>
    <t>k)</t>
  </si>
  <si>
    <t>50mm dia core X 12mm dia pipe X425mm depth</t>
  </si>
  <si>
    <t>Mobile Booster for Apartment</t>
  </si>
  <si>
    <t>Sprinkler Entry to MCA</t>
  </si>
  <si>
    <t>L)</t>
  </si>
  <si>
    <t>75mm dia core X 32mm dia pipe X230mm depth</t>
  </si>
  <si>
    <t>Test drain , sprinkler header pipe entry to shaft</t>
  </si>
  <si>
    <t>Providing &amp; installation fire proofing for MEP penetrations  in Master Common Area:</t>
  </si>
  <si>
    <t>Location/Area</t>
  </si>
  <si>
    <t>MOC</t>
  </si>
  <si>
    <t>PR FOR FIRE SEALING FOR MEP PENETRATION IN MCA</t>
  </si>
  <si>
    <t>RCC Core and GI Pipe</t>
  </si>
  <si>
    <t>RCC Core and FRLS</t>
  </si>
  <si>
    <t>RCC Core and PVC Pipe</t>
  </si>
  <si>
    <t>RCC Core and PVC</t>
  </si>
  <si>
    <t>Quantity from 31 floor to 62 floor</t>
  </si>
  <si>
    <t>Rate</t>
  </si>
  <si>
    <t>Material</t>
  </si>
  <si>
    <t>Product name</t>
  </si>
  <si>
    <t>Packing</t>
  </si>
  <si>
    <t>Cost / Packing</t>
  </si>
  <si>
    <t>Rockwool</t>
  </si>
  <si>
    <t>Intumescent Wrap/ Strip</t>
  </si>
  <si>
    <t>System</t>
  </si>
  <si>
    <t>Drawings</t>
  </si>
  <si>
    <t>Certification agency</t>
  </si>
  <si>
    <t>Certificate</t>
  </si>
  <si>
    <t>System for GI Pipe</t>
  </si>
  <si>
    <t>System for Cable</t>
  </si>
  <si>
    <t>Protecta FR Acrylic</t>
  </si>
  <si>
    <t>Protecta FR Pipe Wrap</t>
  </si>
  <si>
    <t>25 mt roll</t>
  </si>
  <si>
    <t>310 ml Cartridge</t>
  </si>
  <si>
    <t>Quantity</t>
  </si>
  <si>
    <t>0.6 sq mt</t>
  </si>
  <si>
    <t>Total</t>
  </si>
  <si>
    <t xml:space="preserve">Attached In mail </t>
  </si>
  <si>
    <t>UL-EU</t>
  </si>
  <si>
    <t>NOTE:</t>
  </si>
  <si>
    <t>GST &amp; TRANSPORTATION EXTRA AT ACTUALS</t>
  </si>
  <si>
    <t>SCAFOLDING IF REQUIRED WILL BE CHARGED EXTRA AT ACTUALS</t>
  </si>
  <si>
    <t>QUOTATION IS VALID FOR 30 DAYS</t>
  </si>
  <si>
    <t>FALCON - 07.07.2021</t>
  </si>
  <si>
    <t>Sealant required per sleeve</t>
  </si>
  <si>
    <t>wrap required per sleeve</t>
  </si>
  <si>
    <t>Total cost material and labour</t>
  </si>
  <si>
    <t>Total Sealant required</t>
  </si>
  <si>
    <t>SEALANT REQUIRED PER FLOOR IS 14 NOS. AS PER THEOROTICAL CALUCALTION ON THE BOQ MEASUREMENTS.</t>
  </si>
  <si>
    <t xml:space="preserve">ANY INCREASE IN THE QTY OF SEALANT REQUIRED PER FLOOR ON SITE AT THE TIME OF PRACTICAL APPLICATION WILL BE INTIMATED AND BE SUBJECTED TO ADDITIONAL BILLING. </t>
  </si>
  <si>
    <t>PAYMENT TERMS 50% ON MATERIAL DELIVERY AND BALANCE ON COMPLETION</t>
  </si>
  <si>
    <t>Fire Sealant</t>
  </si>
  <si>
    <t>Application Charges</t>
  </si>
  <si>
    <t>Per cartridge</t>
  </si>
  <si>
    <t>Application cost per sleeve</t>
  </si>
  <si>
    <t>Sealant cost per sleeve</t>
  </si>
  <si>
    <t>Wrap cost per sleeve</t>
  </si>
  <si>
    <t>Total Material cost per sleeve</t>
  </si>
  <si>
    <t>FALCON: 03-08-2021</t>
  </si>
  <si>
    <t>Calculation Details</t>
  </si>
  <si>
    <t>Metal pipes and Cable penetration, sealant will be applied at 15mm depth both sides</t>
  </si>
  <si>
    <t>Upto 32 mm dia PVC pipes, no wraps required</t>
  </si>
  <si>
    <t>For all PVC pipe penetrations, sealant will be applied at 25 mm depth both sides</t>
  </si>
  <si>
    <t>SOLUTION DETAILS</t>
  </si>
  <si>
    <t>for PVC pipes with higher diameter, refer to the pipe wrap table for number of turns required</t>
  </si>
  <si>
    <t>Drawing details</t>
  </si>
  <si>
    <t>System for PVC conduits (32mm)</t>
  </si>
  <si>
    <t>System for PVC pipes (75mm)</t>
  </si>
  <si>
    <t>Pg no. 118</t>
  </si>
  <si>
    <t>Pg no. 114</t>
  </si>
  <si>
    <t>Pg no. 142</t>
  </si>
  <si>
    <t>Pg no. 148 / 211</t>
  </si>
  <si>
    <t>A1</t>
  </si>
  <si>
    <t>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</si>
</sst>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₹&quot;\ #,##0.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54">
    <border>
      <left/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9">
    <xf numFmtId="0" fontId="0" fillId="0" borderId="0" xfId="0"/>
    <xf numFmtId="0" fontId="0" fillId="0" borderId="0" xfId="0" applyFill="1"/>
    <xf numFmtId="0" fontId="0" fillId="0" borderId="2" xfId="0" applyBorder="1"/>
    <xf numFmtId="0" fontId="0" fillId="0" borderId="2" xfId="0" applyBorder="1" applyAlignment="1">
      <alignment horizontal="center" vertical="center"/>
    </xf>
    <xf numFmtId="0" fontId="0" fillId="0" borderId="5" xfId="0" applyBorder="1"/>
    <xf numFmtId="0" fontId="0" fillId="0" borderId="5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2" xfId="0" applyBorder="1"/>
    <xf numFmtId="0" fontId="0" fillId="0" borderId="23" xfId="0" applyBorder="1"/>
    <xf numFmtId="0" fontId="1" fillId="0" borderId="27" xfId="0" applyFont="1" applyBorder="1" applyAlignment="1">
      <alignment horizontal="center" vertical="center"/>
    </xf>
    <xf numFmtId="0" fontId="0" fillId="0" borderId="39" xfId="0" applyBorder="1"/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0" fillId="0" borderId="43" xfId="0" applyBorder="1"/>
    <xf numFmtId="0" fontId="0" fillId="0" borderId="1" xfId="0" applyBorder="1" applyAlignment="1">
      <alignment horizontal="right" vertical="center"/>
    </xf>
    <xf numFmtId="0" fontId="0" fillId="0" borderId="38" xfId="0" applyBorder="1" applyAlignment="1">
      <alignment horizontal="right" vertical="center"/>
    </xf>
    <xf numFmtId="0" fontId="0" fillId="0" borderId="39" xfId="0" applyBorder="1" applyAlignment="1">
      <alignment horizontal="center" vertical="center"/>
    </xf>
    <xf numFmtId="0" fontId="0" fillId="0" borderId="4" xfId="0" applyBorder="1" applyAlignment="1">
      <alignment horizontal="right" vertical="center"/>
    </xf>
    <xf numFmtId="0" fontId="0" fillId="0" borderId="12" xfId="0" applyBorder="1" applyAlignment="1">
      <alignment vertical="center"/>
    </xf>
    <xf numFmtId="0" fontId="1" fillId="0" borderId="9" xfId="0" applyFont="1" applyBorder="1" applyAlignment="1">
      <alignment horizontal="left" vertical="center" wrapText="1"/>
    </xf>
    <xf numFmtId="0" fontId="0" fillId="0" borderId="9" xfId="0" applyBorder="1"/>
    <xf numFmtId="0" fontId="0" fillId="0" borderId="14" xfId="0" applyBorder="1"/>
    <xf numFmtId="0" fontId="0" fillId="0" borderId="12" xfId="0" applyBorder="1" applyAlignment="1">
      <alignment horizontal="center" vertical="center" wrapText="1"/>
    </xf>
    <xf numFmtId="0" fontId="0" fillId="0" borderId="44" xfId="0" applyBorder="1" applyAlignment="1">
      <alignment horizontal="center" vertical="center" wrapText="1"/>
    </xf>
    <xf numFmtId="0" fontId="0" fillId="0" borderId="45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1" fillId="0" borderId="26" xfId="0" applyFont="1" applyBorder="1"/>
    <xf numFmtId="0" fontId="0" fillId="0" borderId="21" xfId="0" applyBorder="1"/>
    <xf numFmtId="0" fontId="2" fillId="0" borderId="4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49" xfId="0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 wrapText="1"/>
    </xf>
    <xf numFmtId="0" fontId="0" fillId="0" borderId="12" xfId="0" applyBorder="1" applyAlignment="1">
      <alignment horizontal="left"/>
    </xf>
    <xf numFmtId="0" fontId="0" fillId="0" borderId="9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1" fillId="0" borderId="51" xfId="0" applyFont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/>
    </xf>
    <xf numFmtId="164" fontId="0" fillId="0" borderId="2" xfId="0" applyNumberFormat="1" applyFill="1" applyBorder="1"/>
    <xf numFmtId="2" fontId="0" fillId="0" borderId="14" xfId="0" applyNumberFormat="1" applyBorder="1" applyAlignment="1">
      <alignment horizontal="center"/>
    </xf>
    <xf numFmtId="2" fontId="0" fillId="0" borderId="2" xfId="0" applyNumberFormat="1" applyFill="1" applyBorder="1"/>
    <xf numFmtId="2" fontId="0" fillId="0" borderId="15" xfId="0" applyNumberFormat="1" applyBorder="1" applyAlignment="1">
      <alignment horizontal="center"/>
    </xf>
    <xf numFmtId="0" fontId="0" fillId="0" borderId="0" xfId="0" applyFill="1" applyBorder="1" applyAlignment="1">
      <alignment horizontal="left"/>
    </xf>
    <xf numFmtId="164" fontId="0" fillId="0" borderId="0" xfId="0" applyNumberFormat="1" applyFill="1"/>
    <xf numFmtId="2" fontId="0" fillId="0" borderId="0" xfId="0" applyNumberFormat="1"/>
    <xf numFmtId="164" fontId="0" fillId="0" borderId="0" xfId="0" applyNumberFormat="1"/>
    <xf numFmtId="2" fontId="0" fillId="0" borderId="0" xfId="0" applyNumberFormat="1" applyAlignment="1">
      <alignment horizontal="center"/>
    </xf>
    <xf numFmtId="0" fontId="1" fillId="0" borderId="0" xfId="0" applyFont="1" applyAlignment="1">
      <alignment wrapText="1"/>
    </xf>
    <xf numFmtId="14" fontId="1" fillId="0" borderId="0" xfId="0" applyNumberFormat="1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0" fillId="0" borderId="0" xfId="0" applyBorder="1"/>
    <xf numFmtId="2" fontId="0" fillId="0" borderId="2" xfId="0" applyNumberFormat="1" applyBorder="1" applyAlignment="1">
      <alignment horizontal="center"/>
    </xf>
    <xf numFmtId="164" fontId="0" fillId="0" borderId="2" xfId="0" applyNumberFormat="1" applyBorder="1"/>
    <xf numFmtId="0" fontId="1" fillId="0" borderId="0" xfId="0" applyFont="1" applyFill="1" applyBorder="1" applyAlignment="1">
      <alignment horizontal="left"/>
    </xf>
    <xf numFmtId="0" fontId="1" fillId="0" borderId="0" xfId="0" applyFont="1" applyFill="1"/>
    <xf numFmtId="164" fontId="0" fillId="0" borderId="2" xfId="0" applyNumberFormat="1" applyBorder="1" applyAlignment="1">
      <alignment horizontal="center"/>
    </xf>
    <xf numFmtId="0" fontId="1" fillId="0" borderId="51" xfId="0" applyFont="1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1" fillId="0" borderId="2" xfId="0" applyFont="1" applyFill="1" applyBorder="1" applyAlignment="1">
      <alignment horizontal="center" vertical="center" wrapText="1"/>
    </xf>
    <xf numFmtId="0" fontId="1" fillId="0" borderId="39" xfId="0" applyFont="1" applyBorder="1" applyAlignment="1">
      <alignment horizontal="center" wrapText="1"/>
    </xf>
    <xf numFmtId="0" fontId="1" fillId="0" borderId="9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1" fillId="0" borderId="31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53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2" fillId="0" borderId="52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 wrapText="1"/>
    </xf>
    <xf numFmtId="0" fontId="1" fillId="0" borderId="31" xfId="0" applyFont="1" applyBorder="1" applyAlignment="1">
      <alignment horizontal="center" vertical="center" wrapText="1"/>
    </xf>
    <xf numFmtId="0" fontId="1" fillId="0" borderId="32" xfId="0" applyFont="1" applyBorder="1" applyAlignment="1">
      <alignment horizontal="center" vertical="center" wrapText="1"/>
    </xf>
    <xf numFmtId="14" fontId="1" fillId="0" borderId="24" xfId="0" applyNumberFormat="1" applyFont="1" applyBorder="1" applyAlignment="1">
      <alignment horizontal="center" vertical="center" wrapText="1"/>
    </xf>
    <xf numFmtId="0" fontId="1" fillId="0" borderId="33" xfId="0" applyFont="1" applyBorder="1" applyAlignment="1">
      <alignment horizontal="center" vertical="center" wrapText="1"/>
    </xf>
    <xf numFmtId="0" fontId="2" fillId="0" borderId="37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 vertical="center" wrapText="1"/>
    </xf>
    <xf numFmtId="0" fontId="2" fillId="0" borderId="35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2" fillId="0" borderId="33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4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47" xfId="0" applyFont="1" applyBorder="1" applyAlignment="1">
      <alignment horizontal="center" vertical="center" wrapText="1"/>
    </xf>
    <xf numFmtId="0" fontId="2" fillId="0" borderId="36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48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B47"/>
  <sheetViews>
    <sheetView topLeftCell="L5" zoomScale="80" zoomScaleNormal="80" workbookViewId="0">
      <selection activeCell="Z15" sqref="Z15"/>
    </sheetView>
  </sheetViews>
  <sheetFormatPr defaultRowHeight="15" x14ac:dyDescent="0.25"/>
  <cols>
    <col min="1" max="1" width="2.28515625" customWidth="1"/>
    <col min="2" max="2" width="6.85546875" bestFit="1" customWidth="1"/>
    <col min="3" max="3" width="44.7109375" bestFit="1" customWidth="1"/>
    <col min="4" max="4" width="21.5703125" bestFit="1" customWidth="1"/>
    <col min="5" max="5" width="10.85546875" bestFit="1" customWidth="1"/>
    <col min="6" max="6" width="10.28515625" customWidth="1"/>
    <col min="7" max="7" width="16" bestFit="1" customWidth="1"/>
    <col min="8" max="8" width="14.28515625" bestFit="1" customWidth="1"/>
    <col min="9" max="9" width="10" customWidth="1"/>
    <col min="10" max="10" width="9.140625" customWidth="1"/>
    <col min="11" max="11" width="10.140625" customWidth="1"/>
    <col min="12" max="12" width="9.140625" customWidth="1"/>
    <col min="13" max="13" width="9.5703125" customWidth="1"/>
    <col min="14" max="14" width="9.140625" customWidth="1"/>
    <col min="15" max="15" width="9.85546875" customWidth="1"/>
    <col min="16" max="16" width="7.140625" bestFit="1" customWidth="1"/>
    <col min="17" max="17" width="48.7109375" bestFit="1" customWidth="1"/>
    <col min="18" max="18" width="28.85546875" bestFit="1" customWidth="1"/>
    <col min="19" max="19" width="13.7109375" bestFit="1" customWidth="1"/>
    <col min="20" max="20" width="13.7109375" customWidth="1"/>
    <col min="21" max="26" width="12.85546875" customWidth="1"/>
    <col min="27" max="27" width="13" bestFit="1" customWidth="1"/>
  </cols>
  <sheetData>
    <row r="1" spans="2:28" ht="15.75" thickBot="1" x14ac:dyDescent="0.3">
      <c r="M1" s="82" t="s">
        <v>96</v>
      </c>
      <c r="N1" s="82"/>
      <c r="O1" s="82"/>
      <c r="P1" s="82"/>
      <c r="Q1" t="s">
        <v>81</v>
      </c>
    </row>
    <row r="2" spans="2:28" x14ac:dyDescent="0.25">
      <c r="B2" s="87" t="s">
        <v>49</v>
      </c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9"/>
      <c r="Q2" s="93">
        <v>44349</v>
      </c>
      <c r="R2" s="65"/>
    </row>
    <row r="3" spans="2:28" ht="15.75" thickBot="1" x14ac:dyDescent="0.3">
      <c r="B3" s="90"/>
      <c r="C3" s="91"/>
      <c r="D3" s="91"/>
      <c r="E3" s="91"/>
      <c r="F3" s="91"/>
      <c r="G3" s="91"/>
      <c r="H3" s="91"/>
      <c r="I3" s="91"/>
      <c r="J3" s="91"/>
      <c r="K3" s="91"/>
      <c r="L3" s="91"/>
      <c r="M3" s="91"/>
      <c r="N3" s="91"/>
      <c r="O3" s="91"/>
      <c r="P3" s="92"/>
      <c r="Q3" s="94"/>
      <c r="R3" s="66"/>
    </row>
    <row r="4" spans="2:28" ht="15.75" thickBot="1" x14ac:dyDescent="0.3"/>
    <row r="5" spans="2:28" ht="15" customHeight="1" x14ac:dyDescent="0.25">
      <c r="B5" s="104" t="s">
        <v>0</v>
      </c>
      <c r="C5" s="107" t="s">
        <v>1</v>
      </c>
      <c r="D5" s="107" t="s">
        <v>48</v>
      </c>
      <c r="E5" s="107" t="s">
        <v>2</v>
      </c>
      <c r="F5" s="107" t="s">
        <v>55</v>
      </c>
      <c r="G5" s="110" t="s">
        <v>25</v>
      </c>
      <c r="H5" s="95" t="s">
        <v>54</v>
      </c>
      <c r="I5" s="96"/>
      <c r="J5" s="96"/>
      <c r="K5" s="96"/>
      <c r="L5" s="96"/>
      <c r="M5" s="96"/>
      <c r="N5" s="96"/>
      <c r="O5" s="97"/>
      <c r="P5" s="98" t="s">
        <v>28</v>
      </c>
      <c r="Q5" s="101" t="s">
        <v>47</v>
      </c>
      <c r="R5" s="67"/>
      <c r="S5" s="83" t="s">
        <v>97</v>
      </c>
      <c r="T5" s="84"/>
      <c r="U5" s="84"/>
      <c r="V5" s="84"/>
      <c r="W5" s="84"/>
      <c r="X5" s="84"/>
      <c r="Y5" s="84"/>
      <c r="Z5" s="85"/>
    </row>
    <row r="6" spans="2:28" ht="15.75" x14ac:dyDescent="0.25">
      <c r="B6" s="105"/>
      <c r="C6" s="108"/>
      <c r="D6" s="108"/>
      <c r="E6" s="108"/>
      <c r="F6" s="108"/>
      <c r="G6" s="111"/>
      <c r="H6" s="113" t="s">
        <v>5</v>
      </c>
      <c r="I6" s="114"/>
      <c r="J6" s="115" t="s">
        <v>6</v>
      </c>
      <c r="K6" s="116"/>
      <c r="L6" s="117" t="s">
        <v>7</v>
      </c>
      <c r="M6" s="118"/>
      <c r="N6" s="115" t="s">
        <v>8</v>
      </c>
      <c r="O6" s="116"/>
      <c r="P6" s="99"/>
      <c r="Q6" s="102"/>
      <c r="R6" s="86" t="s">
        <v>82</v>
      </c>
      <c r="S6" s="81" t="s">
        <v>82</v>
      </c>
      <c r="T6" s="81" t="s">
        <v>85</v>
      </c>
      <c r="U6" s="81" t="s">
        <v>83</v>
      </c>
      <c r="V6" s="79" t="s">
        <v>93</v>
      </c>
      <c r="W6" s="79" t="s">
        <v>94</v>
      </c>
      <c r="X6" s="79" t="s">
        <v>92</v>
      </c>
      <c r="Y6" s="79" t="s">
        <v>95</v>
      </c>
      <c r="Z6" s="81" t="s">
        <v>84</v>
      </c>
      <c r="AA6" s="64"/>
    </row>
    <row r="7" spans="2:28" ht="48" thickBot="1" x14ac:dyDescent="0.3">
      <c r="B7" s="106"/>
      <c r="C7" s="109"/>
      <c r="D7" s="109"/>
      <c r="E7" s="109"/>
      <c r="F7" s="109"/>
      <c r="G7" s="112"/>
      <c r="H7" s="36" t="s">
        <v>26</v>
      </c>
      <c r="I7" s="37" t="s">
        <v>27</v>
      </c>
      <c r="J7" s="38" t="s">
        <v>26</v>
      </c>
      <c r="K7" s="39" t="s">
        <v>27</v>
      </c>
      <c r="L7" s="36" t="s">
        <v>26</v>
      </c>
      <c r="M7" s="37" t="s">
        <v>27</v>
      </c>
      <c r="N7" s="38" t="s">
        <v>26</v>
      </c>
      <c r="O7" s="39" t="s">
        <v>27</v>
      </c>
      <c r="P7" s="100"/>
      <c r="Q7" s="103"/>
      <c r="R7" s="86"/>
      <c r="S7" s="81"/>
      <c r="T7" s="81"/>
      <c r="U7" s="81"/>
      <c r="V7" s="80"/>
      <c r="W7" s="80"/>
      <c r="X7" s="80"/>
      <c r="Y7" s="80"/>
      <c r="Z7" s="81"/>
      <c r="AA7" s="64"/>
    </row>
    <row r="8" spans="2:28" ht="30" x14ac:dyDescent="0.25">
      <c r="B8" s="26"/>
      <c r="C8" s="27" t="s">
        <v>46</v>
      </c>
      <c r="D8" s="27"/>
      <c r="E8" s="28"/>
      <c r="F8" s="29"/>
      <c r="G8" s="29"/>
      <c r="H8" s="30"/>
      <c r="I8" s="31"/>
      <c r="J8" s="32"/>
      <c r="K8" s="33"/>
      <c r="L8" s="30"/>
      <c r="M8" s="31"/>
      <c r="N8" s="32"/>
      <c r="O8" s="33"/>
      <c r="P8" s="34"/>
      <c r="Q8" s="35"/>
      <c r="R8" s="68"/>
      <c r="S8" s="2"/>
      <c r="T8" s="2"/>
      <c r="U8" s="2"/>
      <c r="V8" s="2"/>
      <c r="W8" s="2"/>
      <c r="X8" s="2"/>
      <c r="Y8" s="2"/>
      <c r="Z8" s="2"/>
    </row>
    <row r="9" spans="2:28" x14ac:dyDescent="0.25">
      <c r="B9" s="22" t="s">
        <v>18</v>
      </c>
      <c r="C9" s="2" t="s">
        <v>3</v>
      </c>
      <c r="D9" s="24" t="s">
        <v>53</v>
      </c>
      <c r="E9" s="3" t="s">
        <v>4</v>
      </c>
      <c r="F9" s="70">
        <f>Z9</f>
        <v>90.176928315412198</v>
      </c>
      <c r="G9" s="6">
        <v>18</v>
      </c>
      <c r="H9" s="10">
        <v>32</v>
      </c>
      <c r="I9" s="11">
        <f>G9*H9</f>
        <v>576</v>
      </c>
      <c r="J9" s="8">
        <v>32</v>
      </c>
      <c r="K9" s="6">
        <f>J9*G9</f>
        <v>576</v>
      </c>
      <c r="L9" s="10">
        <v>32</v>
      </c>
      <c r="M9" s="11">
        <f>G9*L9</f>
        <v>576</v>
      </c>
      <c r="N9" s="8">
        <v>32</v>
      </c>
      <c r="O9" s="6">
        <f>N9*G9</f>
        <v>576</v>
      </c>
      <c r="P9" s="16">
        <f>O9+M9+K9+I9</f>
        <v>2304</v>
      </c>
      <c r="Q9" s="14" t="s">
        <v>12</v>
      </c>
      <c r="R9" s="63">
        <v>0.19</v>
      </c>
      <c r="S9" s="69">
        <f>R9*1.05</f>
        <v>0.19950000000000001</v>
      </c>
      <c r="T9" s="69">
        <f t="shared" ref="T9:T20" si="0">(S9*P9)</f>
        <v>459.64800000000002</v>
      </c>
      <c r="U9" s="69">
        <v>0</v>
      </c>
      <c r="V9" s="73">
        <f>S9*F24</f>
        <v>46.084500000000006</v>
      </c>
      <c r="W9" s="73">
        <f>U9*F27</f>
        <v>0</v>
      </c>
      <c r="X9" s="73">
        <f>S9*(F25+I26)</f>
        <v>44.092428315412192</v>
      </c>
      <c r="Y9" s="73">
        <f>V9+W9</f>
        <v>46.084500000000006</v>
      </c>
      <c r="Z9" s="73">
        <f>X9+Y9</f>
        <v>90.176928315412198</v>
      </c>
      <c r="AA9" s="62">
        <f>P9*Z9</f>
        <v>207767.6428387097</v>
      </c>
      <c r="AB9" s="62"/>
    </row>
    <row r="10" spans="2:28" x14ac:dyDescent="0.25">
      <c r="B10" s="22" t="s">
        <v>19</v>
      </c>
      <c r="C10" s="2" t="s">
        <v>31</v>
      </c>
      <c r="D10" s="24" t="s">
        <v>51</v>
      </c>
      <c r="E10" s="3" t="s">
        <v>4</v>
      </c>
      <c r="F10" s="70">
        <f t="shared" ref="F10:F20" si="1">Z10</f>
        <v>85.430774193548388</v>
      </c>
      <c r="G10" s="6">
        <v>2</v>
      </c>
      <c r="H10" s="10">
        <v>32</v>
      </c>
      <c r="I10" s="11">
        <f t="shared" ref="I10:I20" si="2">G10*H10</f>
        <v>64</v>
      </c>
      <c r="J10" s="8">
        <v>32</v>
      </c>
      <c r="K10" s="6">
        <f t="shared" ref="K10:K20" si="3">J10*G10</f>
        <v>64</v>
      </c>
      <c r="L10" s="10">
        <v>32</v>
      </c>
      <c r="M10" s="11">
        <f t="shared" ref="M10:M20" si="4">G10*L10</f>
        <v>64</v>
      </c>
      <c r="N10" s="8">
        <v>32</v>
      </c>
      <c r="O10" s="6">
        <f t="shared" ref="O10:O20" si="5">N10*G10</f>
        <v>64</v>
      </c>
      <c r="P10" s="16">
        <f t="shared" ref="P10:P20" si="6">O10+M10+K10+I10</f>
        <v>256</v>
      </c>
      <c r="Q10" s="14" t="s">
        <v>13</v>
      </c>
      <c r="R10" s="63">
        <v>0.18</v>
      </c>
      <c r="S10" s="69">
        <f t="shared" ref="S10:S20" si="7">R10*1.05</f>
        <v>0.189</v>
      </c>
      <c r="T10" s="69">
        <f t="shared" si="0"/>
        <v>48.384</v>
      </c>
      <c r="U10" s="69">
        <v>0</v>
      </c>
      <c r="V10" s="73">
        <f>S10*F24</f>
        <v>43.658999999999999</v>
      </c>
      <c r="W10" s="73">
        <f>U10*F27</f>
        <v>0</v>
      </c>
      <c r="X10" s="73">
        <f>S10*(F25+I26)</f>
        <v>41.771774193548389</v>
      </c>
      <c r="Y10" s="73">
        <f t="shared" ref="Y10:Y20" si="8">V10+W10</f>
        <v>43.658999999999999</v>
      </c>
      <c r="Z10" s="73">
        <f t="shared" ref="Z10:Z20" si="9">X10+Y10</f>
        <v>85.430774193548388</v>
      </c>
      <c r="AA10" s="62">
        <f t="shared" ref="AA10:AA20" si="10">P10*Z10</f>
        <v>21870.278193548387</v>
      </c>
      <c r="AB10" s="62"/>
    </row>
    <row r="11" spans="2:28" x14ac:dyDescent="0.25">
      <c r="B11" s="22" t="s">
        <v>20</v>
      </c>
      <c r="C11" s="2" t="s">
        <v>9</v>
      </c>
      <c r="D11" s="3" t="s">
        <v>50</v>
      </c>
      <c r="E11" s="3" t="s">
        <v>4</v>
      </c>
      <c r="F11" s="70">
        <f t="shared" si="1"/>
        <v>142.38462365591397</v>
      </c>
      <c r="G11" s="6">
        <v>8</v>
      </c>
      <c r="H11" s="10">
        <v>32</v>
      </c>
      <c r="I11" s="11">
        <f t="shared" si="2"/>
        <v>256</v>
      </c>
      <c r="J11" s="8">
        <v>32</v>
      </c>
      <c r="K11" s="6">
        <f t="shared" si="3"/>
        <v>256</v>
      </c>
      <c r="L11" s="10">
        <v>32</v>
      </c>
      <c r="M11" s="11">
        <f t="shared" si="4"/>
        <v>256</v>
      </c>
      <c r="N11" s="8">
        <v>32</v>
      </c>
      <c r="O11" s="6">
        <f t="shared" si="5"/>
        <v>256</v>
      </c>
      <c r="P11" s="16">
        <f t="shared" si="6"/>
        <v>1024</v>
      </c>
      <c r="Q11" s="14" t="s">
        <v>14</v>
      </c>
      <c r="R11" s="63">
        <v>0.3</v>
      </c>
      <c r="S11" s="69">
        <f t="shared" si="7"/>
        <v>0.315</v>
      </c>
      <c r="T11" s="69">
        <f t="shared" si="0"/>
        <v>322.56</v>
      </c>
      <c r="U11" s="69">
        <v>0</v>
      </c>
      <c r="V11" s="73">
        <f>S11*F24</f>
        <v>72.765000000000001</v>
      </c>
      <c r="W11" s="73">
        <f>U11*F27</f>
        <v>0</v>
      </c>
      <c r="X11" s="73">
        <f>S11*(F25+I26)</f>
        <v>69.619623655913983</v>
      </c>
      <c r="Y11" s="73">
        <f t="shared" si="8"/>
        <v>72.765000000000001</v>
      </c>
      <c r="Z11" s="73">
        <f t="shared" si="9"/>
        <v>142.38462365591397</v>
      </c>
      <c r="AA11" s="62">
        <f t="shared" si="10"/>
        <v>145801.85462365591</v>
      </c>
      <c r="AB11" s="62"/>
    </row>
    <row r="12" spans="2:28" x14ac:dyDescent="0.25">
      <c r="B12" s="22" t="s">
        <v>21</v>
      </c>
      <c r="C12" s="2" t="s">
        <v>10</v>
      </c>
      <c r="D12" s="3" t="s">
        <v>50</v>
      </c>
      <c r="E12" s="3" t="s">
        <v>4</v>
      </c>
      <c r="F12" s="70">
        <f t="shared" si="1"/>
        <v>80.684620071684606</v>
      </c>
      <c r="G12" s="6">
        <v>4</v>
      </c>
      <c r="H12" s="10">
        <v>32</v>
      </c>
      <c r="I12" s="11">
        <f t="shared" si="2"/>
        <v>128</v>
      </c>
      <c r="J12" s="8">
        <v>32</v>
      </c>
      <c r="K12" s="6">
        <f t="shared" si="3"/>
        <v>128</v>
      </c>
      <c r="L12" s="10">
        <v>32</v>
      </c>
      <c r="M12" s="11">
        <f t="shared" si="4"/>
        <v>128</v>
      </c>
      <c r="N12" s="8">
        <v>32</v>
      </c>
      <c r="O12" s="6">
        <f t="shared" si="5"/>
        <v>128</v>
      </c>
      <c r="P12" s="16">
        <f t="shared" si="6"/>
        <v>512</v>
      </c>
      <c r="Q12" s="14" t="s">
        <v>14</v>
      </c>
      <c r="R12" s="63">
        <v>0.17</v>
      </c>
      <c r="S12" s="69">
        <f t="shared" si="7"/>
        <v>0.17850000000000002</v>
      </c>
      <c r="T12" s="69">
        <f t="shared" si="0"/>
        <v>91.39200000000001</v>
      </c>
      <c r="U12" s="69">
        <v>0</v>
      </c>
      <c r="V12" s="73">
        <f>S12*F24</f>
        <v>41.233500000000006</v>
      </c>
      <c r="W12" s="73">
        <f>U12*F27</f>
        <v>0</v>
      </c>
      <c r="X12" s="73">
        <f>S12*(F25+I26)</f>
        <v>39.451120071684592</v>
      </c>
      <c r="Y12" s="73">
        <f t="shared" si="8"/>
        <v>41.233500000000006</v>
      </c>
      <c r="Z12" s="73">
        <f t="shared" si="9"/>
        <v>80.684620071684606</v>
      </c>
      <c r="AA12" s="62">
        <f t="shared" si="10"/>
        <v>41310.525476702518</v>
      </c>
      <c r="AB12" s="62"/>
    </row>
    <row r="13" spans="2:28" x14ac:dyDescent="0.25">
      <c r="B13" s="22" t="s">
        <v>22</v>
      </c>
      <c r="C13" s="2" t="s">
        <v>30</v>
      </c>
      <c r="D13" s="24" t="s">
        <v>51</v>
      </c>
      <c r="E13" s="3" t="s">
        <v>4</v>
      </c>
      <c r="F13" s="70">
        <f t="shared" si="1"/>
        <v>75.938465949820795</v>
      </c>
      <c r="G13" s="6">
        <v>2</v>
      </c>
      <c r="H13" s="10">
        <v>32</v>
      </c>
      <c r="I13" s="11">
        <f t="shared" si="2"/>
        <v>64</v>
      </c>
      <c r="J13" s="8">
        <v>32</v>
      </c>
      <c r="K13" s="6">
        <f t="shared" si="3"/>
        <v>64</v>
      </c>
      <c r="L13" s="10">
        <v>32</v>
      </c>
      <c r="M13" s="11">
        <f t="shared" si="4"/>
        <v>64</v>
      </c>
      <c r="N13" s="8">
        <v>32</v>
      </c>
      <c r="O13" s="6">
        <f t="shared" si="5"/>
        <v>64</v>
      </c>
      <c r="P13" s="16">
        <f t="shared" si="6"/>
        <v>256</v>
      </c>
      <c r="Q13" s="14" t="s">
        <v>15</v>
      </c>
      <c r="R13" s="63">
        <v>0.16</v>
      </c>
      <c r="S13" s="69">
        <f t="shared" si="7"/>
        <v>0.16800000000000001</v>
      </c>
      <c r="T13" s="69">
        <f t="shared" si="0"/>
        <v>43.008000000000003</v>
      </c>
      <c r="U13" s="69">
        <v>0</v>
      </c>
      <c r="V13" s="73">
        <f>S13*F24</f>
        <v>38.808</v>
      </c>
      <c r="W13" s="73">
        <f>U13*F27</f>
        <v>0</v>
      </c>
      <c r="X13" s="73">
        <f>S13*(F25+I26)</f>
        <v>37.130465949820795</v>
      </c>
      <c r="Y13" s="73">
        <f t="shared" si="8"/>
        <v>38.808</v>
      </c>
      <c r="Z13" s="73">
        <f t="shared" si="9"/>
        <v>75.938465949820795</v>
      </c>
      <c r="AA13" s="62">
        <f t="shared" si="10"/>
        <v>19440.247283154124</v>
      </c>
      <c r="AB13" s="62"/>
    </row>
    <row r="14" spans="2:28" x14ac:dyDescent="0.25">
      <c r="B14" s="22" t="s">
        <v>23</v>
      </c>
      <c r="C14" s="2" t="s">
        <v>11</v>
      </c>
      <c r="D14" s="24" t="s">
        <v>51</v>
      </c>
      <c r="E14" s="3" t="s">
        <v>4</v>
      </c>
      <c r="F14" s="70">
        <f t="shared" si="1"/>
        <v>579.0308028673835</v>
      </c>
      <c r="G14" s="6">
        <v>1</v>
      </c>
      <c r="H14" s="10">
        <v>32</v>
      </c>
      <c r="I14" s="11">
        <f t="shared" si="2"/>
        <v>32</v>
      </c>
      <c r="J14" s="8">
        <v>32</v>
      </c>
      <c r="K14" s="6">
        <f t="shared" si="3"/>
        <v>32</v>
      </c>
      <c r="L14" s="10">
        <v>32</v>
      </c>
      <c r="M14" s="11">
        <f t="shared" si="4"/>
        <v>32</v>
      </c>
      <c r="N14" s="8">
        <v>32</v>
      </c>
      <c r="O14" s="6">
        <f t="shared" si="5"/>
        <v>32</v>
      </c>
      <c r="P14" s="16">
        <f t="shared" si="6"/>
        <v>128</v>
      </c>
      <c r="Q14" s="14" t="s">
        <v>16</v>
      </c>
      <c r="R14" s="63">
        <v>1.22</v>
      </c>
      <c r="S14" s="69">
        <f t="shared" si="7"/>
        <v>1.2809999999999999</v>
      </c>
      <c r="T14" s="69">
        <f t="shared" si="0"/>
        <v>163.96799999999999</v>
      </c>
      <c r="U14" s="69">
        <v>0</v>
      </c>
      <c r="V14" s="73">
        <f>S14*F24</f>
        <v>295.911</v>
      </c>
      <c r="W14" s="73">
        <f>U14*F27</f>
        <v>0</v>
      </c>
      <c r="X14" s="73">
        <f>S14*(F25+I26)</f>
        <v>283.1198028673835</v>
      </c>
      <c r="Y14" s="73">
        <f t="shared" si="8"/>
        <v>295.911</v>
      </c>
      <c r="Z14" s="73">
        <f t="shared" si="9"/>
        <v>579.0308028673835</v>
      </c>
      <c r="AA14" s="62">
        <f t="shared" si="10"/>
        <v>74115.942767025088</v>
      </c>
      <c r="AB14" s="62"/>
    </row>
    <row r="15" spans="2:28" x14ac:dyDescent="0.25">
      <c r="B15" s="23" t="s">
        <v>24</v>
      </c>
      <c r="C15" s="17" t="s">
        <v>29</v>
      </c>
      <c r="D15" s="3" t="s">
        <v>52</v>
      </c>
      <c r="E15" s="24" t="s">
        <v>4</v>
      </c>
      <c r="F15" s="70">
        <f>Z15</f>
        <v>1630.6169820788532</v>
      </c>
      <c r="G15" s="18">
        <v>1</v>
      </c>
      <c r="H15" s="10">
        <v>32</v>
      </c>
      <c r="I15" s="19">
        <f t="shared" si="2"/>
        <v>32</v>
      </c>
      <c r="J15" s="8">
        <v>32</v>
      </c>
      <c r="K15" s="18">
        <f t="shared" si="3"/>
        <v>32</v>
      </c>
      <c r="L15" s="10">
        <v>32</v>
      </c>
      <c r="M15" s="19">
        <f t="shared" si="4"/>
        <v>32</v>
      </c>
      <c r="N15" s="8">
        <v>32</v>
      </c>
      <c r="O15" s="18">
        <f t="shared" si="5"/>
        <v>32</v>
      </c>
      <c r="P15" s="20">
        <f t="shared" si="6"/>
        <v>128</v>
      </c>
      <c r="Q15" s="21" t="s">
        <v>17</v>
      </c>
      <c r="R15" s="63">
        <v>2.14</v>
      </c>
      <c r="S15" s="69">
        <f t="shared" si="7"/>
        <v>2.2470000000000003</v>
      </c>
      <c r="T15" s="69">
        <f t="shared" si="0"/>
        <v>287.61600000000004</v>
      </c>
      <c r="U15" s="69">
        <v>0.06</v>
      </c>
      <c r="V15" s="73">
        <f>S15*F24</f>
        <v>519.05700000000013</v>
      </c>
      <c r="W15" s="73">
        <f>U15*F27</f>
        <v>614.93999999999994</v>
      </c>
      <c r="X15" s="73">
        <f>S15*(F25+I26)</f>
        <v>496.61998207885313</v>
      </c>
      <c r="Y15" s="73">
        <f>V15+W15</f>
        <v>1133.9970000000001</v>
      </c>
      <c r="Z15" s="73">
        <f>X15+Y15</f>
        <v>1630.6169820788532</v>
      </c>
      <c r="AA15" s="62">
        <f t="shared" si="10"/>
        <v>208718.97370609321</v>
      </c>
      <c r="AB15" s="62"/>
    </row>
    <row r="16" spans="2:28" x14ac:dyDescent="0.25">
      <c r="B16" s="22" t="s">
        <v>32</v>
      </c>
      <c r="C16" s="17" t="s">
        <v>33</v>
      </c>
      <c r="D16" s="3" t="s">
        <v>50</v>
      </c>
      <c r="E16" s="24" t="s">
        <v>4</v>
      </c>
      <c r="F16" s="70">
        <f t="shared" si="1"/>
        <v>113.90769892473119</v>
      </c>
      <c r="G16" s="6">
        <v>6</v>
      </c>
      <c r="H16" s="10">
        <v>32</v>
      </c>
      <c r="I16" s="19">
        <f t="shared" si="2"/>
        <v>192</v>
      </c>
      <c r="J16" s="8">
        <v>32</v>
      </c>
      <c r="K16" s="18">
        <f t="shared" si="3"/>
        <v>192</v>
      </c>
      <c r="L16" s="10">
        <v>32</v>
      </c>
      <c r="M16" s="19">
        <f t="shared" si="4"/>
        <v>192</v>
      </c>
      <c r="N16" s="8">
        <v>32</v>
      </c>
      <c r="O16" s="18">
        <f t="shared" si="5"/>
        <v>192</v>
      </c>
      <c r="P16" s="20">
        <f t="shared" si="6"/>
        <v>768</v>
      </c>
      <c r="Q16" s="14" t="s">
        <v>36</v>
      </c>
      <c r="R16" s="63">
        <v>0.24</v>
      </c>
      <c r="S16" s="69">
        <f t="shared" si="7"/>
        <v>0.252</v>
      </c>
      <c r="T16" s="69">
        <f t="shared" si="0"/>
        <v>193.536</v>
      </c>
      <c r="U16" s="69">
        <v>0</v>
      </c>
      <c r="V16" s="73">
        <f>S16*F24</f>
        <v>58.212000000000003</v>
      </c>
      <c r="W16" s="73">
        <f>U16*F27</f>
        <v>0</v>
      </c>
      <c r="X16" s="73">
        <f>S16*(F25+I26)</f>
        <v>55.695698924731182</v>
      </c>
      <c r="Y16" s="73">
        <f t="shared" si="8"/>
        <v>58.212000000000003</v>
      </c>
      <c r="Z16" s="73">
        <f t="shared" si="9"/>
        <v>113.90769892473119</v>
      </c>
      <c r="AA16" s="62">
        <f t="shared" si="10"/>
        <v>87481.112774193549</v>
      </c>
      <c r="AB16" s="62"/>
    </row>
    <row r="17" spans="2:28" x14ac:dyDescent="0.25">
      <c r="B17" s="22" t="s">
        <v>38</v>
      </c>
      <c r="C17" s="17" t="s">
        <v>40</v>
      </c>
      <c r="D17" s="24" t="s">
        <v>51</v>
      </c>
      <c r="E17" s="24" t="s">
        <v>4</v>
      </c>
      <c r="F17" s="70">
        <f t="shared" si="1"/>
        <v>85.430774193548388</v>
      </c>
      <c r="G17" s="6">
        <v>6</v>
      </c>
      <c r="H17" s="10">
        <v>32</v>
      </c>
      <c r="I17" s="19">
        <f t="shared" si="2"/>
        <v>192</v>
      </c>
      <c r="J17" s="8">
        <v>32</v>
      </c>
      <c r="K17" s="18">
        <f t="shared" si="3"/>
        <v>192</v>
      </c>
      <c r="L17" s="10">
        <v>32</v>
      </c>
      <c r="M17" s="19">
        <f t="shared" si="4"/>
        <v>192</v>
      </c>
      <c r="N17" s="8">
        <v>32</v>
      </c>
      <c r="O17" s="18">
        <f t="shared" si="5"/>
        <v>192</v>
      </c>
      <c r="P17" s="20">
        <f t="shared" si="6"/>
        <v>768</v>
      </c>
      <c r="Q17" s="14" t="s">
        <v>41</v>
      </c>
      <c r="R17" s="63">
        <v>0.18</v>
      </c>
      <c r="S17" s="69">
        <f t="shared" si="7"/>
        <v>0.189</v>
      </c>
      <c r="T17" s="69">
        <f t="shared" si="0"/>
        <v>145.15199999999999</v>
      </c>
      <c r="U17" s="69">
        <v>0</v>
      </c>
      <c r="V17" s="73">
        <f>S17*F24</f>
        <v>43.658999999999999</v>
      </c>
      <c r="W17" s="73">
        <f>U17*F27</f>
        <v>0</v>
      </c>
      <c r="X17" s="73">
        <f>S17*(F25+I26)</f>
        <v>41.771774193548389</v>
      </c>
      <c r="Y17" s="73">
        <f t="shared" si="8"/>
        <v>43.658999999999999</v>
      </c>
      <c r="Z17" s="73">
        <f t="shared" si="9"/>
        <v>85.430774193548388</v>
      </c>
      <c r="AA17" s="62">
        <f t="shared" si="10"/>
        <v>65610.834580645169</v>
      </c>
      <c r="AB17" s="62"/>
    </row>
    <row r="18" spans="2:28" x14ac:dyDescent="0.25">
      <c r="B18" s="22" t="s">
        <v>35</v>
      </c>
      <c r="C18" s="17" t="s">
        <v>34</v>
      </c>
      <c r="D18" s="3" t="s">
        <v>50</v>
      </c>
      <c r="E18" s="24" t="s">
        <v>4</v>
      </c>
      <c r="F18" s="70">
        <f t="shared" si="1"/>
        <v>128.1461612903226</v>
      </c>
      <c r="G18" s="6">
        <v>1</v>
      </c>
      <c r="H18" s="10">
        <v>32</v>
      </c>
      <c r="I18" s="19">
        <f t="shared" si="2"/>
        <v>32</v>
      </c>
      <c r="J18" s="8">
        <v>32</v>
      </c>
      <c r="K18" s="18">
        <f t="shared" si="3"/>
        <v>32</v>
      </c>
      <c r="L18" s="10">
        <v>32</v>
      </c>
      <c r="M18" s="19">
        <f t="shared" si="4"/>
        <v>32</v>
      </c>
      <c r="N18" s="8">
        <v>32</v>
      </c>
      <c r="O18" s="18">
        <f t="shared" si="5"/>
        <v>32</v>
      </c>
      <c r="P18" s="20">
        <f t="shared" si="6"/>
        <v>128</v>
      </c>
      <c r="Q18" s="14" t="s">
        <v>37</v>
      </c>
      <c r="R18" s="63">
        <v>0.27</v>
      </c>
      <c r="S18" s="69">
        <f t="shared" si="7"/>
        <v>0.28350000000000003</v>
      </c>
      <c r="T18" s="69">
        <f t="shared" si="0"/>
        <v>36.288000000000004</v>
      </c>
      <c r="U18" s="69">
        <v>0</v>
      </c>
      <c r="V18" s="73">
        <f>S18*F24</f>
        <v>65.488500000000002</v>
      </c>
      <c r="W18" s="73">
        <f>U18*F27</f>
        <v>0</v>
      </c>
      <c r="X18" s="73">
        <f>S18*(F25+I26)</f>
        <v>62.657661290322594</v>
      </c>
      <c r="Y18" s="73">
        <f t="shared" si="8"/>
        <v>65.488500000000002</v>
      </c>
      <c r="Z18" s="73">
        <f t="shared" si="9"/>
        <v>128.1461612903226</v>
      </c>
      <c r="AA18" s="62">
        <f t="shared" si="10"/>
        <v>16402.708645161292</v>
      </c>
      <c r="AB18" s="62"/>
    </row>
    <row r="19" spans="2:28" x14ac:dyDescent="0.25">
      <c r="B19" s="23" t="s">
        <v>39</v>
      </c>
      <c r="C19" s="17" t="s">
        <v>34</v>
      </c>
      <c r="D19" s="3" t="s">
        <v>50</v>
      </c>
      <c r="E19" s="24" t="s">
        <v>4</v>
      </c>
      <c r="F19" s="70">
        <f t="shared" si="1"/>
        <v>128.1461612903226</v>
      </c>
      <c r="G19" s="6">
        <v>1</v>
      </c>
      <c r="H19" s="10">
        <v>32</v>
      </c>
      <c r="I19" s="19">
        <f t="shared" si="2"/>
        <v>32</v>
      </c>
      <c r="J19" s="8">
        <v>32</v>
      </c>
      <c r="K19" s="18">
        <f t="shared" si="3"/>
        <v>32</v>
      </c>
      <c r="L19" s="10">
        <v>32</v>
      </c>
      <c r="M19" s="19">
        <f t="shared" si="4"/>
        <v>32</v>
      </c>
      <c r="N19" s="8">
        <v>32</v>
      </c>
      <c r="O19" s="18">
        <f t="shared" si="5"/>
        <v>32</v>
      </c>
      <c r="P19" s="20">
        <f t="shared" si="6"/>
        <v>128</v>
      </c>
      <c r="Q19" s="21" t="s">
        <v>42</v>
      </c>
      <c r="R19" s="63">
        <v>0.27</v>
      </c>
      <c r="S19" s="69">
        <f t="shared" si="7"/>
        <v>0.28350000000000003</v>
      </c>
      <c r="T19" s="69">
        <f t="shared" si="0"/>
        <v>36.288000000000004</v>
      </c>
      <c r="U19" s="69">
        <v>0</v>
      </c>
      <c r="V19" s="73">
        <f>S19*F24</f>
        <v>65.488500000000002</v>
      </c>
      <c r="W19" s="73">
        <f>U19*F27</f>
        <v>0</v>
      </c>
      <c r="X19" s="73">
        <f>S19*(F25+I26)</f>
        <v>62.657661290322594</v>
      </c>
      <c r="Y19" s="73">
        <f t="shared" si="8"/>
        <v>65.488500000000002</v>
      </c>
      <c r="Z19" s="73">
        <f t="shared" si="9"/>
        <v>128.1461612903226</v>
      </c>
      <c r="AA19" s="62">
        <f t="shared" si="10"/>
        <v>16402.708645161292</v>
      </c>
      <c r="AB19" s="62"/>
    </row>
    <row r="20" spans="2:28" ht="15.75" thickBot="1" x14ac:dyDescent="0.3">
      <c r="B20" s="25" t="s">
        <v>43</v>
      </c>
      <c r="C20" s="4" t="s">
        <v>44</v>
      </c>
      <c r="D20" s="5" t="s">
        <v>50</v>
      </c>
      <c r="E20" s="5" t="s">
        <v>4</v>
      </c>
      <c r="F20" s="70">
        <f t="shared" si="1"/>
        <v>166.11539426523296</v>
      </c>
      <c r="G20" s="7">
        <v>1</v>
      </c>
      <c r="H20" s="12">
        <v>32</v>
      </c>
      <c r="I20" s="13">
        <f t="shared" si="2"/>
        <v>32</v>
      </c>
      <c r="J20" s="9">
        <v>32</v>
      </c>
      <c r="K20" s="7">
        <f t="shared" si="3"/>
        <v>32</v>
      </c>
      <c r="L20" s="12">
        <v>32</v>
      </c>
      <c r="M20" s="13">
        <f t="shared" si="4"/>
        <v>32</v>
      </c>
      <c r="N20" s="9">
        <v>32</v>
      </c>
      <c r="O20" s="7">
        <f t="shared" si="5"/>
        <v>32</v>
      </c>
      <c r="P20" s="20">
        <f t="shared" si="6"/>
        <v>128</v>
      </c>
      <c r="Q20" s="15" t="s">
        <v>45</v>
      </c>
      <c r="R20" s="63">
        <v>0.35</v>
      </c>
      <c r="S20" s="69">
        <f t="shared" si="7"/>
        <v>0.36749999999999999</v>
      </c>
      <c r="T20" s="69">
        <f t="shared" si="0"/>
        <v>47.04</v>
      </c>
      <c r="U20" s="69">
        <v>0</v>
      </c>
      <c r="V20" s="73">
        <f>S20*F24</f>
        <v>84.892499999999998</v>
      </c>
      <c r="W20" s="73">
        <f>U20*F27</f>
        <v>0</v>
      </c>
      <c r="X20" s="73">
        <f>S20*(F25+I26)</f>
        <v>81.222894265232981</v>
      </c>
      <c r="Y20" s="73">
        <f t="shared" si="8"/>
        <v>84.892499999999998</v>
      </c>
      <c r="Z20" s="73">
        <f t="shared" si="9"/>
        <v>166.11539426523296</v>
      </c>
      <c r="AA20" s="62">
        <f t="shared" si="10"/>
        <v>21262.770465949819</v>
      </c>
      <c r="AB20" s="62"/>
    </row>
    <row r="21" spans="2:28" x14ac:dyDescent="0.25">
      <c r="P21" s="54">
        <f>SUM(P9:P20)</f>
        <v>6528</v>
      </c>
      <c r="S21" s="61"/>
      <c r="T21" s="69">
        <f>SUM(T9:T20)</f>
        <v>1874.8800000000003</v>
      </c>
      <c r="AA21" s="62">
        <f>SUM(AA9:AA20)</f>
        <v>926185.59999999986</v>
      </c>
    </row>
    <row r="22" spans="2:28" ht="15.75" thickBot="1" x14ac:dyDescent="0.3"/>
    <row r="23" spans="2:28" ht="30.75" thickBot="1" x14ac:dyDescent="0.3">
      <c r="B23" s="1"/>
      <c r="C23" s="47" t="s">
        <v>56</v>
      </c>
      <c r="D23" s="48" t="s">
        <v>57</v>
      </c>
      <c r="E23" s="48" t="s">
        <v>58</v>
      </c>
      <c r="F23" s="53" t="s">
        <v>59</v>
      </c>
      <c r="G23" s="54" t="s">
        <v>72</v>
      </c>
      <c r="H23" s="54" t="s">
        <v>74</v>
      </c>
      <c r="I23" s="1"/>
    </row>
    <row r="24" spans="2:28" ht="30" x14ac:dyDescent="0.25">
      <c r="B24" s="1"/>
      <c r="C24" s="50" t="s">
        <v>89</v>
      </c>
      <c r="D24" s="41" t="s">
        <v>68</v>
      </c>
      <c r="E24" s="51" t="s">
        <v>71</v>
      </c>
      <c r="F24" s="56">
        <v>231</v>
      </c>
      <c r="G24" s="57">
        <f>T21</f>
        <v>1874.8800000000003</v>
      </c>
      <c r="H24" s="55">
        <f>F24*G24</f>
        <v>433097.28000000009</v>
      </c>
      <c r="I24" s="1"/>
      <c r="J24" s="61"/>
    </row>
    <row r="25" spans="2:28" ht="30" x14ac:dyDescent="0.25">
      <c r="B25" s="1"/>
      <c r="C25" s="50" t="s">
        <v>90</v>
      </c>
      <c r="D25" s="41"/>
      <c r="E25" s="51" t="s">
        <v>91</v>
      </c>
      <c r="F25" s="56">
        <v>200</v>
      </c>
      <c r="G25" s="57">
        <f>G24</f>
        <v>1874.8800000000003</v>
      </c>
      <c r="H25" s="55">
        <f>F25*G25</f>
        <v>374976.00000000006</v>
      </c>
      <c r="I25" s="1"/>
      <c r="J25" s="61"/>
      <c r="R25">
        <f>0.15*10249</f>
        <v>1537.35</v>
      </c>
    </row>
    <row r="26" spans="2:28" x14ac:dyDescent="0.25">
      <c r="B26" s="1"/>
      <c r="C26" s="43" t="s">
        <v>60</v>
      </c>
      <c r="D26" s="42" t="s">
        <v>60</v>
      </c>
      <c r="E26" s="52" t="s">
        <v>73</v>
      </c>
      <c r="F26" s="58">
        <v>197</v>
      </c>
      <c r="G26" s="57">
        <v>200</v>
      </c>
      <c r="H26" s="55">
        <f>F26*G26</f>
        <v>39400</v>
      </c>
      <c r="I26" s="60">
        <f>H26/G24</f>
        <v>21.014678272742785</v>
      </c>
      <c r="J26" s="62"/>
    </row>
    <row r="27" spans="2:28" x14ac:dyDescent="0.25">
      <c r="B27" s="1"/>
      <c r="C27" s="43" t="s">
        <v>61</v>
      </c>
      <c r="D27" s="42" t="s">
        <v>69</v>
      </c>
      <c r="E27" s="42" t="s">
        <v>70</v>
      </c>
      <c r="F27" s="58">
        <v>10249</v>
      </c>
      <c r="G27" s="57">
        <v>10</v>
      </c>
      <c r="H27" s="55">
        <f>F27*G27</f>
        <v>102490</v>
      </c>
      <c r="I27" s="1"/>
    </row>
    <row r="28" spans="2:28" ht="15.75" thickBot="1" x14ac:dyDescent="0.3">
      <c r="B28" s="1"/>
      <c r="C28" s="44"/>
      <c r="D28" s="45"/>
      <c r="E28" s="45"/>
      <c r="F28" s="46"/>
      <c r="G28" s="1"/>
      <c r="H28" s="60">
        <f>SUM(H24:H27)</f>
        <v>949963.28000000014</v>
      </c>
      <c r="I28" s="1"/>
    </row>
    <row r="29" spans="2:28" ht="15.75" thickBot="1" x14ac:dyDescent="0.3">
      <c r="B29" s="1"/>
      <c r="C29" s="40"/>
      <c r="D29" s="40"/>
      <c r="E29" s="40"/>
      <c r="F29" s="40"/>
      <c r="G29" s="1"/>
      <c r="H29" s="1"/>
      <c r="I29" s="1"/>
    </row>
    <row r="30" spans="2:28" ht="30.75" thickBot="1" x14ac:dyDescent="0.3">
      <c r="B30" s="1"/>
      <c r="C30" s="47" t="s">
        <v>62</v>
      </c>
      <c r="D30" s="48" t="s">
        <v>63</v>
      </c>
      <c r="E30" s="49" t="s">
        <v>64</v>
      </c>
      <c r="F30" s="74" t="s">
        <v>65</v>
      </c>
      <c r="G30" s="78" t="s">
        <v>103</v>
      </c>
      <c r="I30" s="1"/>
    </row>
    <row r="31" spans="2:28" x14ac:dyDescent="0.25">
      <c r="B31" s="1"/>
      <c r="C31" s="50" t="s">
        <v>66</v>
      </c>
      <c r="D31" s="41" t="s">
        <v>75</v>
      </c>
      <c r="E31" s="41" t="s">
        <v>76</v>
      </c>
      <c r="F31" s="75"/>
      <c r="G31" s="2" t="s">
        <v>106</v>
      </c>
      <c r="H31" s="1"/>
      <c r="I31" s="1"/>
    </row>
    <row r="32" spans="2:28" x14ac:dyDescent="0.25">
      <c r="B32" s="1"/>
      <c r="C32" s="43" t="s">
        <v>67</v>
      </c>
      <c r="D32" s="41" t="s">
        <v>75</v>
      </c>
      <c r="E32" s="41" t="s">
        <v>76</v>
      </c>
      <c r="F32" s="76"/>
      <c r="G32" s="2" t="s">
        <v>107</v>
      </c>
      <c r="H32" s="1"/>
      <c r="I32" s="1"/>
    </row>
    <row r="33" spans="2:9" x14ac:dyDescent="0.25">
      <c r="B33" s="1"/>
      <c r="C33" s="43" t="s">
        <v>105</v>
      </c>
      <c r="D33" s="41" t="s">
        <v>75</v>
      </c>
      <c r="E33" s="41" t="s">
        <v>76</v>
      </c>
      <c r="F33" s="76"/>
      <c r="G33" s="2" t="s">
        <v>108</v>
      </c>
      <c r="H33" s="1"/>
      <c r="I33" s="1"/>
    </row>
    <row r="34" spans="2:9" ht="15.75" thickBot="1" x14ac:dyDescent="0.3">
      <c r="B34" s="1"/>
      <c r="C34" s="44" t="s">
        <v>104</v>
      </c>
      <c r="D34" s="41" t="s">
        <v>75</v>
      </c>
      <c r="E34" s="41" t="s">
        <v>76</v>
      </c>
      <c r="F34" s="77"/>
      <c r="G34" s="2" t="s">
        <v>109</v>
      </c>
      <c r="H34" s="1"/>
      <c r="I34" s="1"/>
    </row>
    <row r="35" spans="2:9" x14ac:dyDescent="0.25">
      <c r="B35" s="1"/>
      <c r="C35" s="1"/>
      <c r="D35" s="1"/>
      <c r="E35" s="1"/>
      <c r="F35" s="1"/>
      <c r="G35" s="1"/>
      <c r="H35" s="1"/>
      <c r="I35" s="1"/>
    </row>
    <row r="36" spans="2:9" x14ac:dyDescent="0.25">
      <c r="B36" s="1" t="s">
        <v>77</v>
      </c>
      <c r="C36" s="59" t="s">
        <v>78</v>
      </c>
      <c r="D36" s="1"/>
      <c r="E36" s="1"/>
      <c r="F36" s="1"/>
      <c r="G36" s="1"/>
      <c r="H36" s="1"/>
      <c r="I36" s="1"/>
    </row>
    <row r="37" spans="2:9" x14ac:dyDescent="0.25">
      <c r="B37" s="1"/>
      <c r="C37" s="59" t="s">
        <v>88</v>
      </c>
      <c r="D37" s="1"/>
      <c r="E37" s="1"/>
      <c r="F37" s="1"/>
      <c r="G37" s="1"/>
      <c r="H37" s="1"/>
      <c r="I37" s="1"/>
    </row>
    <row r="38" spans="2:9" x14ac:dyDescent="0.25">
      <c r="B38" s="1"/>
      <c r="C38" s="59" t="s">
        <v>79</v>
      </c>
      <c r="D38" s="1"/>
      <c r="E38" s="1"/>
      <c r="F38" s="1"/>
      <c r="G38" s="1"/>
      <c r="H38" s="1"/>
      <c r="I38" s="1"/>
    </row>
    <row r="39" spans="2:9" x14ac:dyDescent="0.25">
      <c r="B39" s="1"/>
      <c r="C39" s="59" t="s">
        <v>80</v>
      </c>
      <c r="D39" s="1"/>
      <c r="E39" s="1"/>
      <c r="F39" s="1"/>
      <c r="G39" s="1"/>
      <c r="H39" s="1"/>
      <c r="I39" s="1"/>
    </row>
    <row r="40" spans="2:9" x14ac:dyDescent="0.25">
      <c r="B40" s="1"/>
      <c r="C40" s="71" t="s">
        <v>86</v>
      </c>
      <c r="D40" s="1"/>
      <c r="E40" s="1"/>
      <c r="F40" s="1"/>
      <c r="G40" s="1"/>
      <c r="H40" s="1"/>
      <c r="I40" s="1"/>
    </row>
    <row r="41" spans="2:9" x14ac:dyDescent="0.25">
      <c r="B41" s="1"/>
      <c r="C41" s="71" t="s">
        <v>87</v>
      </c>
      <c r="D41" s="1"/>
      <c r="E41" s="1"/>
      <c r="F41" s="1"/>
      <c r="G41" s="1"/>
      <c r="H41" s="1"/>
      <c r="I41" s="1"/>
    </row>
    <row r="42" spans="2:9" x14ac:dyDescent="0.25">
      <c r="B42" s="1"/>
      <c r="C42" s="1"/>
      <c r="D42" s="1"/>
      <c r="E42" s="1"/>
      <c r="F42" s="1"/>
      <c r="G42" s="1"/>
      <c r="H42" s="1"/>
      <c r="I42" s="1"/>
    </row>
    <row r="43" spans="2:9" x14ac:dyDescent="0.25">
      <c r="B43" s="1"/>
      <c r="C43" s="72" t="s">
        <v>101</v>
      </c>
      <c r="D43" s="1"/>
      <c r="E43" s="1"/>
      <c r="F43" s="1"/>
      <c r="G43" s="1"/>
      <c r="H43" s="1"/>
      <c r="I43" s="1"/>
    </row>
    <row r="44" spans="2:9" x14ac:dyDescent="0.25">
      <c r="B44" s="1"/>
      <c r="C44" s="72" t="s">
        <v>100</v>
      </c>
      <c r="D44" s="1"/>
      <c r="E44" s="1"/>
      <c r="F44" s="1"/>
      <c r="G44" s="1"/>
      <c r="H44" s="1"/>
      <c r="I44" s="1"/>
    </row>
    <row r="45" spans="2:9" x14ac:dyDescent="0.25">
      <c r="C45" s="72" t="s">
        <v>99</v>
      </c>
    </row>
    <row r="46" spans="2:9" x14ac:dyDescent="0.25">
      <c r="C46" s="72" t="s">
        <v>102</v>
      </c>
    </row>
    <row r="47" spans="2:9" x14ac:dyDescent="0.25">
      <c r="C47" s="72" t="s">
        <v>98</v>
      </c>
    </row>
  </sheetData>
  <mergeCells count="26">
    <mergeCell ref="J6:K6"/>
    <mergeCell ref="L6:M6"/>
    <mergeCell ref="N6:O6"/>
    <mergeCell ref="D5:D7"/>
    <mergeCell ref="F5:F7"/>
    <mergeCell ref="B5:B7"/>
    <mergeCell ref="C5:C7"/>
    <mergeCell ref="E5:E7"/>
    <mergeCell ref="G5:G7"/>
    <mergeCell ref="H6:I6"/>
    <mergeCell ref="W6:W7"/>
    <mergeCell ref="X6:X7"/>
    <mergeCell ref="Y6:Y7"/>
    <mergeCell ref="Z6:Z7"/>
    <mergeCell ref="M1:P1"/>
    <mergeCell ref="S5:Z5"/>
    <mergeCell ref="R6:R7"/>
    <mergeCell ref="S6:S7"/>
    <mergeCell ref="T6:T7"/>
    <mergeCell ref="U6:U7"/>
    <mergeCell ref="V6:V7"/>
    <mergeCell ref="B2:P3"/>
    <mergeCell ref="Q2:Q3"/>
    <mergeCell ref="H5:O5"/>
    <mergeCell ref="P5:P7"/>
    <mergeCell ref="Q5:Q7"/>
  </mergeCells>
  <pageMargins left="0.7" right="0.7" top="0.75" bottom="0.75" header="0.3" footer="0.3"/>
  <pageSetup paperSize="9" scale="65" orientation="landscape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H9:S17"/>
  <sheetViews>
    <sheetView tabSelected="1" workbookViewId="0">
      <selection activeCell="S18" sqref="S18"/>
    </sheetView>
  </sheetViews>
  <sheetFormatPr defaultRowHeight="15" x14ac:dyDescent="0.25"/>
  <sheetData>
    <row r="9" spans="8:19" x14ac:dyDescent="0.25">
      <c r="L9" t="s">
        <v>110</v>
      </c>
      <c r="M9" t="s">
        <v>111</v>
      </c>
    </row>
    <row r="10" spans="8:19" x14ac:dyDescent="0.25">
      <c r="L10">
        <f>3.142*(10*10)</f>
        <v>314.2</v>
      </c>
      <c r="M10">
        <f>3.142*(7.5*7.5)</f>
        <v>176.73749999999998</v>
      </c>
    </row>
    <row r="12" spans="8:19" x14ac:dyDescent="0.25">
      <c r="H12">
        <f>3.142*15*4*2</f>
        <v>377.03999999999996</v>
      </c>
      <c r="L12">
        <f>L10-M10</f>
        <v>137.46250000000001</v>
      </c>
    </row>
    <row r="13" spans="8:19" x14ac:dyDescent="0.25">
      <c r="H13">
        <f>H12/25</f>
        <v>15.081599999999998</v>
      </c>
      <c r="L13">
        <f>L12*2.5*2</f>
        <v>687.3125</v>
      </c>
    </row>
    <row r="14" spans="8:19" x14ac:dyDescent="0.25">
      <c r="H14">
        <f>H13/100</f>
        <v>0.15081599999999998</v>
      </c>
      <c r="L14">
        <f>L13/310</f>
        <v>2.2171370967741937</v>
      </c>
    </row>
    <row r="15" spans="8:19" x14ac:dyDescent="0.25">
      <c r="H15">
        <f>H14*100</f>
        <v>15.081599999999998</v>
      </c>
      <c r="P15">
        <f>L14*(200+21.01)</f>
        <v>490.00946975806454</v>
      </c>
    </row>
    <row r="16" spans="8:19" x14ac:dyDescent="0.25">
      <c r="P16">
        <f>L14*231</f>
        <v>512.15866935483871</v>
      </c>
      <c r="S16">
        <f>1537.35+P16</f>
        <v>2049.5086693548387</v>
      </c>
    </row>
    <row r="17" spans="19:19" x14ac:dyDescent="0.25">
      <c r="S17">
        <f>S16+P15</f>
        <v>2539.5181391129031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2022-05-12T04:52:04Z</dcterms:modified>
</cp:coreProperties>
</file>