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petronas-my.sharepoint.com/personal/mnabielizzuddin_radz_petronas_com/Documents/Reservoir Engineering/EOR ATLAS/"/>
    </mc:Choice>
  </mc:AlternateContent>
  <xr:revisionPtr revIDLastSave="59" documentId="8_{AABD9397-4EFE-4B7C-8D86-4E9C93F4AFA1}" xr6:coauthVersionLast="47" xr6:coauthVersionMax="47" xr10:uidLastSave="{F7606212-ECDC-4ADD-94C1-D9EE067720D7}"/>
  <bookViews>
    <workbookView xWindow="22932" yWindow="-108" windowWidth="23256" windowHeight="12456" xr2:uid="{00000000-000D-0000-FFFF-FFFF00000000}"/>
  </bookViews>
  <sheets>
    <sheet name="Coreflood Summary" sheetId="32" r:id="rId1"/>
    <sheet name="map" sheetId="31" r:id="rId2"/>
    <sheet name="Adsorption" sheetId="18" r:id="rId3"/>
    <sheet name="UserGuide" sheetId="10" r:id="rId4"/>
    <sheet name="InputData" sheetId="1" r:id="rId5"/>
    <sheet name="Screening" sheetId="2" r:id="rId6"/>
    <sheet name="Ranking" sheetId="3" r:id="rId7"/>
    <sheet name="RF_EUR_Ranges" sheetId="4" r:id="rId8"/>
    <sheet name="Summary" sheetId="5" r:id="rId9"/>
    <sheet name="ScenarioControls" sheetId="6" r:id="rId10"/>
    <sheet name="Criteria" sheetId="7" r:id="rId11"/>
    <sheet name="References_2026" sheetId="8" r:id="rId12"/>
    <sheet name="Lists" sheetId="9" r:id="rId13"/>
    <sheet name="EOR_Data Gathering" sheetId="11" r:id="rId14"/>
    <sheet name="Coreflood" sheetId="16" r:id="rId15"/>
    <sheet name="Sheet1" sheetId="15" r:id="rId16"/>
    <sheet name="Challenges" sheetId="17" r:id="rId17"/>
    <sheet name="Vis_Shear" sheetId="19" r:id="rId18"/>
    <sheet name="Thermal" sheetId="20" r:id="rId19"/>
    <sheet name="Screening_Parameters" sheetId="21" r:id="rId20"/>
    <sheet name="Table_3_2_Peninsular_Msia" sheetId="22" r:id="rId21"/>
    <sheet name="Tidy_All" sheetId="23" r:id="rId22"/>
    <sheet name="Phase_Points" sheetId="24" r:id="rId23"/>
    <sheet name="Phase Behavior Results" sheetId="25" r:id="rId24"/>
    <sheet name="IFT_poly_F" sheetId="30" r:id="rId25"/>
    <sheet name="IFT_sur_F" sheetId="26" r:id="rId26"/>
    <sheet name="PB_2003" sheetId="27" r:id="rId27"/>
    <sheet name="PB_2013_A" sheetId="28" r:id="rId28"/>
    <sheet name="PB_2013_S" sheetId="29" r:id="rId29"/>
  </sheets>
  <externalReferences>
    <externalReference r:id="rId30"/>
  </externalReferences>
  <definedNames>
    <definedName name="_xlnm._FilterDatabase" localSheetId="1" hidden="1">map!$A$1:$G$39</definedName>
    <definedName name="YES" localSheetId="13">'EOR_Data Gathering'!$D$44</definedName>
    <definedName name="YE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8" i="21" l="1"/>
  <c r="P37" i="21"/>
  <c r="P36" i="21"/>
  <c r="P35" i="21"/>
  <c r="P34" i="21"/>
  <c r="P33" i="21"/>
  <c r="P32" i="21"/>
  <c r="P31" i="21"/>
  <c r="P30" i="21"/>
  <c r="P29" i="21"/>
  <c r="P28" i="21"/>
  <c r="P27" i="21"/>
  <c r="P26" i="21"/>
  <c r="P25" i="21"/>
  <c r="P24" i="21"/>
  <c r="P23" i="21"/>
  <c r="P22" i="21"/>
  <c r="P21" i="21"/>
  <c r="P20" i="21"/>
  <c r="P19" i="21"/>
  <c r="P18" i="21"/>
  <c r="P17" i="21"/>
  <c r="P16" i="21"/>
  <c r="P15" i="21"/>
  <c r="P14" i="21"/>
  <c r="P13" i="21"/>
  <c r="P12" i="21"/>
  <c r="P11" i="21"/>
  <c r="P10" i="21"/>
  <c r="P9" i="21"/>
  <c r="P8" i="21"/>
  <c r="P7" i="21"/>
  <c r="P6" i="21"/>
  <c r="AE20" i="16"/>
  <c r="AE19" i="16"/>
  <c r="AE18" i="16"/>
  <c r="AE17" i="16"/>
  <c r="AE16" i="16"/>
  <c r="AE15" i="16"/>
  <c r="AE14" i="16"/>
  <c r="AE13" i="16"/>
  <c r="AE12" i="16"/>
  <c r="AE11" i="16"/>
  <c r="AE10" i="16"/>
  <c r="AB10" i="16"/>
  <c r="T10" i="16"/>
  <c r="H10" i="16"/>
  <c r="C10" i="16"/>
  <c r="AE9" i="16"/>
  <c r="AB9" i="16"/>
  <c r="U9" i="16"/>
  <c r="H9" i="16"/>
  <c r="C9" i="16"/>
  <c r="AE8" i="16"/>
  <c r="AB8" i="16"/>
  <c r="T8" i="16"/>
  <c r="H8" i="16"/>
  <c r="C8" i="16"/>
  <c r="AE7" i="16"/>
  <c r="AB7" i="16"/>
  <c r="T7" i="16"/>
  <c r="H7" i="16"/>
  <c r="C7" i="16"/>
  <c r="A14" i="4" l="1"/>
  <c r="A13" i="4"/>
  <c r="A12" i="4"/>
  <c r="A11" i="4"/>
  <c r="A10" i="4"/>
  <c r="A9" i="4"/>
  <c r="A8" i="4"/>
  <c r="A7" i="4"/>
  <c r="A6" i="4"/>
  <c r="A5" i="4"/>
  <c r="A4" i="4"/>
  <c r="A3" i="4"/>
  <c r="A2" i="4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14" i="2" l="1"/>
  <c r="B14" i="2"/>
  <c r="E14" i="2" s="1"/>
  <c r="C11" i="2"/>
  <c r="C6" i="2"/>
  <c r="B3" i="2"/>
  <c r="E3" i="2" s="1"/>
  <c r="G3" i="2" s="1"/>
  <c r="J3" i="4" s="1"/>
  <c r="K3" i="4" s="1"/>
  <c r="L3" i="4" s="1"/>
  <c r="B10" i="2"/>
  <c r="E10" i="2" s="1"/>
  <c r="F13" i="1" s="1"/>
  <c r="C4" i="2"/>
  <c r="B8" i="2"/>
  <c r="E8" i="2" s="1"/>
  <c r="F8" i="2" s="1"/>
  <c r="G11" i="1" s="1"/>
  <c r="C8" i="2"/>
  <c r="B9" i="2"/>
  <c r="D9" i="2" s="1"/>
  <c r="H12" i="1" s="1"/>
  <c r="C9" i="2"/>
  <c r="C10" i="2"/>
  <c r="B11" i="2"/>
  <c r="B7" i="2"/>
  <c r="B12" i="2"/>
  <c r="E12" i="2" s="1"/>
  <c r="F15" i="1" s="1"/>
  <c r="C12" i="2"/>
  <c r="B2" i="2"/>
  <c r="E2" i="2" s="1"/>
  <c r="B2" i="4" s="1"/>
  <c r="B13" i="2"/>
  <c r="E13" i="2" s="1"/>
  <c r="B13" i="4" s="1"/>
  <c r="C2" i="2"/>
  <c r="C13" i="2"/>
  <c r="C3" i="2"/>
  <c r="B4" i="2"/>
  <c r="E4" i="2" s="1"/>
  <c r="B6" i="2"/>
  <c r="C7" i="2"/>
  <c r="B5" i="2"/>
  <c r="C5" i="2"/>
  <c r="D10" i="2"/>
  <c r="H13" i="1" s="1"/>
  <c r="I6" i="1" l="1"/>
  <c r="F3" i="2"/>
  <c r="B3" i="4"/>
  <c r="F6" i="1"/>
  <c r="D3" i="4"/>
  <c r="E3" i="4" s="1"/>
  <c r="F3" i="4" s="1"/>
  <c r="B10" i="4"/>
  <c r="G10" i="2"/>
  <c r="I13" i="1" s="1"/>
  <c r="D14" i="2"/>
  <c r="H17" i="1" s="1"/>
  <c r="H3" i="2"/>
  <c r="I3" i="2" s="1"/>
  <c r="G3" i="4"/>
  <c r="H3" i="4" s="1"/>
  <c r="I3" i="4" s="1"/>
  <c r="J6" i="1" s="1"/>
  <c r="D3" i="2"/>
  <c r="H6" i="1" s="1"/>
  <c r="F5" i="1"/>
  <c r="D2" i="2"/>
  <c r="H5" i="1" s="1"/>
  <c r="D13" i="2"/>
  <c r="H16" i="1" s="1"/>
  <c r="F13" i="2"/>
  <c r="G16" i="1" s="1"/>
  <c r="F2" i="2"/>
  <c r="C2" i="4" s="1"/>
  <c r="G2" i="2"/>
  <c r="J2" i="4" s="1"/>
  <c r="K2" i="4" s="1"/>
  <c r="L2" i="4" s="1"/>
  <c r="F10" i="2"/>
  <c r="G13" i="1" s="1"/>
  <c r="G13" i="2"/>
  <c r="I16" i="1" s="1"/>
  <c r="F16" i="1"/>
  <c r="E7" i="2"/>
  <c r="F7" i="2" s="1"/>
  <c r="D4" i="2"/>
  <c r="H7" i="1" s="1"/>
  <c r="D8" i="2"/>
  <c r="H11" i="1" s="1"/>
  <c r="D12" i="2"/>
  <c r="H15" i="1" s="1"/>
  <c r="G8" i="2"/>
  <c r="D8" i="4" s="1"/>
  <c r="E8" i="4" s="1"/>
  <c r="F8" i="4" s="1"/>
  <c r="E9" i="2"/>
  <c r="G9" i="2" s="1"/>
  <c r="F11" i="1"/>
  <c r="C8" i="4"/>
  <c r="F12" i="2"/>
  <c r="B8" i="4"/>
  <c r="G12" i="2"/>
  <c r="D12" i="4" s="1"/>
  <c r="E12" i="4" s="1"/>
  <c r="F12" i="4" s="1"/>
  <c r="D7" i="2"/>
  <c r="H10" i="1" s="1"/>
  <c r="D11" i="2"/>
  <c r="H14" i="1" s="1"/>
  <c r="E11" i="2"/>
  <c r="B12" i="4"/>
  <c r="C12" i="4"/>
  <c r="G15" i="1"/>
  <c r="G6" i="1"/>
  <c r="C3" i="4"/>
  <c r="F17" i="1"/>
  <c r="F14" i="2"/>
  <c r="B14" i="4"/>
  <c r="G14" i="2"/>
  <c r="E6" i="2"/>
  <c r="D6" i="2"/>
  <c r="H9" i="1" s="1"/>
  <c r="J10" i="4"/>
  <c r="K10" i="4" s="1"/>
  <c r="L10" i="4" s="1"/>
  <c r="D10" i="4"/>
  <c r="E10" i="4" s="1"/>
  <c r="F10" i="4" s="1"/>
  <c r="H10" i="2"/>
  <c r="I10" i="2" s="1"/>
  <c r="E5" i="2"/>
  <c r="D5" i="2"/>
  <c r="H8" i="1" s="1"/>
  <c r="F7" i="1"/>
  <c r="B4" i="4"/>
  <c r="G4" i="2"/>
  <c r="F4" i="2"/>
  <c r="G10" i="4" l="1"/>
  <c r="H10" i="4" s="1"/>
  <c r="I10" i="4" s="1"/>
  <c r="J13" i="1" s="1"/>
  <c r="H2" i="2"/>
  <c r="I2" i="2" s="1"/>
  <c r="J12" i="4"/>
  <c r="K12" i="4" s="1"/>
  <c r="L12" i="4" s="1"/>
  <c r="H12" i="2"/>
  <c r="I12" i="2" s="1"/>
  <c r="B7" i="4"/>
  <c r="F10" i="1"/>
  <c r="G13" i="4"/>
  <c r="H13" i="4" s="1"/>
  <c r="I13" i="4" s="1"/>
  <c r="J16" i="1" s="1"/>
  <c r="D13" i="4"/>
  <c r="E13" i="4" s="1"/>
  <c r="F13" i="4" s="1"/>
  <c r="C10" i="4"/>
  <c r="C13" i="4"/>
  <c r="G2" i="4"/>
  <c r="H2" i="4" s="1"/>
  <c r="I2" i="4" s="1"/>
  <c r="J5" i="1" s="1"/>
  <c r="H13" i="2"/>
  <c r="I13" i="2" s="1"/>
  <c r="J13" i="4"/>
  <c r="K13" i="4" s="1"/>
  <c r="L13" i="4" s="1"/>
  <c r="G5" i="1"/>
  <c r="D2" i="4"/>
  <c r="E2" i="4" s="1"/>
  <c r="F2" i="4" s="1"/>
  <c r="I5" i="1"/>
  <c r="I15" i="1"/>
  <c r="G7" i="2"/>
  <c r="J7" i="4" s="1"/>
  <c r="K7" i="4" s="1"/>
  <c r="L7" i="4" s="1"/>
  <c r="H8" i="2"/>
  <c r="I8" i="2" s="1"/>
  <c r="J8" i="4"/>
  <c r="K8" i="4" s="1"/>
  <c r="L8" i="4" s="1"/>
  <c r="G8" i="4"/>
  <c r="H8" i="4" s="1"/>
  <c r="I8" i="4" s="1"/>
  <c r="J11" i="1" s="1"/>
  <c r="F12" i="1"/>
  <c r="I11" i="1"/>
  <c r="C14" i="3"/>
  <c r="B14" i="3" s="1"/>
  <c r="D14" i="3" s="1"/>
  <c r="B11" i="4"/>
  <c r="F14" i="1"/>
  <c r="G11" i="2"/>
  <c r="F11" i="2"/>
  <c r="C8" i="3"/>
  <c r="B8" i="3" s="1"/>
  <c r="E8" i="3" s="1"/>
  <c r="F9" i="2"/>
  <c r="C9" i="4" s="1"/>
  <c r="C10" i="3"/>
  <c r="B10" i="3" s="1"/>
  <c r="E10" i="3" s="1"/>
  <c r="B9" i="4"/>
  <c r="C9" i="3"/>
  <c r="B9" i="3" s="1"/>
  <c r="D9" i="3" s="1"/>
  <c r="C11" i="3"/>
  <c r="B11" i="3" s="1"/>
  <c r="E11" i="3" s="1"/>
  <c r="C12" i="3"/>
  <c r="B12" i="3" s="1"/>
  <c r="D12" i="3" s="1"/>
  <c r="C5" i="3"/>
  <c r="B5" i="3" s="1"/>
  <c r="E5" i="3" s="1"/>
  <c r="C7" i="3"/>
  <c r="B7" i="3" s="1"/>
  <c r="D7" i="3" s="1"/>
  <c r="C6" i="3"/>
  <c r="B6" i="3" s="1"/>
  <c r="E6" i="3" s="1"/>
  <c r="C2" i="3"/>
  <c r="B2" i="3" s="1"/>
  <c r="G12" i="4"/>
  <c r="H12" i="4" s="1"/>
  <c r="I12" i="4" s="1"/>
  <c r="J15" i="1" s="1"/>
  <c r="G10" i="1"/>
  <c r="C7" i="4"/>
  <c r="C4" i="4"/>
  <c r="G7" i="1"/>
  <c r="G5" i="2"/>
  <c r="F5" i="2"/>
  <c r="B5" i="4"/>
  <c r="F8" i="1"/>
  <c r="G9" i="4"/>
  <c r="H9" i="4" s="1"/>
  <c r="I9" i="4" s="1"/>
  <c r="J12" i="1" s="1"/>
  <c r="I12" i="1"/>
  <c r="D9" i="4"/>
  <c r="E9" i="4" s="1"/>
  <c r="F9" i="4" s="1"/>
  <c r="H9" i="2"/>
  <c r="I9" i="2" s="1"/>
  <c r="J9" i="4"/>
  <c r="K9" i="4" s="1"/>
  <c r="L9" i="4" s="1"/>
  <c r="C14" i="4"/>
  <c r="G17" i="1"/>
  <c r="G4" i="4"/>
  <c r="H4" i="4" s="1"/>
  <c r="I4" i="4" s="1"/>
  <c r="J7" i="1" s="1"/>
  <c r="H4" i="2"/>
  <c r="I4" i="2" s="1"/>
  <c r="D4" i="4"/>
  <c r="E4" i="4" s="1"/>
  <c r="F4" i="4" s="1"/>
  <c r="J4" i="4"/>
  <c r="K4" i="4" s="1"/>
  <c r="L4" i="4" s="1"/>
  <c r="I7" i="1"/>
  <c r="C13" i="3"/>
  <c r="B13" i="3" s="1"/>
  <c r="C3" i="3"/>
  <c r="B3" i="3" s="1"/>
  <c r="C4" i="3"/>
  <c r="B4" i="3" s="1"/>
  <c r="B6" i="4"/>
  <c r="F9" i="1"/>
  <c r="F6" i="2"/>
  <c r="G6" i="2"/>
  <c r="G14" i="4"/>
  <c r="H14" i="4" s="1"/>
  <c r="I14" i="4" s="1"/>
  <c r="J17" i="1" s="1"/>
  <c r="H14" i="2"/>
  <c r="I14" i="2" s="1"/>
  <c r="D14" i="4"/>
  <c r="E14" i="4" s="1"/>
  <c r="F14" i="4" s="1"/>
  <c r="I17" i="1"/>
  <c r="J14" i="4"/>
  <c r="K14" i="4" s="1"/>
  <c r="L14" i="4" s="1"/>
  <c r="G6" i="4" l="1"/>
  <c r="H6" i="4" s="1"/>
  <c r="D6" i="4"/>
  <c r="H7" i="2"/>
  <c r="I7" i="2" s="1"/>
  <c r="I10" i="1"/>
  <c r="G7" i="4"/>
  <c r="H7" i="4" s="1"/>
  <c r="I7" i="4" s="1"/>
  <c r="J10" i="1" s="1"/>
  <c r="D7" i="4"/>
  <c r="E7" i="4" s="1"/>
  <c r="F7" i="4" s="1"/>
  <c r="E9" i="3"/>
  <c r="G12" i="1"/>
  <c r="E14" i="3"/>
  <c r="B4" i="5"/>
  <c r="D10" i="3"/>
  <c r="E7" i="3"/>
  <c r="E12" i="3"/>
  <c r="D5" i="3"/>
  <c r="D6" i="3"/>
  <c r="D11" i="3"/>
  <c r="C11" i="4"/>
  <c r="G14" i="1"/>
  <c r="G11" i="4"/>
  <c r="H11" i="4" s="1"/>
  <c r="I11" i="4" s="1"/>
  <c r="J14" i="1" s="1"/>
  <c r="J11" i="4"/>
  <c r="K11" i="4" s="1"/>
  <c r="L11" i="4" s="1"/>
  <c r="D11" i="4"/>
  <c r="E11" i="4" s="1"/>
  <c r="F11" i="4" s="1"/>
  <c r="H11" i="2"/>
  <c r="I11" i="2" s="1"/>
  <c r="I14" i="1"/>
  <c r="D8" i="3"/>
  <c r="E2" i="3"/>
  <c r="B6" i="5" s="1"/>
  <c r="F21" i="1" s="1"/>
  <c r="D2" i="3"/>
  <c r="B5" i="5" s="1"/>
  <c r="F20" i="1" s="1"/>
  <c r="B3" i="5"/>
  <c r="C5" i="4"/>
  <c r="G8" i="1"/>
  <c r="D4" i="3"/>
  <c r="E4" i="3"/>
  <c r="E6" i="4"/>
  <c r="F6" i="4" s="1"/>
  <c r="I9" i="1"/>
  <c r="H6" i="2"/>
  <c r="I6" i="2" s="1"/>
  <c r="I6" i="4"/>
  <c r="J9" i="1" s="1"/>
  <c r="J6" i="4"/>
  <c r="K6" i="4" s="1"/>
  <c r="L6" i="4" s="1"/>
  <c r="G5" i="4"/>
  <c r="H5" i="4" s="1"/>
  <c r="I5" i="4" s="1"/>
  <c r="J8" i="1" s="1"/>
  <c r="J5" i="4"/>
  <c r="K5" i="4" s="1"/>
  <c r="L5" i="4" s="1"/>
  <c r="H5" i="2"/>
  <c r="I5" i="2" s="1"/>
  <c r="I8" i="1"/>
  <c r="D5" i="4"/>
  <c r="E5" i="4" s="1"/>
  <c r="F5" i="4" s="1"/>
  <c r="C6" i="4"/>
  <c r="G9" i="1"/>
  <c r="E13" i="3"/>
  <c r="D13" i="3"/>
  <c r="E3" i="3"/>
  <c r="D3" i="3"/>
  <c r="B32" i="5" l="1"/>
  <c r="B31" i="5"/>
  <c r="F22" i="1" s="1"/>
  <c r="B24" i="5"/>
  <c r="B20" i="5"/>
  <c r="B30" i="5"/>
  <c r="B27" i="5"/>
  <c r="B26" i="5"/>
  <c r="B22" i="5"/>
  <c r="B21" i="5"/>
  <c r="B28" i="5"/>
  <c r="B23" i="5"/>
  <c r="F19" i="1"/>
  <c r="B19" i="5"/>
</calcChain>
</file>

<file path=xl/sharedStrings.xml><?xml version="1.0" encoding="utf-8"?>
<sst xmlns="http://schemas.openxmlformats.org/spreadsheetml/2006/main" count="5361" uniqueCount="1113">
  <si>
    <t>EOR Screening Tool 2026 – Input Data + Live Summary</t>
  </si>
  <si>
    <t>Parameter</t>
  </si>
  <si>
    <t>Value</t>
  </si>
  <si>
    <t>Unit / Notes</t>
  </si>
  <si>
    <t>Screening Summary (Live)</t>
  </si>
  <si>
    <t>Depth</t>
  </si>
  <si>
    <t>ft; True vertical depth of reservoir</t>
  </si>
  <si>
    <t>EOR Type</t>
  </si>
  <si>
    <t>Status</t>
  </si>
  <si>
    <t>Suitability</t>
  </si>
  <si>
    <t>Score (%)</t>
  </si>
  <si>
    <t>ΔRF_EOR (%)</t>
  </si>
  <si>
    <t>EUR P50 (MMstb)</t>
  </si>
  <si>
    <t>Reservoir Pressure</t>
  </si>
  <si>
    <t>psia</t>
  </si>
  <si>
    <t>Temperature</t>
  </si>
  <si>
    <t>°C</t>
  </si>
  <si>
    <t>Oil Viscosity</t>
  </si>
  <si>
    <t>cP</t>
  </si>
  <si>
    <t>API Gravity</t>
  </si>
  <si>
    <t>°API</t>
  </si>
  <si>
    <t>Permeability</t>
  </si>
  <si>
    <t>mD</t>
  </si>
  <si>
    <t>Porosity</t>
  </si>
  <si>
    <t>fraction; e.g. 0.25</t>
  </si>
  <si>
    <t>Salinity (TDS)</t>
  </si>
  <si>
    <t>ppm</t>
  </si>
  <si>
    <t>Hardness (Ca²⁺+Mg²⁺)</t>
  </si>
  <si>
    <t>Rock Type</t>
  </si>
  <si>
    <t>Sandstone / Carbonate</t>
  </si>
  <si>
    <t>Net Pay</t>
  </si>
  <si>
    <t>m</t>
  </si>
  <si>
    <t>Heterogeneity</t>
  </si>
  <si>
    <t>Low / Moderate / High</t>
  </si>
  <si>
    <t>Gas Availability</t>
  </si>
  <si>
    <t>Yes / No; gas source for immiscible gas/WAG</t>
  </si>
  <si>
    <t>Oxygen Present in Polymer System</t>
  </si>
  <si>
    <t>Yes / No</t>
  </si>
  <si>
    <t>OOIP</t>
  </si>
  <si>
    <t>MMstb; Original Oil In Place</t>
  </si>
  <si>
    <t>Base RF (without EOR)</t>
  </si>
  <si>
    <t>%; Current/expected RF before EOR</t>
  </si>
  <si>
    <t>Top Recommended EOR</t>
  </si>
  <si>
    <t>Top Status</t>
  </si>
  <si>
    <t>Drive Mechanism</t>
  </si>
  <si>
    <t>Solution Gas / Water Drive / Gas Cap / Combination / Fractured / Others</t>
  </si>
  <si>
    <t>Top Suitability</t>
  </si>
  <si>
    <t>Drive Mech Multiplier</t>
  </si>
  <si>
    <t>Calculated multiplier for ΔRF</t>
  </si>
  <si>
    <t>Top P50 EUR (MMstb)</t>
  </si>
  <si>
    <t>CO2 Availability</t>
  </si>
  <si>
    <t>Yes / No; dedicated for miscible CO2/WAG screening</t>
  </si>
  <si>
    <t>MMP Satisfied?</t>
  </si>
  <si>
    <t>Yes / No; reservoir pressure at/above MMP</t>
  </si>
  <si>
    <t>Waterflood History</t>
  </si>
  <si>
    <t>Yes / No; successful waterflooding indicates residual oil/contact</t>
  </si>
  <si>
    <t>Water Cut</t>
  </si>
  <si>
    <t>%</t>
  </si>
  <si>
    <t>Field Maturity</t>
  </si>
  <si>
    <t>Early / Mid / Late</t>
  </si>
  <si>
    <t>Maturity Factor</t>
  </si>
  <si>
    <t>Mobility Ratio</t>
  </si>
  <si>
    <t>Favorable / Neutral / Unfavorable</t>
  </si>
  <si>
    <t>Surfactant Adsorption Risk</t>
  </si>
  <si>
    <t>Low / Medium / High</t>
  </si>
  <si>
    <t>Produced Water Handling Complexity</t>
  </si>
  <si>
    <t>Offshore Field?</t>
  </si>
  <si>
    <t>Water Injection Facilities</t>
  </si>
  <si>
    <t>Yes / No; required for WAG</t>
  </si>
  <si>
    <t>Gas Injection Facilities</t>
  </si>
  <si>
    <t>WAG Ratio</t>
  </si>
  <si>
    <t>Gas:Water cycle ratio; default 1:1</t>
  </si>
  <si>
    <t>Gas Injectivity</t>
  </si>
  <si>
    <t>Good / Fair / Poor</t>
  </si>
  <si>
    <t>Water Injectivity</t>
  </si>
  <si>
    <t>Gravity Override Risk</t>
  </si>
  <si>
    <t>HC Gas Availability</t>
  </si>
  <si>
    <t>Yes / No; external or available hydrocarbon gas source</t>
  </si>
  <si>
    <t>Produced GOR Category</t>
  </si>
  <si>
    <t>Low / Moderate / High / Unknown; manual category if numeric GOR is unavailable</t>
  </si>
  <si>
    <t>Produced Gas Reinjectable?</t>
  </si>
  <si>
    <t>Yes / No / Unknown; whether produced/associated gas can be compressed and reinjected</t>
  </si>
  <si>
    <t>HC Gas Source Status</t>
  </si>
  <si>
    <t>Calculated helper for HC gas / gas recycling screening</t>
  </si>
  <si>
    <t>Produced GOR (scf/STB)</t>
  </si>
  <si>
    <t>Optional numeric input; if blank, manual Produced GOR Category is used</t>
  </si>
  <si>
    <t>GOR Category from Numeric</t>
  </si>
  <si>
    <t>Calculated helper from numeric GOR: &gt;=1000 High, 300–999 Moderate, &lt;300 Low</t>
  </si>
  <si>
    <t>Critical Fail?</t>
  </si>
  <si>
    <t>Cause of Fail/Pass</t>
  </si>
  <si>
    <t>Final RF (%)</t>
  </si>
  <si>
    <t>EUR (MMstb)</t>
  </si>
  <si>
    <t>CO2 Miscible Flood</t>
  </si>
  <si>
    <t>CO2 WAG</t>
  </si>
  <si>
    <t>HC Gas Miscible Flood</t>
  </si>
  <si>
    <t>HC Gas WAG</t>
  </si>
  <si>
    <t>Immiscible Gas Flood</t>
  </si>
  <si>
    <t>Immiscible Gas WAG</t>
  </si>
  <si>
    <t>Polymer (HPAM)</t>
  </si>
  <si>
    <t>Polymer (ATBS)</t>
  </si>
  <si>
    <t>SP</t>
  </si>
  <si>
    <t>ASP</t>
  </si>
  <si>
    <t>CSS</t>
  </si>
  <si>
    <t>Steam Flood</t>
  </si>
  <si>
    <t>ISC</t>
  </si>
  <si>
    <t>Rank</t>
  </si>
  <si>
    <t>ΔRF P90 (%)</t>
  </si>
  <si>
    <t>Final RF P90 (%)</t>
  </si>
  <si>
    <t>EUR P90 (MMstb)</t>
  </si>
  <si>
    <t>ΔRF P50 (%)</t>
  </si>
  <si>
    <t>Final RF P50 (%)</t>
  </si>
  <si>
    <t>ΔRF P10 (%)</t>
  </si>
  <si>
    <t>Final RF P10 (%)</t>
  </si>
  <si>
    <t>EUR P10 (MMstb)</t>
  </si>
  <si>
    <t>EOR Screening Summary</t>
  </si>
  <si>
    <t>Top Recommended EOR Method (by score)</t>
  </si>
  <si>
    <t>Main Technical References</t>
  </si>
  <si>
    <t>R1 Taber et al. 1997 – EOR Screening Criteria Revisited</t>
  </si>
  <si>
    <t>R2 Arvis &amp; Min 2025 – Updated screening criteria for EOR methods</t>
  </si>
  <si>
    <t>R3/R4 Recent CO2 and CO2-WAG screening, MMP, and waterflood-history work</t>
  </si>
  <si>
    <t>R5/R6/R7 Polymer and SP updates for HTHS/offshore/carbonate contexts</t>
  </si>
  <si>
    <t>Recovery Factor &amp; EUR Logic</t>
  </si>
  <si>
    <t>ΔRF_EOR = Score × Max Incremental RF × Drive Mechanism Multiplier × Field Maturity Factor</t>
  </si>
  <si>
    <t>P10/P50/P90 ranges scale incremental RF only, not base RF.</t>
  </si>
  <si>
    <t>Top Option Scenario Range</t>
  </si>
  <si>
    <t>P90 Final RF (%)</t>
  </si>
  <si>
    <t>P50 Final RF (%)</t>
  </si>
  <si>
    <t>P10 Final RF (%)</t>
  </si>
  <si>
    <t>P90 EUR (MMstb)</t>
  </si>
  <si>
    <t>P50 EUR (MMstb)</t>
  </si>
  <si>
    <t>P10 EUR (MMstb)</t>
  </si>
  <si>
    <t>Scenario Controls for RF/EUR Ranges</t>
  </si>
  <si>
    <t>Note</t>
  </si>
  <si>
    <t>P90 incremental RF factor</t>
  </si>
  <si>
    <t>Conservative case applied to incremental RF only</t>
  </si>
  <si>
    <t>P50 incremental RF factor</t>
  </si>
  <si>
    <t>Base case = current calculated incremental RF</t>
  </si>
  <si>
    <t>P10 incremental RF factor</t>
  </si>
  <si>
    <t>Upside case applied to incremental RF only</t>
  </si>
  <si>
    <t>Important note</t>
  </si>
  <si>
    <t>These are screening-level scenario factors, not full probabilistic reservoir simulation outputs.</t>
  </si>
  <si>
    <t>2026 Screening Condition</t>
  </si>
  <si>
    <t>Fail When</t>
  </si>
  <si>
    <t>Critical?</t>
  </si>
  <si>
    <t>Ref ID(s)</t>
  </si>
  <si>
    <t>Short Reference / Note</t>
  </si>
  <si>
    <t>Reference URL</t>
  </si>
  <si>
    <t>Yes</t>
  </si>
  <si>
    <t>CO2 unavailable</t>
  </si>
  <si>
    <t>R3;R4</t>
  </si>
  <si>
    <t>CO2-specific source availability is critical; not interchangeable with HC gas.</t>
  </si>
  <si>
    <t>https://www.sciencedirect.com/science/article/pii/S2405656125000161</t>
  </si>
  <si>
    <t>Pressure below MMP</t>
  </si>
  <si>
    <t>CO2 miscibility requires reservoir pressure at/above MMP.</t>
  </si>
  <si>
    <t>https://www.mdpi.com/2073-4441/17/5/651</t>
  </si>
  <si>
    <t>API / Viscosity / Depth</t>
  </si>
  <si>
    <t>&gt;=25° API, &lt;=10 cP, &gt;=2500 ft</t>
  </si>
  <si>
    <t>Outside range</t>
  </si>
  <si>
    <t>R1;R2</t>
  </si>
  <si>
    <t>Updated miscible gas screening range.</t>
  </si>
  <si>
    <t>https://www.nature.com/articles/s41598-025-21696-x</t>
  </si>
  <si>
    <t>WAG Facilities</t>
  </si>
  <si>
    <t>Water + gas injection facilities available</t>
  </si>
  <si>
    <t>Facilities unavailable</t>
  </si>
  <si>
    <t>R4</t>
  </si>
  <si>
    <t>WAG requires both injection systems and cycle management.</t>
  </si>
  <si>
    <t>Low/Medium preferred</t>
  </si>
  <si>
    <t>High = conditional</t>
  </si>
  <si>
    <t>Conditional</t>
  </si>
  <si>
    <t>WAG can improve sweep but override/channeling still penalizes score.</t>
  </si>
  <si>
    <t>HC Gas Source</t>
  </si>
  <si>
    <t>External HC gas OR high GOR with reinjection potential</t>
  </si>
  <si>
    <t>No gas source and no reinjection potential</t>
  </si>
  <si>
    <t>Yes/Conditional</t>
  </si>
  <si>
    <t>R10;R11</t>
  </si>
  <si>
    <t>High GOR + reinjection can be conditional source for HC gas recycling.</t>
  </si>
  <si>
    <t>https://www.onepetro.org/</t>
  </si>
  <si>
    <t>R10</t>
  </si>
  <si>
    <t>HC miscible gas needs MMP check separate from CO2.</t>
  </si>
  <si>
    <t>HC Gas Source + WAG Facilities</t>
  </si>
  <si>
    <t>HC gas source + water/gas injection facilities</t>
  </si>
  <si>
    <t>Source/facilities unavailable</t>
  </si>
  <si>
    <t>HC WAG combines gas recycling/source with WAG facilities.</t>
  </si>
  <si>
    <t>Gas Source</t>
  </si>
  <si>
    <t>Gas available OR high GOR with reinjection potential</t>
  </si>
  <si>
    <t>No gas source</t>
  </si>
  <si>
    <t>R1;R11</t>
  </si>
  <si>
    <t>Immiscible gas can be supported by recycled associated gas if feasible.</t>
  </si>
  <si>
    <t>Gas Source + WAG Facilities</t>
  </si>
  <si>
    <t>Gas source + water/gas injection facilities</t>
  </si>
  <si>
    <t>R4;R11</t>
  </si>
  <si>
    <t>WAG improves sweep versus continuous gas but requires water and gas injectivity.</t>
  </si>
  <si>
    <t>Temperature / Salinity / Hardness</t>
  </si>
  <si>
    <t>&lt;=70°C, &lt;=70k ppm TDS, &lt;=500 ppm hardness</t>
  </si>
  <si>
    <t>R1;R5</t>
  </si>
  <si>
    <t>Conventional HPAM limit retained.</t>
  </si>
  <si>
    <t>https://www.nature.com/articles/s41598-023-44896-9</t>
  </si>
  <si>
    <t>&lt;=120°C, &lt;=250k ppm TDS, &lt;=5000 ppm hardness</t>
  </si>
  <si>
    <t>R5;R9</t>
  </si>
  <si>
    <t>Advanced ATBS/NVP-type polymers broaden operating envelope.</t>
  </si>
  <si>
    <t>https://www.mdpi.com/2227-9717/14/3/408</t>
  </si>
  <si>
    <t>Salinity / adsorption / handling</t>
  </si>
  <si>
    <t>&lt;=100k ppm, low/medium adsorption and handling</t>
  </si>
  <si>
    <t>High salinity/adsorption/handling</t>
  </si>
  <si>
    <t>R6;R7</t>
  </si>
  <si>
    <t>Modern SP can extend to harsher carbonate/offshore systems but adsorption/facility risks matter.</t>
  </si>
  <si>
    <t>https://www.frontiersin.org/journals/chemistry/articles/10.3389/fchem.2024.1408115/full</t>
  </si>
  <si>
    <t>Classic ASP constraints</t>
  </si>
  <si>
    <t>Low salinity/hardness, sandstone preferred</t>
  </si>
  <si>
    <t>High salinity/hardness or non-sandstone</t>
  </si>
  <si>
    <t>ASP kept conservative because carbonate/high hardness remains case-specific.</t>
  </si>
  <si>
    <t>https://doi.org/10.2118/35385-PA</t>
  </si>
  <si>
    <t>CSS / Steam Flood</t>
  </si>
  <si>
    <t>Thermal limits</t>
  </si>
  <si>
    <t>&gt;=100 cP, shallow, high perm</t>
  </si>
  <si>
    <t>Low viscosity/deep/low perm</t>
  </si>
  <si>
    <t>R1;R8</t>
  </si>
  <si>
    <t>Thermal EOR remains heavy-oil focused.</t>
  </si>
  <si>
    <t>https://www.frontiersin.org/journals/earth-science/articles/10.3389/feart.2023.1268103/full</t>
  </si>
  <si>
    <t>Thermal combustion limits</t>
  </si>
  <si>
    <t>10–200 cP, &gt;=200 mD</t>
  </si>
  <si>
    <t>Legacy screen retained; operational complexity high.</t>
  </si>
  <si>
    <t>Produced GOR / associated gas recycling</t>
  </si>
  <si>
    <t>External HC gas OR moderate/high GOR with reinjection feasible</t>
  </si>
  <si>
    <t>No HC gas source and no GOR/reinjection potential</t>
  </si>
  <si>
    <t>R10;R13</t>
  </si>
  <si>
    <t>GOR is optional; moderate/high GOR with reinjection feasible avoids automatic failure but is marked CONDITIONAL.</t>
  </si>
  <si>
    <t>https://www.mdpi.com/1996-1073/18/15/4182</t>
  </si>
  <si>
    <t>Produced GOR + reinjection + WAG facilities</t>
  </si>
  <si>
    <t>Moderate/high GOR + reinjection feasible + water/gas injection facilities</t>
  </si>
  <si>
    <t>No source/facilities</t>
  </si>
  <si>
    <t>R10;R12;R13</t>
  </si>
  <si>
    <t>HC WAG uses gas recycling source logic and WAG mobility/sweep criteria.</t>
  </si>
  <si>
    <t>https://pmc.ncbi.nlm.nih.gov/articles/PMC11356827/</t>
  </si>
  <si>
    <t>Produced GOR / gas source</t>
  </si>
  <si>
    <t>External injection gas OR moderate/high GOR with reinjection feasible</t>
  </si>
  <si>
    <t>No source/reinjection option</t>
  </si>
  <si>
    <t>Immiscible gas screening allows recycled associated gas as conditional source.</t>
  </si>
  <si>
    <t>https://pubs.usgs.gov/fs/fs-0115-00/fs-0115-00po.pdf</t>
  </si>
  <si>
    <t>CO2 vs HC Gas Split</t>
  </si>
  <si>
    <t>Gas type separation</t>
  </si>
  <si>
    <t>CO2 and HC gas screened separately</t>
  </si>
  <si>
    <t>Single generic gas screening may hide source/facility risk</t>
  </si>
  <si>
    <t>Recommended</t>
  </si>
  <si>
    <t>R10;R11;R13</t>
  </si>
  <si>
    <t>CO2 has MMP/corrosion/CCUS/source risks; HC gas depends on produced/recycled gas availability.</t>
  </si>
  <si>
    <t>https://www.energy.gov/sites/default/files/2022-10/CCUS-Chap_8-030521.pdf</t>
  </si>
  <si>
    <t>Optional helper</t>
  </si>
  <si>
    <t>Tool default: &gt;=1000 scf/STB High; 300–999 Moderate; &lt;300 Low</t>
  </si>
  <si>
    <t>Blank uses manual category input</t>
  </si>
  <si>
    <t>Optional</t>
  </si>
  <si>
    <t>Tool assumption; R10</t>
  </si>
  <si>
    <t>This is a screening proxy, not a universal reservoir standard; user may override via Produced GOR Category.</t>
  </si>
  <si>
    <t>Ref ID</t>
  </si>
  <si>
    <t>Reference</t>
  </si>
  <si>
    <t>Year</t>
  </si>
  <si>
    <t>Key use in this workbook</t>
  </si>
  <si>
    <t>URL</t>
  </si>
  <si>
    <t>R1</t>
  </si>
  <si>
    <t>Taber, Martin &amp; Seright, EOR screening criteria revisited (Parts 1–2), SPE Reservoir Engineering.</t>
  </si>
  <si>
    <t>1997</t>
  </si>
  <si>
    <t>Legacy baseline criteria for miscible gas, chemical and thermal EOR.</t>
  </si>
  <si>
    <t>R2</t>
  </si>
  <si>
    <t>Arvis &amp; Min, Updated screening criteria for enhanced oil recovery methods, Scientific Reports.</t>
  </si>
  <si>
    <t>2025</t>
  </si>
  <si>
    <t>Updated screening/scoring workflow and score-based exclusion.</t>
  </si>
  <si>
    <t>R3</t>
  </si>
  <si>
    <t>Recent CO2-EOR / CCUS screening reviews.</t>
  </si>
  <si>
    <t>2024–2025</t>
  </si>
  <si>
    <t>CO2 source, MMP, injectivity, containment, WAG screening factors.</t>
  </si>
  <si>
    <t>Recent CO2 WAG screening and optimization studies.</t>
  </si>
  <si>
    <t>Waterflood history, residual oil contact, WAG suitability and injectivity criteria.</t>
  </si>
  <si>
    <t>R5</t>
  </si>
  <si>
    <t>Zeynalli et al., Review of viscoelastic polymer flooding in sandstone and carbonate rocks, Scientific Reports.</t>
  </si>
  <si>
    <t>2023</t>
  </si>
  <si>
    <t>ATBS/NVP high-temperature/high-salinity polymers, oxygen sensitivity, injectivity.</t>
  </si>
  <si>
    <t>R6</t>
  </si>
  <si>
    <t>Recent offshore carbonate surfactant-polymer formulation studies.</t>
  </si>
  <si>
    <t>2024</t>
  </si>
  <si>
    <t>SP in high-temperature/offshore carbonate reservoirs; adsorption and handling risks.</t>
  </si>
  <si>
    <t>R7</t>
  </si>
  <si>
    <t>Surfactant-polymer flooding in carbonates under harsh conditions review.</t>
  </si>
  <si>
    <t>SP feasibility in high salinity/high temperature carbonate reservoirs.</t>
  </si>
  <si>
    <t>https://www.sciencedirect.com/science/article/pii/S0920410522010956</t>
  </si>
  <si>
    <t>R8</t>
  </si>
  <si>
    <t>Xu et al., Review of steam flooding and applications.</t>
  </si>
  <si>
    <t>Thermal EOR remains suited to heavy/viscous oil, shallow depths, high permeability.</t>
  </si>
  <si>
    <t>R9</t>
  </si>
  <si>
    <t>Recent anti-salt surfactant/polymer screening in low-permeability reservoirs.</t>
  </si>
  <si>
    <t>2026</t>
  </si>
  <si>
    <t>AM/AMPS/AA polymer and SP evidence in lower-perm reservoirs with retention/shear checks.</t>
  </si>
  <si>
    <t>Soltanbekova et al., Potential of Gas-Enhanced Oil Recovery (EOR) Methods: Experimental and Simulation Analysis, Energies.</t>
  </si>
  <si>
    <t>Gas-EOR methods include hydrocarbon gases, nitrogen, flue gas, WAG and CO2 flooding; supports split gas modules.</t>
  </si>
  <si>
    <t>R11</t>
  </si>
  <si>
    <t>U.S. Department of Energy, CCUS Chapter 8 – CO2 Enhanced Oil Recovery.</t>
  </si>
  <si>
    <t>2021</t>
  </si>
  <si>
    <t>CO2-EOR commonly uses WAG and produced CO2 is recycled/reinjected; supports separation of CO2-specific workflow.</t>
  </si>
  <si>
    <t>R12</t>
  </si>
  <si>
    <t>Fang et al., Chemical-Assisted CO2 Water-Alternating-Gas Injection for Enhanced Oil Recovery.</t>
  </si>
  <si>
    <t>WAG can regulate water–gas mobility ratio and enhance sweep efficiency; supports WAG conditional criteria.</t>
  </si>
  <si>
    <t>R13</t>
  </si>
  <si>
    <t>USGS Fact Sheet: Field growth and role of EOR.</t>
  </si>
  <si>
    <t>2000</t>
  </si>
  <si>
    <t>CO2 gas injection and miscible/immiscible hydrocarbon gas injection are distinct EOR techniques; supports separate CO2 vs HC gas rows.</t>
  </si>
  <si>
    <t>RockType</t>
  </si>
  <si>
    <t>YesNo</t>
  </si>
  <si>
    <t>DriveMechanism</t>
  </si>
  <si>
    <t>FieldMaturity</t>
  </si>
  <si>
    <t>MobilityRatio</t>
  </si>
  <si>
    <t>RiskLevel</t>
  </si>
  <si>
    <t>Injectivity</t>
  </si>
  <si>
    <t>WAGRatio</t>
  </si>
  <si>
    <t>GORCategory</t>
  </si>
  <si>
    <t>YesNoUnknown</t>
  </si>
  <si>
    <t>GasSourceStatus</t>
  </si>
  <si>
    <t>Sandstone</t>
  </si>
  <si>
    <t>Low</t>
  </si>
  <si>
    <t>Solution Gas Drive</t>
  </si>
  <si>
    <t>Early</t>
  </si>
  <si>
    <t>Favorable</t>
  </si>
  <si>
    <t>Good</t>
  </si>
  <si>
    <t>1:1</t>
  </si>
  <si>
    <t>Available</t>
  </si>
  <si>
    <t>Carbonate</t>
  </si>
  <si>
    <t>Moderate</t>
  </si>
  <si>
    <t>No</t>
  </si>
  <si>
    <t>Weak Water Drive</t>
  </si>
  <si>
    <t>Mid</t>
  </si>
  <si>
    <t>Neutral</t>
  </si>
  <si>
    <t>Medium</t>
  </si>
  <si>
    <t>Fair</t>
  </si>
  <si>
    <t>2:1</t>
  </si>
  <si>
    <t>High</t>
  </si>
  <si>
    <t>Moderate Water Drive</t>
  </si>
  <si>
    <t>Late</t>
  </si>
  <si>
    <t>Unfavorable</t>
  </si>
  <si>
    <t>Poor</t>
  </si>
  <si>
    <t>1:2</t>
  </si>
  <si>
    <t>Unknown</t>
  </si>
  <si>
    <t>Unavailable</t>
  </si>
  <si>
    <t>Strong Water Drive</t>
  </si>
  <si>
    <t>Custom</t>
  </si>
  <si>
    <t>Gas Cap Expansion</t>
  </si>
  <si>
    <t>Combination Drive</t>
  </si>
  <si>
    <t>Natural Fracture</t>
  </si>
  <si>
    <t>Others</t>
  </si>
  <si>
    <t>EOR Screening Tool – User Guide</t>
  </si>
  <si>
    <t>1. Fill in InputData column B. Dropdowns are provided for categorical criteria.</t>
  </si>
  <si>
    <t>2. WAG-specific inputs are rows 33–38: water/gas facilities, WAG ratio, injectivity, and gravity override risk.</t>
  </si>
  <si>
    <t>3. Screening sheet lists pass/fail, reasons, score, suitability, ΔRF, final RF, and EUR.</t>
  </si>
  <si>
    <t>4. RF_EUR_Ranges shows P90/P50/P10 scenario ranges. Factors can be changed in ScenarioControls.</t>
  </si>
  <si>
    <t>5. Criteria and References_2026 sheets provide traceability for thresholds and 2026 updates.</t>
  </si>
  <si>
    <t>6. P10/P50/P90 values are screening-level estimates, not full probabilistic simulation outputs.</t>
  </si>
  <si>
    <t>7. WAG was added as two separate methods: Miscible CO2 WAG and Immiscible Gas WAG.</t>
  </si>
  <si>
    <t>7. CO2 vs HC gas and GOR logic:</t>
  </si>
  <si>
    <t>- CO2 and HC gas are now screened separately because MMP, source availability, corrosion/CCUS, and recycling logic differ.</t>
  </si>
  <si>
    <t>- Produced GOR is optional. If you do not have a numeric GOR, use Produced GOR Category instead.</t>
  </si>
  <si>
    <t>- If external HC gas is unavailable but Produced GOR is Moderate/High and Produced Gas Reinjectable = Yes, HC gas flood/WAG is treated as CONDITIONAL rather than automatic FAIL.</t>
  </si>
  <si>
    <t>- The numeric GOR helper uses screening defaults: &gt;=1000 scf/STB = High, 300–999 = Moderate, &lt;300 = Low. These are editable assumptions for early screening only.</t>
  </si>
  <si>
    <t xml:space="preserve">DATA GATHERING </t>
  </si>
  <si>
    <t>Section</t>
  </si>
  <si>
    <t>Field</t>
  </si>
  <si>
    <t>Type</t>
  </si>
  <si>
    <t>Units/Notes</t>
  </si>
  <si>
    <t>Guidance</t>
  </si>
  <si>
    <t>Overview</t>
  </si>
  <si>
    <t>Project Name</t>
  </si>
  <si>
    <t>text</t>
  </si>
  <si>
    <t>Garraf EOR Screening</t>
  </si>
  <si>
    <t xml:space="preserve">Project identifier </t>
  </si>
  <si>
    <t xml:space="preserve">Field </t>
  </si>
  <si>
    <t>Garraf</t>
  </si>
  <si>
    <t>Reservoir / Zone</t>
  </si>
  <si>
    <t>Mishrif</t>
  </si>
  <si>
    <t>Current Recovery Mechanism</t>
  </si>
  <si>
    <t>list:Primary; Waterflood; Gasflood; Other</t>
  </si>
  <si>
    <t xml:space="preserve">Waterflood </t>
  </si>
  <si>
    <t>Select one</t>
  </si>
  <si>
    <t>Current RF</t>
  </si>
  <si>
    <t>at Techlife</t>
  </si>
  <si>
    <t>EOR Methods Under Consideration</t>
  </si>
  <si>
    <t>list:CO2 miscible; HC gas miscible; Polymer; ASP; Surfactant; Thermal; WAG; HnP; Other</t>
  </si>
  <si>
    <t>Polymer, ASP, Surfactant</t>
  </si>
  <si>
    <t>Choose most likely method at this stage</t>
  </si>
  <si>
    <t>Data Cutoff Date</t>
  </si>
  <si>
    <t>date</t>
  </si>
  <si>
    <t>YYYY-MM-DD</t>
  </si>
  <si>
    <t>Report Source / Reference</t>
  </si>
  <si>
    <t>Link or document ID</t>
  </si>
  <si>
    <t>Reservoir &amp; Rock</t>
  </si>
  <si>
    <t>Depth TVDSS</t>
  </si>
  <si>
    <t>number</t>
  </si>
  <si>
    <t>Gross Thickness</t>
  </si>
  <si>
    <t>Area</t>
  </si>
  <si>
    <t>km^2</t>
  </si>
  <si>
    <t>Porosity, phi</t>
  </si>
  <si>
    <t>fraction (0-1)</t>
  </si>
  <si>
    <t>Permeability, k</t>
  </si>
  <si>
    <t>NTG</t>
  </si>
  <si>
    <t>Kv/Kh</t>
  </si>
  <si>
    <t>ratio</t>
  </si>
  <si>
    <t>Initial Swi</t>
  </si>
  <si>
    <t>Sor</t>
  </si>
  <si>
    <t>Wettability Index (Amott/USBM)</t>
  </si>
  <si>
    <t>state index &amp; method</t>
  </si>
  <si>
    <t>Capillary Pressure Curves Available?</t>
  </si>
  <si>
    <t>list:Yes; No</t>
  </si>
  <si>
    <t>Yes/No</t>
  </si>
  <si>
    <t>Rock Type / Lithology</t>
  </si>
  <si>
    <t>list:Sandstone; Carbonate; Mixed; Shale; Other</t>
  </si>
  <si>
    <t xml:space="preserve">Carbonate </t>
  </si>
  <si>
    <t>Fracturing (Natural/Induced)</t>
  </si>
  <si>
    <t>list:None; Natural; Induced; Both</t>
  </si>
  <si>
    <t xml:space="preserve">Natural </t>
  </si>
  <si>
    <t>Initial Reservoir Pressure</t>
  </si>
  <si>
    <t>psi</t>
  </si>
  <si>
    <t>Current Reservoir Pressure</t>
  </si>
  <si>
    <t>Bubble Point Pressure, Pb</t>
  </si>
  <si>
    <t>Fluids (PVT &amp; Water)</t>
  </si>
  <si>
    <t>Fluid type</t>
  </si>
  <si>
    <t>Black Oil (Medium)</t>
  </si>
  <si>
    <t>Volatile Oil,  Dry Gas, Wet Gas, Gas‑Condensate, Black Oil (Light/Medium Oil), Heavy Oil, Extra‑Heavy Oil / Bitumen</t>
  </si>
  <si>
    <t>GOR</t>
  </si>
  <si>
    <t>scf/STB</t>
  </si>
  <si>
    <t>Oil Density @ 20°C</t>
  </si>
  <si>
    <t>g/cc</t>
  </si>
  <si>
    <t>Oil Density @ Pb</t>
  </si>
  <si>
    <t>deg API</t>
  </si>
  <si>
    <t>Oil Viscosity @ reservoir</t>
  </si>
  <si>
    <t>Oil Viscosity @ Pb</t>
  </si>
  <si>
    <t>MMP (if available)</t>
  </si>
  <si>
    <t>Solution Gas Composition</t>
  </si>
  <si>
    <t>Number and text</t>
  </si>
  <si>
    <t>98.7 mol%:C1-C7+
0.54 mol%: C02
0.75 mol%:N2</t>
  </si>
  <si>
    <t>mol%</t>
  </si>
  <si>
    <t>mol% (C1-C7+, CO2, N2, H2S)</t>
  </si>
  <si>
    <t>Stock Tank Oil Composition (SARA)</t>
  </si>
  <si>
    <t>44.2 wt%: Saturates
43.5 wt%: Aromatics
11.7 wt%: Resins
0.6 wt%: Asphalthenes</t>
  </si>
  <si>
    <t>wt%</t>
  </si>
  <si>
    <t>%wt Saturates/Aromatics/Resins/Asphaltenes</t>
  </si>
  <si>
    <t>Formation Water Salinity</t>
  </si>
  <si>
    <t>ppm TDS</t>
  </si>
  <si>
    <t>Formation Water Composition</t>
  </si>
  <si>
    <t>ppm cation and Anions (Na, Ca, Mg, Cl, SO4, HCO3 etc)</t>
  </si>
  <si>
    <t>Issue</t>
  </si>
  <si>
    <t>Risk Level</t>
  </si>
  <si>
    <t>Reason</t>
  </si>
  <si>
    <t>Injection Water Composition</t>
  </si>
  <si>
    <t>Wax deposition</t>
  </si>
  <si>
    <t>High saturate content</t>
  </si>
  <si>
    <t xml:space="preserve">Hardness </t>
  </si>
  <si>
    <t>ppm (Ca²⁺+Mg²⁺)</t>
  </si>
  <si>
    <t>Asphaltene precipitation</t>
  </si>
  <si>
    <t>Very Low</t>
  </si>
  <si>
    <t>Only 0.6% asphaltene + high aromatics</t>
  </si>
  <si>
    <t>SCAL / Rock-Fluid</t>
  </si>
  <si>
    <t>Relative Permeability Curves Available?</t>
  </si>
  <si>
    <t>Asphaltene deposition</t>
  </si>
  <si>
    <t>Strong resin stabilization</t>
  </si>
  <si>
    <t>RelPerm Endpoints (Krw/Kro)</t>
  </si>
  <si>
    <t>Number</t>
  </si>
  <si>
    <t>values or reference</t>
  </si>
  <si>
    <t>Emulsion tendency</t>
  </si>
  <si>
    <t>Low–Moderate</t>
  </si>
  <si>
    <t>Resins may stabilize emulsions</t>
  </si>
  <si>
    <t>Viscosity increase at low T</t>
  </si>
  <si>
    <t>Paraffinic components</t>
  </si>
  <si>
    <t>Swi</t>
  </si>
  <si>
    <t>Sorg</t>
  </si>
  <si>
    <t>Assumption (NA)</t>
  </si>
  <si>
    <t>Pc Curves (ow/go)</t>
  </si>
  <si>
    <t>Wettability Alteration Evidence</t>
  </si>
  <si>
    <t>NA</t>
  </si>
  <si>
    <t>lab/field evidence</t>
  </si>
  <si>
    <t>IFT Measurements</t>
  </si>
  <si>
    <t>mN/m</t>
  </si>
  <si>
    <t>Wells &amp; Completions</t>
  </si>
  <si>
    <t>Number of Producers</t>
  </si>
  <si>
    <t>as of Jan 2026</t>
  </si>
  <si>
    <t>count</t>
  </si>
  <si>
    <t>Number of Injectors</t>
  </si>
  <si>
    <t>Completion Type</t>
  </si>
  <si>
    <t>list:Openhole; Cased &amp; Perforated; Slotted Liner; Other</t>
  </si>
  <si>
    <t>Openhole; Cased &amp; Perforated; Slotted Liner; Other</t>
  </si>
  <si>
    <t>Artificial Lift</t>
  </si>
  <si>
    <t>list:None; ESP; Gas Lift; Rod Pump; PCP; Other</t>
  </si>
  <si>
    <t xml:space="preserve">ESP </t>
  </si>
  <si>
    <t>Treatments (Acid/Frac)</t>
  </si>
  <si>
    <t>Acidizing</t>
  </si>
  <si>
    <t>summary</t>
  </si>
  <si>
    <t>Integrity / Scaling / Asphaltene Issues</t>
  </si>
  <si>
    <t>Scaling Issue (CaCo3,CaS04)</t>
  </si>
  <si>
    <t>Patterns &amp; Surveillance</t>
  </si>
  <si>
    <t>Pattern Type</t>
  </si>
  <si>
    <t>list:5-spot; 7-spot; 9-spot; Line drive; Peripheral; N/A</t>
  </si>
  <si>
    <t xml:space="preserve">Inverted 9-spot </t>
  </si>
  <si>
    <t>Average Well Spacing</t>
  </si>
  <si>
    <t>Tracers / Interwell Tests Run?</t>
  </si>
  <si>
    <t xml:space="preserve">No </t>
  </si>
  <si>
    <t>Pressure Monitoring</t>
  </si>
  <si>
    <t>PDG &amp; SGS</t>
  </si>
  <si>
    <t>downhole/surface</t>
  </si>
  <si>
    <t>Waterflood Start Date</t>
  </si>
  <si>
    <t>Gas flood start date</t>
  </si>
  <si>
    <t>Date</t>
  </si>
  <si>
    <t>N/A</t>
  </si>
  <si>
    <t>GOR trend / Watercut trend</t>
  </si>
  <si>
    <t>GOR flat at Rsi, Pres &gt; Pb.
Watercut increasing gently.</t>
  </si>
  <si>
    <t>brief notes</t>
  </si>
  <si>
    <t>EOR Screening</t>
  </si>
  <si>
    <t>Presence of H2S/CO2</t>
  </si>
  <si>
    <t>list:None; CO2; H2S; Both</t>
  </si>
  <si>
    <t>H2S at WellPad K&amp;H</t>
  </si>
  <si>
    <t>Gas Source Availability (CO2/HC/N2)</t>
  </si>
  <si>
    <t>None</t>
  </si>
  <si>
    <t>logistics summary</t>
  </si>
  <si>
    <t>Facilities / Ops / Economics</t>
  </si>
  <si>
    <t>Injection Facilities Capacity</t>
  </si>
  <si>
    <t>400 kbwpd</t>
  </si>
  <si>
    <t>k bbl/d or MMscf/d</t>
  </si>
  <si>
    <t>Produced Fluids Handling Issues</t>
  </si>
  <si>
    <t>Sludge at certain Wellpad</t>
  </si>
  <si>
    <t>emulsion/paraffin/asphaltene</t>
  </si>
  <si>
    <t>Water Source &amp; Treatment</t>
  </si>
  <si>
    <t>Third River</t>
  </si>
  <si>
    <t>Gas Processing / CO2 Capture</t>
  </si>
  <si>
    <t>Simulation and dynamic modeling</t>
  </si>
  <si>
    <t>Software</t>
  </si>
  <si>
    <t>Eclipse-100, Tnav</t>
  </si>
  <si>
    <t>CMG Stars, GEMS, Eclipse-100, Eclipse-300, Tnav, etc</t>
  </si>
  <si>
    <t>latest model name</t>
  </si>
  <si>
    <t>Mishrif Internal Model Jan 2026</t>
  </si>
  <si>
    <t>file name</t>
  </si>
  <si>
    <t>Core sample</t>
  </si>
  <si>
    <t>% Sor Reduction (AS) = Sorw- Sorc / Sorw, %</t>
  </si>
  <si>
    <t>% Sor Reduction (AS,P) = Sorw- Sorp / Sorw, %</t>
  </si>
  <si>
    <t>% Sor Reduction (SP) = Sorw- Sorp / Sorw</t>
  </si>
  <si>
    <t>LB-1_2013</t>
  </si>
  <si>
    <t>LB-2_2013</t>
  </si>
  <si>
    <t>LB-3_2013</t>
  </si>
  <si>
    <t>LB-4_2013</t>
  </si>
  <si>
    <t>LN-1_2013</t>
  </si>
  <si>
    <t>1L_2003</t>
  </si>
  <si>
    <t>2L_2003</t>
  </si>
  <si>
    <t>3L_2003</t>
  </si>
  <si>
    <t>4L_2003</t>
  </si>
  <si>
    <t>1R_2003</t>
  </si>
  <si>
    <t>2R_2003</t>
  </si>
  <si>
    <t>3R_2003</t>
  </si>
  <si>
    <t>4R_2003</t>
  </si>
  <si>
    <t>5R_2003</t>
  </si>
  <si>
    <t>6R_2003</t>
  </si>
  <si>
    <t>7R_2003</t>
  </si>
  <si>
    <t>8R_2003</t>
  </si>
  <si>
    <t>9R_2003</t>
  </si>
  <si>
    <t>10R_2003</t>
  </si>
  <si>
    <t xml:space="preserve">Initial Oil Saturation, Soi  (OOIP % PV) </t>
  </si>
  <si>
    <t>Initial Water  Saturation, Swi,% PV</t>
  </si>
  <si>
    <t xml:space="preserve">Water Flood Recovery, % OOIP </t>
  </si>
  <si>
    <t xml:space="preserve">Water Flood Recovery, % PV </t>
  </si>
  <si>
    <t>Residual Oil Saturation after WF , Sorw, % OOIP</t>
  </si>
  <si>
    <t>Residual Oil Saturation after WF , Sorw, % PV</t>
  </si>
  <si>
    <t xml:space="preserve">Alkaline- Surfactant (AS) Recovery, % OOIP </t>
  </si>
  <si>
    <t>Alkaline- Surfactant (AS) Recovery , % PV</t>
  </si>
  <si>
    <t>Residual Oil Saturation after AS , Sorc (AS), % OOIP</t>
  </si>
  <si>
    <t>Residual Oil Saturation after AS , Sorc (AS), % PV</t>
  </si>
  <si>
    <t>Recovery Factor (AS)= Soi-Sorc/Soi, %</t>
  </si>
  <si>
    <t xml:space="preserve">Polymer (P) Recovery, % OOIP </t>
  </si>
  <si>
    <t xml:space="preserve">Polymer (P) Recovery, % PV </t>
  </si>
  <si>
    <t>Residual Oil Saturation after Polymer Recovery, Sorp (P), % OOIP</t>
  </si>
  <si>
    <t>Residual Oil Saturation after Polymer Recovery, Sorp (P), % PV</t>
  </si>
  <si>
    <t>Recovery Factor (AS,P)= Soi-Sorp/Soi, %</t>
  </si>
  <si>
    <t xml:space="preserve">Alkaline(A) Recovery </t>
  </si>
  <si>
    <t xml:space="preserve">Surfactant (S) Recovery </t>
  </si>
  <si>
    <t xml:space="preserve">Surfactant +Polymer (SP) Recovery </t>
  </si>
  <si>
    <t xml:space="preserve">Alkali +Surfactant +Polymer (ASP) Recovery </t>
  </si>
  <si>
    <t xml:space="preserve">Final Residual Oil Saturation </t>
  </si>
  <si>
    <t>Challenges</t>
  </si>
  <si>
    <t>Lessons Learnt</t>
  </si>
  <si>
    <t>Mitigations / Solutions</t>
  </si>
  <si>
    <r>
      <t>Chemical Compatibility &amp; Water Treatment</t>
    </r>
    <r>
      <rPr>
        <sz val="14"/>
        <color rgb="FF000000"/>
        <rFont val="Aptos"/>
      </rPr>
      <t>.</t>
    </r>
  </si>
  <si>
    <t>Sensitivity of alkaline formulations to divalent ions and added complexity of offshore water softening; desalination increased weight and operational load.</t>
  </si>
  <si>
    <t>Offshore implementation depends on chemical compatibility with seawater; water treatment units significantly impact CAPEX and topside weight.</t>
  </si>
  <si>
    <t>Introduce seawater-tolerant alkaline formulations (e.g., OA-200) to simplify operations and adopt seawater-compatible chemicals to reduce or eliminate extensive softening requirements.</t>
  </si>
  <si>
    <t>Angsi</t>
  </si>
  <si>
    <t>Chemical Validation</t>
  </si>
  <si>
    <t>Lab results needed confirmation in field conditions</t>
  </si>
  <si>
    <t>Laboratory performance alone cannot guarantee field success</t>
  </si>
  <si>
    <t>Conduct pilot field tests (e.g., SWCT) to validate lab findings and guide final chemical selection</t>
  </si>
  <si>
    <t>Chemical Cost &amp; Logistics</t>
  </si>
  <si>
    <t>High cost and large storage volume required offshore</t>
  </si>
  <si>
    <t>Offshore chemical handling and storage are major cost drivers</t>
  </si>
  <si>
    <t>Shift blending onshore and optimize formulations to enhance cost efficiency and streamline logistics</t>
  </si>
  <si>
    <t>Facilities &amp; Infrastructure</t>
  </si>
  <si>
    <t>CEOR vessel design exceeded weight expectations</t>
  </si>
  <si>
    <t>Early design assumptions often underestimate EOR facility footprint</t>
  </si>
  <si>
    <t>Employ modular, compact designs and move some processing onshore to minimize weight and cost</t>
  </si>
  <si>
    <t>Fluid Handling &amp; Pumping Systems</t>
  </si>
  <si>
    <t>High-concentration injected fluids caused elevated pressure and pumping difficulties; handling mixed oil-water-gas phases offshore added complexity.</t>
  </si>
  <si>
    <t>Reliable and efficient multiphase flow management is critical for stable offshore CEOR operations.</t>
  </si>
  <si>
    <t>Deploy twin-screw or high-torque multiphase pumps designed for chemical injection and mixed-phase flow to maintain pressure control and operational stability.</t>
  </si>
  <si>
    <t>Simulation &amp; Risk Management</t>
  </si>
  <si>
    <t>Uncertainty in Sor, adsorption, and IFT performance</t>
  </si>
  <si>
    <t>Static and dynamic uncertainty integration is key to de-risking full-field EOR</t>
  </si>
  <si>
    <t>Utilize probabilistic modeling and pilot testing for performance validation and uncertainty reduction</t>
  </si>
  <si>
    <t xml:space="preserve">Sample No </t>
  </si>
  <si>
    <t xml:space="preserve">Year </t>
  </si>
  <si>
    <t xml:space="preserve">Surfactant </t>
  </si>
  <si>
    <t xml:space="preserve">Days </t>
  </si>
  <si>
    <t>Adsorption c/cO</t>
  </si>
  <si>
    <t>SS-7064_( no alkali)_2003</t>
  </si>
  <si>
    <t>Alcoflood 1235_(no alkali)_2003</t>
  </si>
  <si>
    <t>SS-7064_( with NaoH)_2003</t>
  </si>
  <si>
    <t>Alcoflood 1235_(with NaoH)_2003</t>
  </si>
  <si>
    <t>Formulation 43 (0.2 % M2 surfactant + S3B cosurfactant + 2.5 % NaCl)_2003</t>
  </si>
  <si>
    <t>Formulation 43 (0.2 % M2 surfactant + S3B cosurfactant + 3.5 % NaCl)_2003</t>
  </si>
  <si>
    <t>Formulation 43 (0.5 %M2 surfactant + S3B cosurfactant + 3.5 % NaCl)_2003</t>
  </si>
  <si>
    <t xml:space="preserve">Flopaam 3330S_2003 </t>
  </si>
  <si>
    <t>Flopaam 3430S_2003</t>
  </si>
  <si>
    <t>Flopaam 3530S_2003</t>
  </si>
  <si>
    <t>Flopaam 3630S_2003</t>
  </si>
  <si>
    <t>Alcoflood 1275A_2003</t>
  </si>
  <si>
    <t>Alcoflood 1235_2003</t>
  </si>
  <si>
    <t>Flopaam 2430_2003</t>
  </si>
  <si>
    <t xml:space="preserve">Flopaam 2430_2003 </t>
  </si>
  <si>
    <t>Flopaam 3630_2003</t>
  </si>
  <si>
    <t>SAV301_500 mg/l_2013</t>
  </si>
  <si>
    <t>SAV301_2000 mg/l_2013</t>
  </si>
  <si>
    <t>SAV301_1000 mg/l_2013</t>
  </si>
  <si>
    <t>SAV301_1500 mg/l_2013</t>
  </si>
  <si>
    <t>GLP100_500 mg/l_2013</t>
  </si>
  <si>
    <t>GLP100_1000 mg/l_2013</t>
  </si>
  <si>
    <t>GLP100_1500 mg/l_2013</t>
  </si>
  <si>
    <t>GLP100_2000 mg/l_2013</t>
  </si>
  <si>
    <t>Apparent Viscosity</t>
  </si>
  <si>
    <t>Shear Rate  (1/sec)</t>
  </si>
  <si>
    <t xml:space="preserve">Concentration </t>
  </si>
  <si>
    <t xml:space="preserve">Salinity </t>
  </si>
  <si>
    <t xml:space="preserve">Polymer </t>
  </si>
  <si>
    <t>Polymer Type</t>
  </si>
  <si>
    <t>Analog</t>
  </si>
  <si>
    <t>Viscosity (cp)</t>
  </si>
  <si>
    <t>Viscosity reduction (%)</t>
  </si>
  <si>
    <t>Time (days)</t>
  </si>
  <si>
    <t xml:space="preserve">Polymer Concentration (ppm) </t>
  </si>
  <si>
    <t>Temperature (degc)</t>
  </si>
  <si>
    <t xml:space="preserve">Angsi </t>
  </si>
  <si>
    <t>SuperPusher SAV 10_2025</t>
  </si>
  <si>
    <t>D18</t>
  </si>
  <si>
    <t>SuperPusher SAV 73 XV_2025</t>
  </si>
  <si>
    <t>D19</t>
  </si>
  <si>
    <t>D20</t>
  </si>
  <si>
    <t>D21</t>
  </si>
  <si>
    <t>D22</t>
  </si>
  <si>
    <t>D23</t>
  </si>
  <si>
    <t>D24</t>
  </si>
  <si>
    <t xml:space="preserve">Flopaam AN 132 VHM_2025 </t>
  </si>
  <si>
    <t>D25</t>
  </si>
  <si>
    <t>D26</t>
  </si>
  <si>
    <t>D27</t>
  </si>
  <si>
    <t>D28</t>
  </si>
  <si>
    <t>D29</t>
  </si>
  <si>
    <t>D30</t>
  </si>
  <si>
    <t>Temana</t>
  </si>
  <si>
    <t>SuperPusher SAV 82 XV_2025</t>
  </si>
  <si>
    <t xml:space="preserve">Temana </t>
  </si>
  <si>
    <t>SuperPusher SAV 301_2013</t>
  </si>
  <si>
    <t>GLP 100_2013</t>
  </si>
  <si>
    <t>AN 125 SH_2013</t>
  </si>
  <si>
    <t>HE 100_2013</t>
  </si>
  <si>
    <t>HE 300_2013</t>
  </si>
  <si>
    <t>Flopaam 2630 ST (seawater)_2003</t>
  </si>
  <si>
    <t>Flopaam 2630 ST (Nanofiltered seawater + Na2C03 + ORS-164HF)_2003</t>
  </si>
  <si>
    <t>Reservoir</t>
  </si>
  <si>
    <t>STOIIP (MMSTB)</t>
  </si>
  <si>
    <t>Recovery_Factor_pct</t>
  </si>
  <si>
    <t>Present_EUR_MMSTB</t>
  </si>
  <si>
    <t>Avg_Porosity_pct</t>
  </si>
  <si>
    <t>Initial_Oil_Sat_pct</t>
  </si>
  <si>
    <t>Current_Oil_Sat_pct</t>
  </si>
  <si>
    <t>Initial_Reservoir_Pressure_kPa</t>
  </si>
  <si>
    <t>Current_Reservoir_Pressure_kPa</t>
  </si>
  <si>
    <t>Fracture_Pressure_kPa</t>
  </si>
  <si>
    <t>Reservoir_Temperature_C</t>
  </si>
  <si>
    <t>MOST SUITABLE PROCESS</t>
  </si>
  <si>
    <t>OTHERS PASS METHOD</t>
  </si>
  <si>
    <t>INCREMENTAL EUR (%OOIP)</t>
  </si>
  <si>
    <t>INCREMENTAL EUR (MMSTB)</t>
  </si>
  <si>
    <t xml:space="preserve">Dulang </t>
  </si>
  <si>
    <t>E10/11</t>
  </si>
  <si>
    <t>HCMF WAG</t>
  </si>
  <si>
    <t>IGAS CO2 WAG, IGAS-N2 WAG, WFLD, HORZ WFLD</t>
  </si>
  <si>
    <t>E12/13</t>
  </si>
  <si>
    <t>HORZ WFLD, IGAS-CO2 WAG, IGAS-N2 WAG</t>
  </si>
  <si>
    <t>E14</t>
  </si>
  <si>
    <t>IGAS-CO2 WAG, IGAS-N2 WAG</t>
  </si>
  <si>
    <t>Dulang</t>
  </si>
  <si>
    <t>E7</t>
  </si>
  <si>
    <t>IGAS-CO2 NON WAG</t>
  </si>
  <si>
    <t>HCMF NON-WAG, IGAS-N2 NON-WAG</t>
  </si>
  <si>
    <t>LDI</t>
  </si>
  <si>
    <t>WFLD</t>
  </si>
  <si>
    <t xml:space="preserve">HORZ </t>
  </si>
  <si>
    <t xml:space="preserve">East Bunga Kekwa </t>
  </si>
  <si>
    <t>I-115</t>
  </si>
  <si>
    <t>CO2M WAG, IGAS-CO2 WAG, HORZ, IGAS-N2 WAG</t>
  </si>
  <si>
    <t>J-70</t>
  </si>
  <si>
    <t>CO2M WAG</t>
  </si>
  <si>
    <t>East Bunga Orchid</t>
  </si>
  <si>
    <t>K-21A</t>
  </si>
  <si>
    <t>HCMF WAG, CO2M NON WAG, HCMF NON WAG</t>
  </si>
  <si>
    <t>East Bunga Raya</t>
  </si>
  <si>
    <t>CO2M WAG/HCMF WAG</t>
  </si>
  <si>
    <t>West Bunga Kekwa</t>
  </si>
  <si>
    <t>I-90</t>
  </si>
  <si>
    <t>HCMF WAG, HORZ WF</t>
  </si>
  <si>
    <t>J-60</t>
  </si>
  <si>
    <t>Kepong</t>
  </si>
  <si>
    <t xml:space="preserve"> J18/20</t>
  </si>
  <si>
    <t>CO2M NON WAG</t>
  </si>
  <si>
    <t>HCMF NON WAG</t>
  </si>
  <si>
    <t>Seligi</t>
  </si>
  <si>
    <t>K-10</t>
  </si>
  <si>
    <t>HORZ-PR</t>
  </si>
  <si>
    <t xml:space="preserve">Semangkok </t>
  </si>
  <si>
    <t>E6/16</t>
  </si>
  <si>
    <t>Tabu</t>
  </si>
  <si>
    <t>Lower I</t>
  </si>
  <si>
    <t xml:space="preserve">Tabu </t>
  </si>
  <si>
    <t>Upper I</t>
  </si>
  <si>
    <t>Tapis</t>
  </si>
  <si>
    <t>Upper J</t>
  </si>
  <si>
    <t xml:space="preserve">Tapis </t>
  </si>
  <si>
    <t>Lower J</t>
  </si>
  <si>
    <t xml:space="preserve">Guntong </t>
  </si>
  <si>
    <t xml:space="preserve">Tiong </t>
  </si>
  <si>
    <t>J-20/21</t>
  </si>
  <si>
    <t>Tinggi</t>
  </si>
  <si>
    <t>J-18/20</t>
  </si>
  <si>
    <t>CO2M Non-WAG</t>
  </si>
  <si>
    <t xml:space="preserve">Baronia </t>
  </si>
  <si>
    <t>RV2</t>
  </si>
  <si>
    <t xml:space="preserve">Barton </t>
  </si>
  <si>
    <t>G/H</t>
  </si>
  <si>
    <t>ALSP</t>
  </si>
  <si>
    <t xml:space="preserve">Bayan </t>
  </si>
  <si>
    <t>S4.5</t>
  </si>
  <si>
    <t xml:space="preserve">Betty </t>
  </si>
  <si>
    <t>L7</t>
  </si>
  <si>
    <t>HCMF NON-WAG</t>
  </si>
  <si>
    <t xml:space="preserve">D18 </t>
  </si>
  <si>
    <t>Area 1 &amp; 2</t>
  </si>
  <si>
    <t xml:space="preserve">Samarang </t>
  </si>
  <si>
    <t>1/2A-J1/4</t>
  </si>
  <si>
    <t xml:space="preserve">South Furious Cen. </t>
  </si>
  <si>
    <t>Slice3 PT05</t>
  </si>
  <si>
    <t>SRFP</t>
  </si>
  <si>
    <t>Slice2 PT05</t>
  </si>
  <si>
    <t xml:space="preserve">South Furious East </t>
  </si>
  <si>
    <t>Zone2-SR0026</t>
  </si>
  <si>
    <t xml:space="preserve">St Joseph </t>
  </si>
  <si>
    <t>B/G</t>
  </si>
  <si>
    <t>IGAS-WAG, SRFP, ALSP</t>
  </si>
  <si>
    <t xml:space="preserve">Tembungo West </t>
  </si>
  <si>
    <t>L-1</t>
  </si>
  <si>
    <t>-</t>
  </si>
  <si>
    <t xml:space="preserve">Tukau </t>
  </si>
  <si>
    <t>1-I1/6</t>
  </si>
  <si>
    <t>D35</t>
  </si>
  <si>
    <t>C2B1</t>
  </si>
  <si>
    <t>HCMF WAG, HCMF NON-WAG, IGAS-CO2, IGAS-N2</t>
  </si>
  <si>
    <t>C2B2</t>
  </si>
  <si>
    <t>SIWA</t>
  </si>
  <si>
    <t>J-5/9</t>
  </si>
  <si>
    <t>Guntong</t>
  </si>
  <si>
    <t>LD1</t>
  </si>
  <si>
    <t>East Bunga Orkid</t>
  </si>
  <si>
    <t>HORZ -PR</t>
  </si>
  <si>
    <t>East Bunga Kekwa</t>
  </si>
  <si>
    <t>J20/21</t>
  </si>
  <si>
    <t>Tiong</t>
  </si>
  <si>
    <t>HORZ -BW</t>
  </si>
  <si>
    <t>E-6/16</t>
  </si>
  <si>
    <t>Semangkok</t>
  </si>
  <si>
    <t>E 7</t>
  </si>
  <si>
    <t>E 14</t>
  </si>
  <si>
    <t>E 12/13</t>
  </si>
  <si>
    <t>E 10/11</t>
  </si>
  <si>
    <t>Incremental_EUR_MMSTB</t>
  </si>
  <si>
    <t>Incremental_EUR_pct_OOIP</t>
  </si>
  <si>
    <t>Most_Suitable_Process</t>
  </si>
  <si>
    <t>STOIIP_MMSTB</t>
  </si>
  <si>
    <t>Dataset</t>
  </si>
  <si>
    <t>Formulation</t>
  </si>
  <si>
    <t>Figure</t>
  </si>
  <si>
    <t>Page</t>
  </si>
  <si>
    <t>Validated</t>
  </si>
  <si>
    <t>Phase</t>
  </si>
  <si>
    <t>TDS_wt_pct</t>
  </si>
  <si>
    <t>Solubilization_cc_per_cc</t>
  </si>
  <si>
    <t>Intersection</t>
  </si>
  <si>
    <t>TypeIIIRegion_Min</t>
  </si>
  <si>
    <t>TypeIIIRegion_Max</t>
  </si>
  <si>
    <t>MarkerType</t>
  </si>
  <si>
    <t>MarkerValue</t>
  </si>
  <si>
    <t>Material</t>
  </si>
  <si>
    <t>Temperature_C</t>
  </si>
  <si>
    <t>DaysInOven</t>
  </si>
  <si>
    <t>Viscosity_cP</t>
  </si>
  <si>
    <t>PhaseBehavior</t>
  </si>
  <si>
    <t>11</t>
  </si>
  <si>
    <t>4</t>
  </si>
  <si>
    <t>Y</t>
  </si>
  <si>
    <t>oil</t>
  </si>
  <si>
    <t>water</t>
  </si>
  <si>
    <t>5</t>
  </si>
  <si>
    <t>15</t>
  </si>
  <si>
    <t>6</t>
  </si>
  <si>
    <t>16</t>
  </si>
  <si>
    <t>7</t>
  </si>
  <si>
    <t>17</t>
  </si>
  <si>
    <t>8</t>
  </si>
  <si>
    <t>18</t>
  </si>
  <si>
    <t>9</t>
  </si>
  <si>
    <t>22</t>
  </si>
  <si>
    <t>10</t>
  </si>
  <si>
    <t>23</t>
  </si>
  <si>
    <t>24</t>
  </si>
  <si>
    <t>12</t>
  </si>
  <si>
    <t>25</t>
  </si>
  <si>
    <t>13</t>
  </si>
  <si>
    <t>26</t>
  </si>
  <si>
    <t>14</t>
  </si>
  <si>
    <t>27</t>
  </si>
  <si>
    <t>28</t>
  </si>
  <si>
    <t>29</t>
  </si>
  <si>
    <t>30</t>
  </si>
  <si>
    <t>31</t>
  </si>
  <si>
    <t>19</t>
  </si>
  <si>
    <t>35</t>
  </si>
  <si>
    <t>20</t>
  </si>
  <si>
    <t>40</t>
  </si>
  <si>
    <t>21</t>
  </si>
  <si>
    <t>40-2</t>
  </si>
  <si>
    <t>40-3</t>
  </si>
  <si>
    <t>42</t>
  </si>
  <si>
    <t>43</t>
  </si>
  <si>
    <t>43-2</t>
  </si>
  <si>
    <t>43-3</t>
  </si>
  <si>
    <t>44</t>
  </si>
  <si>
    <t>2</t>
  </si>
  <si>
    <t>3</t>
  </si>
  <si>
    <t>Viscosity</t>
  </si>
  <si>
    <t>Superpusher</t>
  </si>
  <si>
    <t>Polymer A</t>
  </si>
  <si>
    <t xml:space="preserve">Formulation 7. Figure 2 . Page 17 </t>
  </si>
  <si>
    <t>repeat this</t>
  </si>
  <si>
    <t xml:space="preserve">water </t>
  </si>
  <si>
    <t xml:space="preserve">X axis </t>
  </si>
  <si>
    <t xml:space="preserve">Y axis </t>
  </si>
  <si>
    <t xml:space="preserve">Page </t>
  </si>
  <si>
    <t xml:space="preserve">Formulation </t>
  </si>
  <si>
    <t>Total Dissolved Solid ( TDS) (wt%)</t>
  </si>
  <si>
    <t xml:space="preserve">Solubilization Ratio ( cc/cc) </t>
  </si>
  <si>
    <t>Formulation 7</t>
  </si>
  <si>
    <t xml:space="preserve">Type III Region_Min </t>
  </si>
  <si>
    <t>Type III Region_Max</t>
  </si>
  <si>
    <t xml:space="preserve">Formulation 9. Figure 3 . Page 18 </t>
  </si>
  <si>
    <t>Formulation 9</t>
  </si>
  <si>
    <t xml:space="preserve">Formulation 11. Figure 4 . Page 18 </t>
  </si>
  <si>
    <t>[VALIDATED]</t>
  </si>
  <si>
    <t>Formulation 11</t>
  </si>
  <si>
    <t xml:space="preserve">Formulation 11. Figure 5 . Page 19 </t>
  </si>
  <si>
    <t xml:space="preserve">Formulation 15. Figure 6 . Page 19 </t>
  </si>
  <si>
    <t>Formulation 15</t>
  </si>
  <si>
    <t>Formulation 16. Figure 7 . Page 20</t>
  </si>
  <si>
    <t>Formulation 16</t>
  </si>
  <si>
    <t xml:space="preserve">Formulation 17. Figure 8 . Page 20 </t>
  </si>
  <si>
    <t>Formulation 17</t>
  </si>
  <si>
    <t>Formulation 18. Figure 9 . Page 21</t>
  </si>
  <si>
    <t>Formulation 18</t>
  </si>
  <si>
    <t>Formulation 22. Figure 10. Page 21</t>
  </si>
  <si>
    <t>Formulation 22</t>
  </si>
  <si>
    <t>Formulation 23. Figure 11 . Page 22</t>
  </si>
  <si>
    <t>Formulation 23</t>
  </si>
  <si>
    <t xml:space="preserve">Formulation 24. Figure 12 . Page 22 </t>
  </si>
  <si>
    <t>Formulation 24</t>
  </si>
  <si>
    <t xml:space="preserve">Formulation 25. Figure 13 . Page 23 </t>
  </si>
  <si>
    <t>Formulation 25</t>
  </si>
  <si>
    <t>Formulation 26. Figure 14 . Page 23</t>
  </si>
  <si>
    <t>Formulation 26</t>
  </si>
  <si>
    <t>Formulation 27. Figure 15 . Page 24</t>
  </si>
  <si>
    <t>Formulation 27</t>
  </si>
  <si>
    <t>Formulation 28. Figure 16 . Page 24</t>
  </si>
  <si>
    <t>Formulation 28</t>
  </si>
  <si>
    <t>Formulation 29. Figure 17 . Page 25</t>
  </si>
  <si>
    <t>Formulation 30. Figure 18 . Page 25</t>
  </si>
  <si>
    <t>Formulation 30</t>
  </si>
  <si>
    <t>Formulation 31. Figure 19 . Page 26</t>
  </si>
  <si>
    <t>Formulation 31</t>
  </si>
  <si>
    <t>Formulation 35. Figure 20 . Page 26</t>
  </si>
  <si>
    <t>Formulation 35</t>
  </si>
  <si>
    <t>Formulation 40. Figure 21 . Page 27</t>
  </si>
  <si>
    <t>Formulation 40</t>
  </si>
  <si>
    <t>Formulation 40-2. Figure 22 . Page 27</t>
  </si>
  <si>
    <t>Formulation 40-2</t>
  </si>
  <si>
    <t>Formulation 40-3. Figure 23 . Page 28</t>
  </si>
  <si>
    <t>Formulation 40-3</t>
  </si>
  <si>
    <t>Formulation 42. Figure 24. Page 28</t>
  </si>
  <si>
    <t>Formulation 42</t>
  </si>
  <si>
    <t>Formulation 43. Figure 25 . Page 29</t>
  </si>
  <si>
    <t>Formulation 43</t>
  </si>
  <si>
    <t>Formulation 43-2. Figure 26 . Page 29</t>
  </si>
  <si>
    <t>Formulation 43-2</t>
  </si>
  <si>
    <t>E</t>
  </si>
  <si>
    <t>Formulation 43-3. Figure 27 . Page 30</t>
  </si>
  <si>
    <t>Formulation 43-3</t>
  </si>
  <si>
    <t>Formulation 44. Figure 28 . Page 30</t>
  </si>
  <si>
    <t>Formulation 44</t>
  </si>
  <si>
    <t>Figure 29 . Viscosity of Superpusher vs Days in Oven</t>
  </si>
  <si>
    <t>T=100 degC</t>
  </si>
  <si>
    <t>T=110 degC</t>
  </si>
  <si>
    <t>T=120 degC</t>
  </si>
  <si>
    <t>Days in Oven</t>
  </si>
  <si>
    <t>Viscosity (cP)</t>
  </si>
  <si>
    <t>Figure 30 . Viscosity of Polymer A vs Days in Oven</t>
  </si>
  <si>
    <t>#</t>
  </si>
  <si>
    <t xml:space="preserve">IFT low  dyne/cm </t>
  </si>
  <si>
    <t xml:space="preserve">IFT high  dyne/cm </t>
  </si>
  <si>
    <t>Pass Phase Behavior Test ?</t>
  </si>
  <si>
    <t>Agent 2385-81A (S)</t>
  </si>
  <si>
    <t xml:space="preserve">Agent 2385-81B (S)  </t>
  </si>
  <si>
    <t>Onyxide 200 MW/OF (S)</t>
  </si>
  <si>
    <t>Sample no. 6-82 (S)</t>
  </si>
  <si>
    <t>Sample no. 6-79 (S)</t>
  </si>
  <si>
    <t>Sample no. 6-77 (S)</t>
  </si>
  <si>
    <t>SS 6060 (S)</t>
  </si>
  <si>
    <t>SS 6066 (S)</t>
  </si>
  <si>
    <t>SS 6046 (S)</t>
  </si>
  <si>
    <t>ORS-43HF (S)</t>
  </si>
  <si>
    <t>ORS-46HF  (S)</t>
  </si>
  <si>
    <t>ORS-64HF (S)</t>
  </si>
  <si>
    <t>Petronate EOR-2095 (S)</t>
  </si>
  <si>
    <t>Petronate EOR-2037(S)</t>
  </si>
  <si>
    <t>6-72 (S) &amp;  NaOH (A) (i35LW)</t>
  </si>
  <si>
    <t>6-72 (S) &amp; Na2CO3 (A)  (i35LW)</t>
  </si>
  <si>
    <t>6-72 (S) &amp;  NaOH (A) (i68)</t>
  </si>
  <si>
    <t>6-72 (S) &amp; Na2CO3 (A) (i68)</t>
  </si>
  <si>
    <t>Formulation 1 : S3B + S1 (S+CS)</t>
  </si>
  <si>
    <t>Formulation 2 : S3B + S2  (S+CS)</t>
  </si>
  <si>
    <t>Formulation 3 : C8 + S2  (S+CS)</t>
  </si>
  <si>
    <t>Formulation 4 : M2 + S2  (S+CS)</t>
  </si>
  <si>
    <t>Formulation 5 : A6 + S2  (S+CS)</t>
  </si>
  <si>
    <t>Formulation 6 : C1 + S2  (S+CS)</t>
  </si>
  <si>
    <t>Formulation 7 : M2 + S3B  (S+CS)</t>
  </si>
  <si>
    <t>Formulation 8 : C8 + S3B  (S+CS)</t>
  </si>
  <si>
    <t>Formulation 9 : M2 + S3B  (S+CS)</t>
  </si>
  <si>
    <t>Formulation 10 : M2 + S3B  (S+CS)</t>
  </si>
  <si>
    <t>Formulation 1 : M2 + S3B  (S+CS)</t>
  </si>
  <si>
    <t>Formulation 12 : M2 + S3B  (S+CS)</t>
  </si>
  <si>
    <t>Formulation 13 : M2 + S3B  (S+CS)</t>
  </si>
  <si>
    <t>Formulation 14 : M2 + S3B  (S+CS)</t>
  </si>
  <si>
    <t>Formulation 15 : M2 + S3B  (S+CS)</t>
  </si>
  <si>
    <t>Formulation 16 : M2 + S3B  (S+CS)</t>
  </si>
  <si>
    <t>Formulation 17 : M2 + S3B  (S+CS)</t>
  </si>
  <si>
    <t>Formulation 18 : M2 + S3B  (S+CS)</t>
  </si>
  <si>
    <t>Formulation 19 : C8 + S3B  (S+CS)</t>
  </si>
  <si>
    <t>Formulation 20 : C1 + S3B  (S+CS)</t>
  </si>
  <si>
    <t>Formulation 21 : C1 + S3B  (S+CS)</t>
  </si>
  <si>
    <t>Formulation 22 : M2 + S3B  (S+CS)</t>
  </si>
  <si>
    <t>Formulation 23 :M2 + S3B  (S+CS)</t>
  </si>
  <si>
    <t>Formulation 24 : M2 + S3B  (S+CS)</t>
  </si>
  <si>
    <t>Formulation 25 : M2 + S3B  (S+CS)</t>
  </si>
  <si>
    <t>Formulation 26 : M2 + S2  (S+CS)</t>
  </si>
  <si>
    <t>Formulation 27 : M2 + S3B  (S+CS)</t>
  </si>
  <si>
    <t>Formulation 28 : M2 + S3B (S+CS)</t>
  </si>
  <si>
    <t>Formulation 29 : M2 + S3B  (S+CS)</t>
  </si>
  <si>
    <t>Formulation 30 : M2 + S3B  (S+CS)</t>
  </si>
  <si>
    <t>Formulation 31 : M2 + S3B (S+CS)</t>
  </si>
  <si>
    <t>Formulation 32 : M2 + S3B  (S+CS)</t>
  </si>
  <si>
    <t>Formulation 34 : M3 + S3B (S+CS)</t>
  </si>
  <si>
    <t>Formulation 35 : M2 + S3B (S+CS)</t>
  </si>
  <si>
    <t>Formulation 36 : M2 +S12 (S+CS)</t>
  </si>
  <si>
    <t>Formulation 37 : S12 + S3B (S+CS)</t>
  </si>
  <si>
    <t>Formulation 38 : M2 + S3B  (S+CS)</t>
  </si>
  <si>
    <t>Formulation 39 : M2 + S3B  (S+CS)</t>
  </si>
  <si>
    <t>Formulation 40 : M2 + S3B (S+CS)</t>
  </si>
  <si>
    <t>Formulation 40#2 : M2 + S3B  (S+CS)</t>
  </si>
  <si>
    <t>Formulation 40#3 : M2 + S3B  (S+CS)</t>
  </si>
  <si>
    <t>Formulation 41 : M2 + S3B  (S+CS)</t>
  </si>
  <si>
    <t>Formulation 42 : M2 + S3B  (S+CS)</t>
  </si>
  <si>
    <t>Formulation 43 : M2 + S3B  (S+CS)</t>
  </si>
  <si>
    <t>Formulation 43#2 : M2 + S3B  (S+CS)</t>
  </si>
  <si>
    <t>Formulation 43#23 : M2 + S3B  (S+CS)</t>
  </si>
  <si>
    <t>Formulation 44 : M2 + S3B  (S+CS)</t>
  </si>
  <si>
    <t>Formulation 45 : SXS + S3B  (S+CS)</t>
  </si>
  <si>
    <t>Formulation 46 : S3B + S3B  (S+CS)</t>
  </si>
  <si>
    <t xml:space="preserve">Number </t>
  </si>
  <si>
    <t>Formulation (A/S/P)</t>
  </si>
  <si>
    <t>Remarks</t>
  </si>
  <si>
    <t xml:space="preserve">Percipitation </t>
  </si>
  <si>
    <t xml:space="preserve">No Percepitation </t>
  </si>
  <si>
    <t>Agent 2385-81A (S) + Superfloc BD319 (P)</t>
  </si>
  <si>
    <t>Agent 2385-81B  (S)  + Superfloc BD319 (P)</t>
  </si>
  <si>
    <t>Onyxide 200 MW/OF (S)  + Superfloc BD319 (P)</t>
  </si>
  <si>
    <t>Sample no. 6-82 (S) + Superfloc BD319 (P)</t>
  </si>
  <si>
    <t>Sample no. 6-79(S)  + Superfloc BD319 (P)</t>
  </si>
  <si>
    <t>Sample no. 6-77(S)  + Superfloc BD319 (P)</t>
  </si>
  <si>
    <t>SS 6060(S)  + Superfloc BD319 (P)</t>
  </si>
  <si>
    <t>SS 6066(S)   + Superfloc BD319 (P)</t>
  </si>
  <si>
    <t>SS 6046 (S) + Superfloc BD319 (P)</t>
  </si>
  <si>
    <t>ORS-43HF(S)  + Superfloc BD319 (P)</t>
  </si>
  <si>
    <t>ORS-46HF(S)  + Superfloc BD319 (P)</t>
  </si>
  <si>
    <t>ORS-64HF(S)  + Superfloc BD319 (P)</t>
  </si>
  <si>
    <t>Petronate EOR-2095(S)  + Superfloc BD319 (P)</t>
  </si>
  <si>
    <t>Petronate EOR-2037 (S) + Superfloc BD319 (P)</t>
  </si>
  <si>
    <t>6-72 (S) &amp;  NaOH (A)(i35LW)</t>
  </si>
  <si>
    <r>
      <t>6-72 (S) &amp; Na</t>
    </r>
    <r>
      <rPr>
        <vertAlign val="sub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CO</t>
    </r>
    <r>
      <rPr>
        <vertAlign val="subscript"/>
        <sz val="11"/>
        <color theme="1"/>
        <rFont val="Aptos Narrow"/>
        <family val="2"/>
      </rPr>
      <t>3</t>
    </r>
    <r>
      <rPr>
        <sz val="11"/>
        <color theme="1"/>
        <rFont val="Aptos Narrow"/>
        <family val="2"/>
      </rPr>
      <t xml:space="preserve"> (A) (i35LW)</t>
    </r>
  </si>
  <si>
    <t>6-72 (S)  &amp;  NaOH (A) (i68)</t>
  </si>
  <si>
    <r>
      <t>6-72(S)  &amp; Na</t>
    </r>
    <r>
      <rPr>
        <vertAlign val="sub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CO</t>
    </r>
    <r>
      <rPr>
        <vertAlign val="subscript"/>
        <sz val="11"/>
        <color theme="1"/>
        <rFont val="Aptos Narrow"/>
        <family val="2"/>
      </rPr>
      <t xml:space="preserve">3 </t>
    </r>
    <r>
      <rPr>
        <sz val="11"/>
        <color theme="1"/>
        <rFont val="Aptos Narrow"/>
        <family val="2"/>
      </rPr>
      <t>(A) (i68)</t>
    </r>
  </si>
  <si>
    <t xml:space="preserve">No interaction surfactant and oil </t>
  </si>
  <si>
    <t xml:space="preserve">Cloudy </t>
  </si>
  <si>
    <t>Pass</t>
  </si>
  <si>
    <t xml:space="preserve">Clear up till 5% salinity  only </t>
  </si>
  <si>
    <t xml:space="preserve">Clear up till 5% salinity only </t>
  </si>
  <si>
    <t xml:space="preserve">Macro emulsion  </t>
  </si>
  <si>
    <t>40 #2</t>
  </si>
  <si>
    <t xml:space="preserve">Type III. Pass </t>
  </si>
  <si>
    <t>40 #3</t>
  </si>
  <si>
    <t>43#2</t>
  </si>
  <si>
    <t>43#3</t>
  </si>
  <si>
    <t xml:space="preserve">Superfloc BD319_2013 </t>
  </si>
  <si>
    <t>Flopaam 3430S_2013</t>
  </si>
  <si>
    <t>Alcoflood 1285 REL</t>
  </si>
  <si>
    <t xml:space="preserve"> Superfloc BD274 </t>
  </si>
  <si>
    <t xml:space="preserve">Alcoflood 1275A </t>
  </si>
  <si>
    <t xml:space="preserve"> Magnafloc 358 </t>
  </si>
  <si>
    <t xml:space="preserve">Flopaam 3330S </t>
  </si>
  <si>
    <t xml:space="preserve"> AN 125 </t>
  </si>
  <si>
    <t>9 Superfloc BD317</t>
  </si>
  <si>
    <t xml:space="preserve">10 Flopaam 3630S </t>
  </si>
  <si>
    <t>11 Superfloc BD318</t>
  </si>
  <si>
    <t>12 Cynatrol 720H</t>
  </si>
  <si>
    <t xml:space="preserve">13 Flopaam 3530S </t>
  </si>
  <si>
    <t xml:space="preserve">14 Alcoflood 1235 </t>
  </si>
  <si>
    <t>Types of EOR</t>
  </si>
  <si>
    <t xml:space="preserve">Type of Study </t>
  </si>
  <si>
    <t>LATITUDE</t>
  </si>
  <si>
    <t>LONGITUDE</t>
  </si>
  <si>
    <t>CEOR ASP</t>
  </si>
  <si>
    <t xml:space="preserve">R&amp;D /Lab Reports </t>
  </si>
  <si>
    <t>CEOR AS</t>
  </si>
  <si>
    <t>Pilot Field Application</t>
  </si>
  <si>
    <t xml:space="preserve">CEOR AS </t>
  </si>
  <si>
    <t xml:space="preserve">FDP Study </t>
  </si>
  <si>
    <t xml:space="preserve">CEOR ASP </t>
  </si>
  <si>
    <t>SITOS Report</t>
  </si>
  <si>
    <t xml:space="preserve">CEOR Polymer </t>
  </si>
  <si>
    <t>Presentation Pack</t>
  </si>
  <si>
    <t xml:space="preserve">WAG </t>
  </si>
  <si>
    <t>R&amp;D Report</t>
  </si>
  <si>
    <t>MEOR</t>
  </si>
  <si>
    <t>EWAG</t>
  </si>
  <si>
    <t xml:space="preserve">CEOR S-Foam </t>
  </si>
  <si>
    <t>CEOR Alkaline</t>
  </si>
  <si>
    <t>OOR</t>
  </si>
  <si>
    <t>Baram</t>
  </si>
  <si>
    <t>WAG</t>
  </si>
  <si>
    <t>Baronia</t>
  </si>
  <si>
    <t>Nanoparticle</t>
  </si>
  <si>
    <t>Evaluation Report</t>
  </si>
  <si>
    <t>Betty</t>
  </si>
  <si>
    <t>4.60881 </t>
  </si>
  <si>
    <t>Bokor</t>
  </si>
  <si>
    <t>Samarang</t>
  </si>
  <si>
    <t>GASWAG</t>
  </si>
  <si>
    <t>South Furious 30</t>
  </si>
  <si>
    <t>Barton</t>
  </si>
  <si>
    <t>St Joseph</t>
  </si>
  <si>
    <t>Sumandak</t>
  </si>
  <si>
    <t>West Lutong</t>
  </si>
  <si>
    <t>Core Floof Sample</t>
  </si>
  <si>
    <t xml:space="preserve">Alkali Type &amp; Concentration  </t>
  </si>
  <si>
    <t>Surfactant Type &amp; Concentration</t>
  </si>
  <si>
    <t xml:space="preserve">Polymer Type &amp; Concentration  </t>
  </si>
  <si>
    <t>1 % NaOH</t>
  </si>
  <si>
    <t>0.075% ORS6-72</t>
  </si>
  <si>
    <t>1000 ppm SuperPusher</t>
  </si>
  <si>
    <r>
      <t>1 % Na</t>
    </r>
    <r>
      <rPr>
        <vertAlign val="subscript"/>
        <sz val="9"/>
        <color theme="1"/>
        <rFont val="Arial"/>
        <family val="2"/>
      </rPr>
      <t>2</t>
    </r>
    <r>
      <rPr>
        <sz val="9"/>
        <color theme="1"/>
        <rFont val="Arial"/>
        <family val="2"/>
      </rPr>
      <t>C0</t>
    </r>
    <r>
      <rPr>
        <vertAlign val="subscript"/>
        <sz val="9"/>
        <color theme="1"/>
        <rFont val="Arial"/>
        <family val="2"/>
      </rPr>
      <t>3</t>
    </r>
  </si>
  <si>
    <t>% NaOH</t>
  </si>
  <si>
    <t>ORS 6-49</t>
  </si>
  <si>
    <t>Flopaam 3630ST</t>
  </si>
  <si>
    <t>% Na2C03</t>
  </si>
  <si>
    <t xml:space="preserve"> 6 -72</t>
  </si>
  <si>
    <t>Flopaam 3430ST</t>
  </si>
  <si>
    <t xml:space="preserve"> 6 -79</t>
  </si>
  <si>
    <t>HE 300</t>
  </si>
  <si>
    <t>AN125</t>
  </si>
  <si>
    <t>S</t>
  </si>
  <si>
    <t>0.1% 6-79</t>
  </si>
  <si>
    <t>AS</t>
  </si>
  <si>
    <t>0.05% NaOH</t>
  </si>
  <si>
    <t>0.05% 6-72</t>
  </si>
  <si>
    <t>0.15% 6-79</t>
  </si>
  <si>
    <t>0.05% HE300</t>
  </si>
  <si>
    <t>0.075% 6-72</t>
  </si>
  <si>
    <t>0.03% AN125</t>
  </si>
  <si>
    <t>0.05% AN125</t>
  </si>
  <si>
    <t>1.25 % NaOH</t>
  </si>
  <si>
    <t>0.1% 6-72</t>
  </si>
  <si>
    <t>AS+P</t>
  </si>
  <si>
    <r>
      <t>1 % NA</t>
    </r>
    <r>
      <rPr>
        <vertAlign val="subscript"/>
        <sz val="8"/>
        <color theme="1"/>
        <rFont val="Arial"/>
        <family val="2"/>
      </rPr>
      <t>2</t>
    </r>
    <r>
      <rPr>
        <sz val="8"/>
        <color theme="1"/>
        <rFont val="Arial"/>
        <family val="2"/>
      </rPr>
      <t>Co3</t>
    </r>
  </si>
  <si>
    <t>0.05% ORS-164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</si>
</sst>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yyyy\-mm\-dd"/>
  </numFmts>
  <fonts count="34">
    <font>
      <sz val="11"/>
      <name val="Carlito"/>
    </font>
    <font>
      <sz val="11"/>
      <color theme="1"/>
      <name val="Arial"/>
      <family val="2"/>
    </font>
    <font>
      <b/>
      <sz val="14"/>
      <color rgb="FF005B50"/>
      <name val="Carlito"/>
    </font>
    <font>
      <b/>
      <sz val="11"/>
      <color rgb="FFFFFFFF"/>
      <name val="Carlito"/>
    </font>
    <font>
      <b/>
      <sz val="11"/>
      <color rgb="FF005B50"/>
      <name val="Carlito"/>
    </font>
    <font>
      <b/>
      <sz val="11"/>
      <name val="Carlito"/>
    </font>
    <font>
      <b/>
      <sz val="14"/>
      <color rgb="FF00796B"/>
      <name val="Carlito"/>
    </font>
    <font>
      <b/>
      <sz val="11"/>
      <color rgb="FF00796B"/>
      <name val="Carlito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rgb="FFFFFFFF"/>
      <name val="Aptos"/>
    </font>
    <font>
      <b/>
      <sz val="14"/>
      <color rgb="FF000000"/>
      <name val="Aptos"/>
    </font>
    <font>
      <sz val="14"/>
      <color rgb="FF000000"/>
      <name val="Aptos"/>
    </font>
    <font>
      <sz val="11"/>
      <color indexed="8"/>
      <name val="Calibri"/>
      <family val="2"/>
    </font>
    <font>
      <b/>
      <sz val="11"/>
      <name val="Calibri"/>
    </font>
    <font>
      <b/>
      <sz val="11"/>
      <color rgb="FFFF0000"/>
      <name val="Arial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</font>
    <font>
      <sz val="11"/>
      <color rgb="FF00B050"/>
      <name val="Aptos Narrow"/>
      <family val="2"/>
    </font>
    <font>
      <sz val="11"/>
      <color rgb="FFFF0000"/>
      <name val="Aptos Narrow"/>
      <family val="2"/>
    </font>
    <font>
      <vertAlign val="subscript"/>
      <sz val="11"/>
      <color theme="1"/>
      <name val="Aptos Narrow"/>
      <family val="2"/>
    </font>
    <font>
      <sz val="18"/>
      <color rgb="FFFF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vertAlign val="subscript"/>
      <sz val="9"/>
      <color theme="1"/>
      <name val="Arial"/>
      <family val="2"/>
    </font>
    <font>
      <sz val="8"/>
      <color theme="1"/>
      <name val="Arial"/>
      <family val="2"/>
    </font>
    <font>
      <vertAlign val="subscript"/>
      <sz val="8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E0F2F1"/>
      </patternFill>
    </fill>
    <fill>
      <patternFill patternType="solid">
        <fgColor rgb="FF00796B"/>
      </patternFill>
    </fill>
    <fill>
      <patternFill patternType="solid">
        <fgColor rgb="FFFFFFFF"/>
      </patternFill>
    </fill>
    <fill>
      <patternFill patternType="solid">
        <fgColor rgb="FF00796B"/>
      </patternFill>
    </fill>
    <fill>
      <patternFill patternType="solid">
        <fgColor rgb="FFE0F2F1"/>
      </patternFill>
    </fill>
    <fill>
      <patternFill patternType="solid">
        <fgColor theme="0" tint="-0.249977111117893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CCD2D8"/>
        <bgColor indexed="64"/>
      </patternFill>
    </fill>
    <fill>
      <patternFill patternType="solid">
        <fgColor rgb="FFE7EAED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4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9E1E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1"/>
    <xf numFmtId="0" fontId="1" fillId="0" borderId="1"/>
  </cellStyleXfs>
  <cellXfs count="321">
    <xf numFmtId="0" fontId="0" fillId="0" borderId="0" xfId="0"/>
    <xf numFmtId="0" fontId="2" fillId="2" borderId="0" xfId="0" applyFont="1" applyFill="1"/>
    <xf numFmtId="0" fontId="3" fillId="3" borderId="0" xfId="0" applyFont="1" applyFill="1"/>
    <xf numFmtId="0" fontId="4" fillId="2" borderId="0" xfId="0" applyFont="1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4" borderId="0" xfId="0" applyFill="1" applyAlignment="1">
      <alignment wrapText="1"/>
    </xf>
    <xf numFmtId="16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164" fontId="0" fillId="0" borderId="0" xfId="0" applyNumberFormat="1" applyAlignment="1">
      <alignment wrapText="1"/>
    </xf>
    <xf numFmtId="0" fontId="2" fillId="2" borderId="0" xfId="0" applyFont="1" applyFill="1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wrapText="1"/>
    </xf>
    <xf numFmtId="0" fontId="7" fillId="6" borderId="0" xfId="0" applyFont="1" applyFill="1" applyAlignment="1">
      <alignment wrapText="1"/>
    </xf>
    <xf numFmtId="0" fontId="7" fillId="6" borderId="0" xfId="0" applyFont="1" applyFill="1" applyAlignment="1">
      <alignment horizontal="center" wrapText="1"/>
    </xf>
    <xf numFmtId="0" fontId="9" fillId="0" borderId="1" xfId="1" applyFont="1" applyAlignment="1">
      <alignment wrapText="1"/>
    </xf>
    <xf numFmtId="0" fontId="8" fillId="0" borderId="1" xfId="1" applyAlignment="1">
      <alignment wrapText="1"/>
    </xf>
    <xf numFmtId="0" fontId="8" fillId="0" borderId="1" xfId="1"/>
    <xf numFmtId="0" fontId="10" fillId="7" borderId="2" xfId="1" applyFont="1" applyFill="1" applyBorder="1" applyAlignment="1">
      <alignment horizontal="center" vertical="center" wrapText="1"/>
    </xf>
    <xf numFmtId="0" fontId="10" fillId="7" borderId="2" xfId="1" applyFont="1" applyFill="1" applyBorder="1" applyAlignment="1">
      <alignment horizontal="center" vertical="center"/>
    </xf>
    <xf numFmtId="0" fontId="8" fillId="0" borderId="2" xfId="1" applyBorder="1" applyAlignment="1">
      <alignment wrapText="1"/>
    </xf>
    <xf numFmtId="0" fontId="8" fillId="0" borderId="2" xfId="1" applyBorder="1"/>
    <xf numFmtId="9" fontId="8" fillId="0" borderId="2" xfId="1" applyNumberFormat="1" applyBorder="1"/>
    <xf numFmtId="14" fontId="8" fillId="0" borderId="2" xfId="1" applyNumberFormat="1" applyBorder="1"/>
    <xf numFmtId="0" fontId="8" fillId="0" borderId="2" xfId="1" applyBorder="1" applyAlignment="1">
      <alignment horizontal="right"/>
    </xf>
    <xf numFmtId="0" fontId="11" fillId="0" borderId="1" xfId="1" applyFont="1" applyAlignment="1">
      <alignment horizontal="center" vertical="center" wrapText="1"/>
    </xf>
    <xf numFmtId="0" fontId="11" fillId="0" borderId="1" xfId="1" applyFont="1" applyAlignment="1">
      <alignment vertical="center" wrapText="1"/>
    </xf>
    <xf numFmtId="0" fontId="8" fillId="0" borderId="1" xfId="1" applyAlignment="1">
      <alignment vertical="center" wrapText="1"/>
    </xf>
    <xf numFmtId="17" fontId="8" fillId="0" borderId="2" xfId="1" applyNumberFormat="1" applyBorder="1"/>
    <xf numFmtId="165" fontId="8" fillId="0" borderId="2" xfId="1" applyNumberFormat="1" applyBorder="1" applyAlignment="1">
      <alignment horizontal="center"/>
    </xf>
    <xf numFmtId="0" fontId="11" fillId="0" borderId="1" xfId="1" applyFont="1" applyAlignment="1">
      <alignment wrapText="1"/>
    </xf>
    <xf numFmtId="0" fontId="0" fillId="8" borderId="3" xfId="0" applyFill="1" applyBorder="1" applyAlignment="1" applyProtection="1">
      <alignment horizontal="right"/>
      <protection locked="0"/>
    </xf>
    <xf numFmtId="0" fontId="11" fillId="0" borderId="2" xfId="1" applyFont="1" applyBorder="1" applyAlignment="1">
      <alignment horizontal="center" vertical="top" wrapText="1"/>
    </xf>
    <xf numFmtId="0" fontId="15" fillId="0" borderId="1" xfId="2" applyFont="1" applyAlignment="1">
      <alignment horizontal="center" wrapText="1"/>
    </xf>
    <xf numFmtId="0" fontId="16" fillId="9" borderId="1" xfId="2" applyFont="1" applyFill="1" applyAlignment="1">
      <alignment horizontal="center" wrapText="1"/>
    </xf>
    <xf numFmtId="0" fontId="1" fillId="0" borderId="1" xfId="2" applyAlignment="1">
      <alignment horizontal="center" vertical="center" wrapText="1"/>
    </xf>
    <xf numFmtId="0" fontId="1" fillId="0" borderId="1" xfId="2"/>
    <xf numFmtId="0" fontId="16" fillId="9" borderId="4" xfId="2" applyFont="1" applyFill="1" applyBorder="1" applyAlignment="1">
      <alignment horizontal="center" wrapText="1"/>
    </xf>
    <xf numFmtId="164" fontId="1" fillId="0" borderId="1" xfId="2" applyNumberFormat="1" applyAlignment="1">
      <alignment horizontal="center" vertical="center" wrapText="1"/>
    </xf>
    <xf numFmtId="0" fontId="16" fillId="10" borderId="5" xfId="2" applyFont="1" applyFill="1" applyBorder="1" applyAlignment="1">
      <alignment horizontal="center" wrapText="1"/>
    </xf>
    <xf numFmtId="0" fontId="16" fillId="9" borderId="5" xfId="2" applyFont="1" applyFill="1" applyBorder="1" applyAlignment="1">
      <alignment horizontal="center" wrapText="1"/>
    </xf>
    <xf numFmtId="0" fontId="16" fillId="9" borderId="6" xfId="2" applyFont="1" applyFill="1" applyBorder="1" applyAlignment="1">
      <alignment horizontal="center" wrapText="1"/>
    </xf>
    <xf numFmtId="0" fontId="15" fillId="11" borderId="7" xfId="2" applyFont="1" applyFill="1" applyBorder="1" applyAlignment="1">
      <alignment horizontal="center" wrapText="1"/>
    </xf>
    <xf numFmtId="0" fontId="15" fillId="12" borderId="7" xfId="2" applyFont="1" applyFill="1" applyBorder="1" applyAlignment="1">
      <alignment horizontal="center" wrapText="1"/>
    </xf>
    <xf numFmtId="0" fontId="15" fillId="13" borderId="7" xfId="2" applyFont="1" applyFill="1" applyBorder="1" applyAlignment="1">
      <alignment horizontal="center" wrapText="1"/>
    </xf>
    <xf numFmtId="0" fontId="15" fillId="14" borderId="7" xfId="2" applyFont="1" applyFill="1" applyBorder="1" applyAlignment="1">
      <alignment horizontal="center" wrapText="1"/>
    </xf>
    <xf numFmtId="0" fontId="15" fillId="15" borderId="7" xfId="2" applyFont="1" applyFill="1" applyBorder="1" applyAlignment="1">
      <alignment horizontal="center" wrapText="1"/>
    </xf>
    <xf numFmtId="0" fontId="15" fillId="16" borderId="7" xfId="2" applyFont="1" applyFill="1" applyBorder="1" applyAlignment="1">
      <alignment horizontal="center" wrapText="1"/>
    </xf>
    <xf numFmtId="0" fontId="15" fillId="17" borderId="8" xfId="2" applyFont="1" applyFill="1" applyBorder="1" applyAlignment="1">
      <alignment horizontal="center" wrapText="1"/>
    </xf>
    <xf numFmtId="0" fontId="15" fillId="0" borderId="1" xfId="2" applyFont="1"/>
    <xf numFmtId="0" fontId="15" fillId="11" borderId="2" xfId="2" applyFont="1" applyFill="1" applyBorder="1" applyAlignment="1">
      <alignment horizontal="center" wrapText="1"/>
    </xf>
    <xf numFmtId="0" fontId="16" fillId="12" borderId="2" xfId="2" applyFont="1" applyFill="1" applyBorder="1" applyAlignment="1">
      <alignment horizontal="center" wrapText="1"/>
    </xf>
    <xf numFmtId="0" fontId="15" fillId="12" borderId="2" xfId="2" applyFont="1" applyFill="1" applyBorder="1" applyAlignment="1">
      <alignment horizontal="center" wrapText="1"/>
    </xf>
    <xf numFmtId="0" fontId="15" fillId="13" borderId="2" xfId="2" applyFont="1" applyFill="1" applyBorder="1" applyAlignment="1">
      <alignment horizontal="center" wrapText="1"/>
    </xf>
    <xf numFmtId="0" fontId="15" fillId="14" borderId="2" xfId="2" applyFont="1" applyFill="1" applyBorder="1" applyAlignment="1">
      <alignment horizontal="center" wrapText="1"/>
    </xf>
    <xf numFmtId="0" fontId="15" fillId="15" borderId="2" xfId="2" applyFont="1" applyFill="1" applyBorder="1" applyAlignment="1">
      <alignment horizontal="center" wrapText="1"/>
    </xf>
    <xf numFmtId="164" fontId="15" fillId="15" borderId="2" xfId="2" applyNumberFormat="1" applyFont="1" applyFill="1" applyBorder="1" applyAlignment="1">
      <alignment horizontal="center" wrapText="1"/>
    </xf>
    <xf numFmtId="164" fontId="15" fillId="12" borderId="2" xfId="2" applyNumberFormat="1" applyFont="1" applyFill="1" applyBorder="1" applyAlignment="1">
      <alignment horizontal="center" wrapText="1"/>
    </xf>
    <xf numFmtId="164" fontId="15" fillId="13" borderId="2" xfId="2" applyNumberFormat="1" applyFont="1" applyFill="1" applyBorder="1" applyAlignment="1">
      <alignment horizontal="center" wrapText="1"/>
    </xf>
    <xf numFmtId="164" fontId="15" fillId="16" borderId="1" xfId="2" applyNumberFormat="1" applyFont="1" applyFill="1" applyAlignment="1">
      <alignment horizontal="center" wrapText="1"/>
    </xf>
    <xf numFmtId="0" fontId="15" fillId="17" borderId="9" xfId="2" applyFont="1" applyFill="1" applyBorder="1" applyAlignment="1">
      <alignment horizontal="center" wrapText="1"/>
    </xf>
    <xf numFmtId="0" fontId="15" fillId="11" borderId="10" xfId="2" applyFont="1" applyFill="1" applyBorder="1" applyAlignment="1">
      <alignment horizontal="center" wrapText="1"/>
    </xf>
    <xf numFmtId="0" fontId="16" fillId="12" borderId="10" xfId="2" applyFont="1" applyFill="1" applyBorder="1" applyAlignment="1">
      <alignment horizontal="center" wrapText="1"/>
    </xf>
    <xf numFmtId="0" fontId="15" fillId="12" borderId="10" xfId="2" applyFont="1" applyFill="1" applyBorder="1" applyAlignment="1">
      <alignment horizontal="center" wrapText="1"/>
    </xf>
    <xf numFmtId="0" fontId="15" fillId="13" borderId="10" xfId="2" applyFont="1" applyFill="1" applyBorder="1" applyAlignment="1">
      <alignment horizontal="center" wrapText="1"/>
    </xf>
    <xf numFmtId="0" fontId="15" fillId="14" borderId="10" xfId="2" applyFont="1" applyFill="1" applyBorder="1" applyAlignment="1">
      <alignment horizontal="center" wrapText="1"/>
    </xf>
    <xf numFmtId="0" fontId="15" fillId="15" borderId="10" xfId="2" applyFont="1" applyFill="1" applyBorder="1" applyAlignment="1">
      <alignment horizontal="center" wrapText="1"/>
    </xf>
    <xf numFmtId="164" fontId="15" fillId="15" borderId="10" xfId="2" applyNumberFormat="1" applyFont="1" applyFill="1" applyBorder="1" applyAlignment="1">
      <alignment horizontal="center" wrapText="1"/>
    </xf>
    <xf numFmtId="164" fontId="15" fillId="12" borderId="10" xfId="2" applyNumberFormat="1" applyFont="1" applyFill="1" applyBorder="1" applyAlignment="1">
      <alignment horizontal="center" wrapText="1"/>
    </xf>
    <xf numFmtId="164" fontId="15" fillId="13" borderId="10" xfId="2" applyNumberFormat="1" applyFont="1" applyFill="1" applyBorder="1" applyAlignment="1">
      <alignment horizontal="center" wrapText="1"/>
    </xf>
    <xf numFmtId="0" fontId="15" fillId="0" borderId="11" xfId="2" applyFont="1" applyBorder="1" applyAlignment="1">
      <alignment horizontal="center" wrapText="1"/>
    </xf>
    <xf numFmtId="0" fontId="15" fillId="17" borderId="12" xfId="2" applyFont="1" applyFill="1" applyBorder="1" applyAlignment="1">
      <alignment horizontal="center" wrapText="1"/>
    </xf>
    <xf numFmtId="0" fontId="16" fillId="12" borderId="13" xfId="2" applyFont="1" applyFill="1" applyBorder="1" applyAlignment="1">
      <alignment horizontal="center" wrapText="1"/>
    </xf>
    <xf numFmtId="0" fontId="15" fillId="12" borderId="13" xfId="2" applyFont="1" applyFill="1" applyBorder="1" applyAlignment="1">
      <alignment horizontal="center" wrapText="1"/>
    </xf>
    <xf numFmtId="0" fontId="15" fillId="13" borderId="13" xfId="2" applyFont="1" applyFill="1" applyBorder="1" applyAlignment="1">
      <alignment horizontal="center" wrapText="1"/>
    </xf>
    <xf numFmtId="0" fontId="15" fillId="14" borderId="13" xfId="2" applyFont="1" applyFill="1" applyBorder="1" applyAlignment="1">
      <alignment horizontal="center" wrapText="1"/>
    </xf>
    <xf numFmtId="0" fontId="15" fillId="15" borderId="13" xfId="2" applyFont="1" applyFill="1" applyBorder="1" applyAlignment="1">
      <alignment horizontal="center" wrapText="1"/>
    </xf>
    <xf numFmtId="164" fontId="15" fillId="15" borderId="13" xfId="2" applyNumberFormat="1" applyFont="1" applyFill="1" applyBorder="1" applyAlignment="1">
      <alignment horizontal="center" wrapText="1"/>
    </xf>
    <xf numFmtId="164" fontId="15" fillId="12" borderId="13" xfId="2" applyNumberFormat="1" applyFont="1" applyFill="1" applyBorder="1" applyAlignment="1">
      <alignment horizontal="center" wrapText="1"/>
    </xf>
    <xf numFmtId="164" fontId="15" fillId="13" borderId="13" xfId="2" applyNumberFormat="1" applyFont="1" applyFill="1" applyBorder="1" applyAlignment="1">
      <alignment horizontal="center" wrapText="1"/>
    </xf>
    <xf numFmtId="0" fontId="15" fillId="0" borderId="14" xfId="2" applyFont="1" applyBorder="1" applyAlignment="1">
      <alignment horizontal="center" wrapText="1"/>
    </xf>
    <xf numFmtId="0" fontId="15" fillId="17" borderId="15" xfId="2" applyFont="1" applyFill="1" applyBorder="1" applyAlignment="1">
      <alignment horizontal="center" wrapText="1"/>
    </xf>
    <xf numFmtId="0" fontId="16" fillId="12" borderId="7" xfId="2" applyFont="1" applyFill="1" applyBorder="1" applyAlignment="1">
      <alignment horizontal="center" wrapText="1"/>
    </xf>
    <xf numFmtId="164" fontId="15" fillId="15" borderId="7" xfId="2" applyNumberFormat="1" applyFont="1" applyFill="1" applyBorder="1" applyAlignment="1">
      <alignment horizontal="center" wrapText="1"/>
    </xf>
    <xf numFmtId="164" fontId="15" fillId="12" borderId="7" xfId="2" applyNumberFormat="1" applyFont="1" applyFill="1" applyBorder="1" applyAlignment="1">
      <alignment horizontal="center" wrapText="1"/>
    </xf>
    <xf numFmtId="164" fontId="15" fillId="13" borderId="7" xfId="2" applyNumberFormat="1" applyFont="1" applyFill="1" applyBorder="1" applyAlignment="1">
      <alignment horizontal="center" wrapText="1"/>
    </xf>
    <xf numFmtId="164" fontId="15" fillId="15" borderId="16" xfId="2" applyNumberFormat="1" applyFont="1" applyFill="1" applyBorder="1" applyAlignment="1">
      <alignment horizontal="center" wrapText="1"/>
    </xf>
    <xf numFmtId="0" fontId="15" fillId="18" borderId="14" xfId="2" applyFont="1" applyFill="1" applyBorder="1" applyAlignment="1">
      <alignment horizontal="center" wrapText="1"/>
    </xf>
    <xf numFmtId="0" fontId="15" fillId="0" borderId="13" xfId="2" applyFont="1" applyBorder="1" applyAlignment="1">
      <alignment horizontal="center" wrapText="1"/>
    </xf>
    <xf numFmtId="2" fontId="15" fillId="15" borderId="16" xfId="2" applyNumberFormat="1" applyFont="1" applyFill="1" applyBorder="1" applyAlignment="1">
      <alignment horizontal="center" wrapText="1"/>
    </xf>
    <xf numFmtId="164" fontId="15" fillId="0" borderId="13" xfId="2" applyNumberFormat="1" applyFont="1" applyBorder="1" applyAlignment="1">
      <alignment horizontal="center" wrapText="1"/>
    </xf>
    <xf numFmtId="0" fontId="16" fillId="12" borderId="16" xfId="2" applyFont="1" applyFill="1" applyBorder="1" applyAlignment="1">
      <alignment horizontal="center" wrapText="1"/>
    </xf>
    <xf numFmtId="0" fontId="15" fillId="13" borderId="16" xfId="2" applyFont="1" applyFill="1" applyBorder="1" applyAlignment="1">
      <alignment horizontal="center" wrapText="1"/>
    </xf>
    <xf numFmtId="0" fontId="15" fillId="12" borderId="16" xfId="2" applyFont="1" applyFill="1" applyBorder="1" applyAlignment="1">
      <alignment horizontal="center" wrapText="1"/>
    </xf>
    <xf numFmtId="0" fontId="15" fillId="17" borderId="17" xfId="2" applyFont="1" applyFill="1" applyBorder="1" applyAlignment="1">
      <alignment horizontal="center" wrapText="1"/>
    </xf>
    <xf numFmtId="0" fontId="15" fillId="18" borderId="1" xfId="2" applyFont="1" applyFill="1" applyAlignment="1">
      <alignment horizontal="center" wrapText="1"/>
    </xf>
    <xf numFmtId="0" fontId="15" fillId="0" borderId="2" xfId="2" applyFont="1" applyBorder="1" applyAlignment="1">
      <alignment horizontal="center" wrapText="1"/>
    </xf>
    <xf numFmtId="2" fontId="15" fillId="15" borderId="7" xfId="2" applyNumberFormat="1" applyFont="1" applyFill="1" applyBorder="1" applyAlignment="1">
      <alignment horizontal="center" wrapText="1"/>
    </xf>
    <xf numFmtId="164" fontId="15" fillId="0" borderId="2" xfId="2" applyNumberFormat="1" applyFont="1" applyBorder="1" applyAlignment="1">
      <alignment horizontal="center" wrapText="1"/>
    </xf>
    <xf numFmtId="0" fontId="15" fillId="17" borderId="18" xfId="2" applyFont="1" applyFill="1" applyBorder="1" applyAlignment="1">
      <alignment horizontal="center" wrapText="1"/>
    </xf>
    <xf numFmtId="0" fontId="16" fillId="0" borderId="2" xfId="2" applyFont="1" applyBorder="1" applyAlignment="1">
      <alignment horizontal="center" wrapText="1"/>
    </xf>
    <xf numFmtId="0" fontId="15" fillId="18" borderId="11" xfId="2" applyFont="1" applyFill="1" applyBorder="1" applyAlignment="1">
      <alignment horizontal="center" wrapText="1"/>
    </xf>
    <xf numFmtId="0" fontId="16" fillId="0" borderId="10" xfId="2" applyFont="1" applyBorder="1" applyAlignment="1">
      <alignment horizontal="center" wrapText="1"/>
    </xf>
    <xf numFmtId="0" fontId="15" fillId="0" borderId="10" xfId="2" applyFont="1" applyBorder="1" applyAlignment="1">
      <alignment horizontal="center" wrapText="1"/>
    </xf>
    <xf numFmtId="2" fontId="15" fillId="15" borderId="10" xfId="2" applyNumberFormat="1" applyFont="1" applyFill="1" applyBorder="1" applyAlignment="1">
      <alignment horizontal="center" wrapText="1"/>
    </xf>
    <xf numFmtId="164" fontId="15" fillId="0" borderId="10" xfId="2" applyNumberFormat="1" applyFont="1" applyBorder="1" applyAlignment="1">
      <alignment horizontal="center" wrapText="1"/>
    </xf>
    <xf numFmtId="0" fontId="15" fillId="17" borderId="19" xfId="2" applyFont="1" applyFill="1" applyBorder="1" applyAlignment="1">
      <alignment horizontal="center" wrapText="1"/>
    </xf>
    <xf numFmtId="0" fontId="17" fillId="19" borderId="20" xfId="2" applyFont="1" applyFill="1" applyBorder="1" applyAlignment="1">
      <alignment horizontal="left" vertical="center" readingOrder="1"/>
    </xf>
    <xf numFmtId="0" fontId="18" fillId="20" borderId="21" xfId="2" applyFont="1" applyFill="1" applyBorder="1" applyAlignment="1">
      <alignment horizontal="left" vertical="center" wrapText="1" readingOrder="1"/>
    </xf>
    <xf numFmtId="0" fontId="19" fillId="20" borderId="21" xfId="2" applyFont="1" applyFill="1" applyBorder="1" applyAlignment="1">
      <alignment horizontal="left" vertical="center" wrapText="1" readingOrder="1"/>
    </xf>
    <xf numFmtId="0" fontId="1" fillId="0" borderId="1" xfId="2" applyAlignment="1">
      <alignment wrapText="1"/>
    </xf>
    <xf numFmtId="0" fontId="18" fillId="21" borderId="22" xfId="2" applyFont="1" applyFill="1" applyBorder="1" applyAlignment="1">
      <alignment horizontal="left" vertical="center" wrapText="1" readingOrder="1"/>
    </xf>
    <xf numFmtId="0" fontId="19" fillId="21" borderId="22" xfId="2" applyFont="1" applyFill="1" applyBorder="1" applyAlignment="1">
      <alignment horizontal="left" vertical="center" wrapText="1" readingOrder="1"/>
    </xf>
    <xf numFmtId="0" fontId="18" fillId="20" borderId="22" xfId="2" applyFont="1" applyFill="1" applyBorder="1" applyAlignment="1">
      <alignment horizontal="left" vertical="center" wrapText="1" readingOrder="1"/>
    </xf>
    <xf numFmtId="0" fontId="19" fillId="20" borderId="22" xfId="2" applyFont="1" applyFill="1" applyBorder="1" applyAlignment="1">
      <alignment horizontal="left" vertical="center" wrapText="1" readingOrder="1"/>
    </xf>
    <xf numFmtId="0" fontId="20" fillId="0" borderId="1" xfId="2" applyFont="1"/>
    <xf numFmtId="1" fontId="20" fillId="0" borderId="1" xfId="2" applyNumberFormat="1" applyFont="1"/>
    <xf numFmtId="0" fontId="1" fillId="0" borderId="1" xfId="2" applyAlignment="1">
      <alignment horizontal="center" vertical="center"/>
    </xf>
    <xf numFmtId="0" fontId="1" fillId="13" borderId="1" xfId="2" applyFill="1" applyAlignment="1">
      <alignment horizontal="center" vertical="center"/>
    </xf>
    <xf numFmtId="0" fontId="1" fillId="22" borderId="1" xfId="2" applyFill="1"/>
    <xf numFmtId="1" fontId="1" fillId="22" borderId="1" xfId="2" applyNumberFormat="1" applyFill="1"/>
    <xf numFmtId="1" fontId="1" fillId="0" borderId="1" xfId="2" applyNumberFormat="1"/>
    <xf numFmtId="0" fontId="11" fillId="0" borderId="2" xfId="1" applyFont="1" applyBorder="1" applyAlignment="1">
      <alignment horizontal="center" vertical="top"/>
    </xf>
    <xf numFmtId="0" fontId="11" fillId="0" borderId="23" xfId="1" applyFont="1" applyBorder="1" applyAlignment="1">
      <alignment horizontal="center" vertical="top"/>
    </xf>
    <xf numFmtId="0" fontId="11" fillId="0" borderId="24" xfId="1" applyFont="1" applyBorder="1" applyAlignment="1">
      <alignment horizontal="center" vertical="top"/>
    </xf>
    <xf numFmtId="2" fontId="8" fillId="0" borderId="1" xfId="1" applyNumberFormat="1"/>
    <xf numFmtId="0" fontId="8" fillId="15" borderId="1" xfId="1" applyFill="1"/>
    <xf numFmtId="1" fontId="8" fillId="0" borderId="1" xfId="1" applyNumberFormat="1"/>
    <xf numFmtId="0" fontId="21" fillId="0" borderId="2" xfId="1" applyFont="1" applyBorder="1" applyAlignment="1">
      <alignment horizontal="center" vertical="top"/>
    </xf>
    <xf numFmtId="0" fontId="1" fillId="23" borderId="1" xfId="2" applyFill="1"/>
    <xf numFmtId="0" fontId="12" fillId="23" borderId="1" xfId="2" applyFont="1" applyFill="1"/>
    <xf numFmtId="0" fontId="22" fillId="0" borderId="1" xfId="2" applyFont="1"/>
    <xf numFmtId="0" fontId="1" fillId="24" borderId="1" xfId="2" applyFill="1"/>
    <xf numFmtId="0" fontId="1" fillId="25" borderId="1" xfId="2" applyFill="1" applyAlignment="1">
      <alignment horizontal="center" vertical="center"/>
    </xf>
    <xf numFmtId="0" fontId="1" fillId="26" borderId="1" xfId="2" applyFill="1" applyAlignment="1">
      <alignment horizontal="center" vertical="center"/>
    </xf>
    <xf numFmtId="0" fontId="1" fillId="27" borderId="25" xfId="2" applyFill="1" applyBorder="1" applyAlignment="1">
      <alignment horizontal="center"/>
    </xf>
    <xf numFmtId="0" fontId="1" fillId="27" borderId="26" xfId="2" applyFill="1" applyBorder="1" applyAlignment="1">
      <alignment horizontal="center"/>
    </xf>
    <xf numFmtId="0" fontId="14" fillId="0" borderId="27" xfId="2" applyFont="1" applyBorder="1" applyAlignment="1">
      <alignment horizontal="center" vertical="center"/>
    </xf>
    <xf numFmtId="0" fontId="14" fillId="0" borderId="28" xfId="2" applyFont="1" applyBorder="1" applyAlignment="1">
      <alignment horizontal="center" vertical="center"/>
    </xf>
    <xf numFmtId="0" fontId="14" fillId="27" borderId="13" xfId="2" applyFont="1" applyFill="1" applyBorder="1" applyAlignment="1">
      <alignment horizontal="center" vertical="center"/>
    </xf>
    <xf numFmtId="0" fontId="14" fillId="27" borderId="10" xfId="2" applyFont="1" applyFill="1" applyBorder="1" applyAlignment="1">
      <alignment horizontal="center" vertical="center"/>
    </xf>
    <xf numFmtId="0" fontId="14" fillId="27" borderId="29" xfId="2" applyFont="1" applyFill="1" applyBorder="1" applyAlignment="1">
      <alignment horizontal="center" vertical="center"/>
    </xf>
    <xf numFmtId="0" fontId="14" fillId="27" borderId="30" xfId="2" applyFont="1" applyFill="1" applyBorder="1" applyAlignment="1">
      <alignment horizontal="center" vertical="center"/>
    </xf>
    <xf numFmtId="0" fontId="1" fillId="0" borderId="25" xfId="2" applyBorder="1"/>
    <xf numFmtId="0" fontId="1" fillId="0" borderId="26" xfId="2" applyBorder="1"/>
    <xf numFmtId="0" fontId="1" fillId="0" borderId="14" xfId="2" applyBorder="1" applyAlignment="1">
      <alignment horizontal="center"/>
    </xf>
    <xf numFmtId="2" fontId="1" fillId="0" borderId="11" xfId="2" applyNumberFormat="1" applyBorder="1" applyAlignment="1">
      <alignment horizontal="center"/>
    </xf>
    <xf numFmtId="0" fontId="1" fillId="0" borderId="25" xfId="2" applyBorder="1" applyAlignment="1">
      <alignment horizontal="center" vertical="center"/>
    </xf>
    <xf numFmtId="0" fontId="1" fillId="0" borderId="26" xfId="2" applyBorder="1" applyAlignment="1">
      <alignment horizontal="center" vertical="center"/>
    </xf>
    <xf numFmtId="0" fontId="1" fillId="0" borderId="14" xfId="2" applyBorder="1"/>
    <xf numFmtId="0" fontId="1" fillId="0" borderId="11" xfId="2" applyBorder="1"/>
    <xf numFmtId="0" fontId="1" fillId="0" borderId="14" xfId="2" applyBorder="1" applyAlignment="1">
      <alignment horizontal="center" vertical="center"/>
    </xf>
    <xf numFmtId="0" fontId="1" fillId="0" borderId="11" xfId="2" applyBorder="1" applyAlignment="1">
      <alignment horizontal="center" vertical="center"/>
    </xf>
    <xf numFmtId="0" fontId="1" fillId="0" borderId="15" xfId="2" applyBorder="1" applyAlignment="1">
      <alignment horizontal="center" vertical="center"/>
    </xf>
    <xf numFmtId="0" fontId="1" fillId="0" borderId="12" xfId="2" applyBorder="1" applyAlignment="1">
      <alignment horizontal="center" vertical="center"/>
    </xf>
    <xf numFmtId="0" fontId="1" fillId="27" borderId="14" xfId="2" applyFill="1" applyBorder="1" applyAlignment="1">
      <alignment horizontal="center" vertical="center"/>
    </xf>
    <xf numFmtId="0" fontId="1" fillId="27" borderId="11" xfId="2" applyFill="1" applyBorder="1" applyAlignment="1">
      <alignment horizontal="center" vertical="center"/>
    </xf>
    <xf numFmtId="2" fontId="1" fillId="0" borderId="10" xfId="2" applyNumberFormat="1" applyBorder="1" applyAlignment="1">
      <alignment horizontal="center"/>
    </xf>
    <xf numFmtId="0" fontId="1" fillId="0" borderId="15" xfId="2" applyBorder="1"/>
    <xf numFmtId="0" fontId="1" fillId="0" borderId="12" xfId="2" applyBorder="1"/>
    <xf numFmtId="0" fontId="1" fillId="0" borderId="15" xfId="2" applyBorder="1" applyAlignment="1">
      <alignment horizontal="center"/>
    </xf>
    <xf numFmtId="2" fontId="1" fillId="0" borderId="12" xfId="2" applyNumberFormat="1" applyBorder="1" applyAlignment="1">
      <alignment horizontal="center"/>
    </xf>
    <xf numFmtId="0" fontId="1" fillId="27" borderId="15" xfId="2" applyFill="1" applyBorder="1" applyAlignment="1">
      <alignment horizontal="center" vertical="center"/>
    </xf>
    <xf numFmtId="0" fontId="1" fillId="27" borderId="12" xfId="2" applyFill="1" applyBorder="1" applyAlignment="1">
      <alignment horizontal="center" vertical="center"/>
    </xf>
    <xf numFmtId="0" fontId="14" fillId="0" borderId="31" xfId="2" applyFont="1" applyBorder="1" applyAlignment="1">
      <alignment horizontal="center" vertical="center"/>
    </xf>
    <xf numFmtId="0" fontId="1" fillId="28" borderId="31" xfId="2" applyFill="1" applyBorder="1" applyAlignment="1">
      <alignment horizontal="center" vertical="center"/>
    </xf>
    <xf numFmtId="0" fontId="1" fillId="0" borderId="31" xfId="2" applyBorder="1" applyAlignment="1">
      <alignment horizontal="center" vertical="center"/>
    </xf>
    <xf numFmtId="0" fontId="14" fillId="0" borderId="9" xfId="2" applyFont="1" applyBorder="1" applyAlignment="1">
      <alignment horizontal="center" vertical="center"/>
    </xf>
    <xf numFmtId="0" fontId="1" fillId="28" borderId="9" xfId="2" applyFill="1" applyBorder="1" applyAlignment="1">
      <alignment horizontal="center" vertical="center"/>
    </xf>
    <xf numFmtId="0" fontId="1" fillId="0" borderId="9" xfId="2" applyBorder="1" applyAlignment="1">
      <alignment horizontal="center" vertical="center"/>
    </xf>
    <xf numFmtId="0" fontId="14" fillId="0" borderId="1" xfId="2" applyFont="1" applyAlignment="1">
      <alignment horizontal="center" vertical="center"/>
    </xf>
    <xf numFmtId="0" fontId="1" fillId="15" borderId="1" xfId="2" applyFill="1" applyAlignment="1">
      <alignment horizontal="center" vertical="center"/>
    </xf>
    <xf numFmtId="0" fontId="14" fillId="0" borderId="32" xfId="2" applyFont="1" applyBorder="1" applyAlignment="1">
      <alignment horizontal="center" vertical="center"/>
    </xf>
    <xf numFmtId="0" fontId="14" fillId="0" borderId="33" xfId="2" applyFont="1" applyBorder="1" applyAlignment="1">
      <alignment horizontal="center" vertical="center"/>
    </xf>
    <xf numFmtId="0" fontId="14" fillId="27" borderId="32" xfId="2" applyFont="1" applyFill="1" applyBorder="1" applyAlignment="1">
      <alignment horizontal="center" vertical="center"/>
    </xf>
    <xf numFmtId="0" fontId="14" fillId="27" borderId="34" xfId="2" applyFont="1" applyFill="1" applyBorder="1" applyAlignment="1">
      <alignment horizontal="center" vertical="center"/>
    </xf>
    <xf numFmtId="0" fontId="1" fillId="0" borderId="25" xfId="2" applyBorder="1" applyAlignment="1">
      <alignment horizontal="center"/>
    </xf>
    <xf numFmtId="0" fontId="1" fillId="27" borderId="14" xfId="2" applyFill="1" applyBorder="1" applyAlignment="1">
      <alignment horizontal="center"/>
    </xf>
    <xf numFmtId="0" fontId="1" fillId="27" borderId="11" xfId="2" applyFill="1" applyBorder="1"/>
    <xf numFmtId="0" fontId="1" fillId="27" borderId="14" xfId="2" applyFill="1" applyBorder="1"/>
    <xf numFmtId="0" fontId="1" fillId="27" borderId="15" xfId="2" applyFill="1" applyBorder="1" applyAlignment="1">
      <alignment horizontal="center"/>
    </xf>
    <xf numFmtId="0" fontId="1" fillId="27" borderId="12" xfId="2" applyFill="1" applyBorder="1"/>
    <xf numFmtId="0" fontId="1" fillId="27" borderId="15" xfId="2" applyFill="1" applyBorder="1"/>
    <xf numFmtId="0" fontId="14" fillId="23" borderId="1" xfId="2" applyFont="1" applyFill="1"/>
    <xf numFmtId="0" fontId="12" fillId="29" borderId="1" xfId="2" applyFont="1" applyFill="1" applyAlignment="1">
      <alignment horizontal="center"/>
    </xf>
    <xf numFmtId="0" fontId="14" fillId="0" borderId="1" xfId="2" applyFont="1"/>
    <xf numFmtId="2" fontId="1" fillId="0" borderId="14" xfId="2" applyNumberFormat="1" applyBorder="1"/>
    <xf numFmtId="2" fontId="1" fillId="0" borderId="11" xfId="2" applyNumberFormat="1" applyBorder="1"/>
    <xf numFmtId="2" fontId="1" fillId="27" borderId="14" xfId="2" applyNumberFormat="1" applyFill="1" applyBorder="1"/>
    <xf numFmtId="2" fontId="1" fillId="27" borderId="11" xfId="2" applyNumberFormat="1" applyFill="1" applyBorder="1"/>
    <xf numFmtId="0" fontId="13" fillId="0" borderId="14" xfId="2" applyFont="1" applyBorder="1"/>
    <xf numFmtId="0" fontId="13" fillId="0" borderId="11" xfId="2" applyFont="1" applyBorder="1"/>
    <xf numFmtId="2" fontId="13" fillId="18" borderId="14" xfId="2" applyNumberFormat="1" applyFont="1" applyFill="1" applyBorder="1"/>
    <xf numFmtId="2" fontId="13" fillId="18" borderId="11" xfId="2" applyNumberFormat="1" applyFont="1" applyFill="1" applyBorder="1"/>
    <xf numFmtId="0" fontId="13" fillId="27" borderId="14" xfId="2" applyFont="1" applyFill="1" applyBorder="1" applyAlignment="1">
      <alignment horizontal="center"/>
    </xf>
    <xf numFmtId="0" fontId="13" fillId="27" borderId="11" xfId="2" applyFont="1" applyFill="1" applyBorder="1"/>
    <xf numFmtId="0" fontId="13" fillId="18" borderId="14" xfId="2" applyFont="1" applyFill="1" applyBorder="1"/>
    <xf numFmtId="0" fontId="13" fillId="0" borderId="15" xfId="2" applyFont="1" applyBorder="1"/>
    <xf numFmtId="0" fontId="13" fillId="0" borderId="12" xfId="2" applyFont="1" applyBorder="1"/>
    <xf numFmtId="0" fontId="13" fillId="27" borderId="15" xfId="2" applyFont="1" applyFill="1" applyBorder="1" applyAlignment="1">
      <alignment horizontal="center"/>
    </xf>
    <xf numFmtId="0" fontId="13" fillId="27" borderId="12" xfId="2" applyFont="1" applyFill="1" applyBorder="1"/>
    <xf numFmtId="0" fontId="13" fillId="18" borderId="15" xfId="2" applyFont="1" applyFill="1" applyBorder="1"/>
    <xf numFmtId="0" fontId="13" fillId="18" borderId="12" xfId="2" applyFont="1" applyFill="1" applyBorder="1"/>
    <xf numFmtId="0" fontId="13" fillId="0" borderId="1" xfId="2" applyFont="1"/>
    <xf numFmtId="0" fontId="14" fillId="27" borderId="17" xfId="2" applyFont="1" applyFill="1" applyBorder="1" applyAlignment="1">
      <alignment horizontal="center" vertical="center"/>
    </xf>
    <xf numFmtId="0" fontId="14" fillId="27" borderId="19" xfId="2" applyFont="1" applyFill="1" applyBorder="1" applyAlignment="1">
      <alignment horizontal="center" vertical="center"/>
    </xf>
    <xf numFmtId="2" fontId="1" fillId="0" borderId="25" xfId="2" applyNumberFormat="1" applyBorder="1" applyAlignment="1">
      <alignment horizontal="center"/>
    </xf>
    <xf numFmtId="2" fontId="1" fillId="0" borderId="26" xfId="2" applyNumberFormat="1" applyBorder="1"/>
    <xf numFmtId="2" fontId="1" fillId="0" borderId="14" xfId="2" applyNumberFormat="1" applyBorder="1" applyAlignment="1">
      <alignment horizontal="center"/>
    </xf>
    <xf numFmtId="2" fontId="1" fillId="27" borderId="14" xfId="2" applyNumberFormat="1" applyFill="1" applyBorder="1" applyAlignment="1">
      <alignment horizontal="center"/>
    </xf>
    <xf numFmtId="164" fontId="1" fillId="27" borderId="11" xfId="2" applyNumberFormat="1" applyFill="1" applyBorder="1"/>
    <xf numFmtId="0" fontId="1" fillId="27" borderId="31" xfId="2" applyFill="1" applyBorder="1" applyAlignment="1">
      <alignment horizontal="center"/>
    </xf>
    <xf numFmtId="0" fontId="14" fillId="27" borderId="28" xfId="2" applyFont="1" applyFill="1" applyBorder="1" applyAlignment="1">
      <alignment horizontal="center" vertical="center"/>
    </xf>
    <xf numFmtId="2" fontId="1" fillId="0" borderId="1" xfId="2" applyNumberFormat="1"/>
    <xf numFmtId="2" fontId="1" fillId="18" borderId="14" xfId="2" applyNumberFormat="1" applyFill="1" applyBorder="1"/>
    <xf numFmtId="2" fontId="1" fillId="18" borderId="11" xfId="2" applyNumberFormat="1" applyFill="1" applyBorder="1"/>
    <xf numFmtId="0" fontId="1" fillId="27" borderId="1" xfId="2" applyFill="1"/>
    <xf numFmtId="0" fontId="1" fillId="27" borderId="9" xfId="2" applyFill="1" applyBorder="1"/>
    <xf numFmtId="0" fontId="1" fillId="18" borderId="15" xfId="2" applyFill="1" applyBorder="1"/>
    <xf numFmtId="0" fontId="1" fillId="18" borderId="12" xfId="2" applyFill="1" applyBorder="1"/>
    <xf numFmtId="0" fontId="14" fillId="27" borderId="35" xfId="2" applyFont="1" applyFill="1" applyBorder="1" applyAlignment="1">
      <alignment horizontal="center" vertical="center"/>
    </xf>
    <xf numFmtId="0" fontId="1" fillId="27" borderId="1" xfId="2" applyFill="1" applyAlignment="1">
      <alignment horizontal="center"/>
    </xf>
    <xf numFmtId="164" fontId="1" fillId="27" borderId="1" xfId="2" applyNumberFormat="1" applyFill="1"/>
    <xf numFmtId="0" fontId="1" fillId="25" borderId="25" xfId="2" applyFill="1" applyBorder="1" applyAlignment="1">
      <alignment horizontal="center" vertical="center"/>
    </xf>
    <xf numFmtId="0" fontId="1" fillId="25" borderId="31" xfId="2" applyFill="1" applyBorder="1" applyAlignment="1">
      <alignment horizontal="center" vertical="center"/>
    </xf>
    <xf numFmtId="0" fontId="1" fillId="26" borderId="31" xfId="2" applyFill="1" applyBorder="1" applyAlignment="1">
      <alignment horizontal="center" vertical="center"/>
    </xf>
    <xf numFmtId="0" fontId="1" fillId="26" borderId="26" xfId="2" applyFill="1" applyBorder="1" applyAlignment="1">
      <alignment horizontal="center" vertical="center"/>
    </xf>
    <xf numFmtId="2" fontId="1" fillId="0" borderId="15" xfId="2" applyNumberFormat="1" applyBorder="1"/>
    <xf numFmtId="2" fontId="1" fillId="0" borderId="12" xfId="2" applyNumberFormat="1" applyBorder="1"/>
    <xf numFmtId="2" fontId="1" fillId="0" borderId="25" xfId="2" applyNumberFormat="1" applyBorder="1"/>
    <xf numFmtId="0" fontId="14" fillId="27" borderId="36" xfId="2" applyFont="1" applyFill="1" applyBorder="1" applyAlignment="1">
      <alignment horizontal="center" vertical="center"/>
    </xf>
    <xf numFmtId="0" fontId="14" fillId="27" borderId="37" xfId="2" applyFont="1" applyFill="1" applyBorder="1" applyAlignment="1">
      <alignment horizontal="center" vertical="center"/>
    </xf>
    <xf numFmtId="0" fontId="12" fillId="23" borderId="1" xfId="2" applyFont="1" applyFill="1" applyAlignment="1">
      <alignment horizontal="center"/>
    </xf>
    <xf numFmtId="0" fontId="1" fillId="30" borderId="9" xfId="2" applyFill="1" applyBorder="1" applyAlignment="1">
      <alignment horizontal="center" vertical="center"/>
    </xf>
    <xf numFmtId="0" fontId="1" fillId="25" borderId="9" xfId="2" applyFill="1" applyBorder="1" applyAlignment="1">
      <alignment horizontal="center" vertical="center"/>
    </xf>
    <xf numFmtId="0" fontId="1" fillId="31" borderId="9" xfId="2" applyFill="1" applyBorder="1" applyAlignment="1">
      <alignment horizontal="center" vertical="center"/>
    </xf>
    <xf numFmtId="0" fontId="14" fillId="0" borderId="35" xfId="2" applyFont="1" applyBorder="1" applyAlignment="1">
      <alignment horizontal="center" vertical="center"/>
    </xf>
    <xf numFmtId="0" fontId="14" fillId="0" borderId="38" xfId="2" applyFont="1" applyBorder="1" applyAlignment="1">
      <alignment horizontal="center" vertical="center"/>
    </xf>
    <xf numFmtId="0" fontId="1" fillId="0" borderId="25" xfId="2" applyBorder="1" applyAlignment="1">
      <alignment horizontal="center" vertical="center"/>
    </xf>
    <xf numFmtId="0" fontId="1" fillId="0" borderId="26" xfId="2" applyBorder="1" applyAlignment="1">
      <alignment horizontal="center" vertical="center"/>
    </xf>
    <xf numFmtId="0" fontId="1" fillId="0" borderId="14" xfId="2" applyBorder="1" applyAlignment="1">
      <alignment horizontal="center" vertical="center"/>
    </xf>
    <xf numFmtId="0" fontId="1" fillId="0" borderId="11" xfId="2" applyBorder="1" applyAlignment="1">
      <alignment horizontal="center" vertical="center"/>
    </xf>
    <xf numFmtId="0" fontId="1" fillId="0" borderId="15" xfId="2" applyBorder="1" applyAlignment="1">
      <alignment horizontal="center" vertical="center"/>
    </xf>
    <xf numFmtId="0" fontId="1" fillId="0" borderId="12" xfId="2" applyBorder="1" applyAlignment="1">
      <alignment horizontal="center" vertical="center"/>
    </xf>
    <xf numFmtId="0" fontId="12" fillId="23" borderId="1" xfId="2" applyFont="1" applyFill="1" applyAlignment="1">
      <alignment horizontal="center"/>
    </xf>
    <xf numFmtId="0" fontId="1" fillId="30" borderId="9" xfId="2" applyFill="1" applyBorder="1" applyAlignment="1">
      <alignment horizontal="center" vertical="center"/>
    </xf>
    <xf numFmtId="0" fontId="1" fillId="25" borderId="9" xfId="2" applyFill="1" applyBorder="1" applyAlignment="1">
      <alignment horizontal="center" vertical="center"/>
    </xf>
    <xf numFmtId="0" fontId="1" fillId="31" borderId="9" xfId="2" applyFill="1" applyBorder="1" applyAlignment="1">
      <alignment horizontal="center" vertical="center"/>
    </xf>
    <xf numFmtId="0" fontId="14" fillId="0" borderId="35" xfId="2" applyFont="1" applyBorder="1" applyAlignment="1">
      <alignment horizontal="center" vertical="center"/>
    </xf>
    <xf numFmtId="0" fontId="14" fillId="0" borderId="38" xfId="2" applyFont="1" applyBorder="1" applyAlignment="1">
      <alignment horizontal="center" vertical="center"/>
    </xf>
    <xf numFmtId="1" fontId="1" fillId="0" borderId="14" xfId="2" applyNumberFormat="1" applyBorder="1"/>
    <xf numFmtId="0" fontId="1" fillId="0" borderId="39" xfId="2" applyBorder="1" applyAlignment="1">
      <alignment horizontal="center" vertical="center"/>
    </xf>
    <xf numFmtId="0" fontId="1" fillId="0" borderId="26" xfId="2" applyBorder="1" applyAlignment="1">
      <alignment horizontal="center"/>
    </xf>
    <xf numFmtId="0" fontId="1" fillId="0" borderId="11" xfId="2" applyBorder="1" applyAlignment="1">
      <alignment horizontal="center"/>
    </xf>
    <xf numFmtId="0" fontId="1" fillId="0" borderId="12" xfId="2" applyBorder="1" applyAlignment="1">
      <alignment horizontal="center"/>
    </xf>
    <xf numFmtId="0" fontId="23" fillId="22" borderId="18" xfId="2" applyFont="1" applyFill="1" applyBorder="1" applyAlignment="1">
      <alignment horizontal="center" vertical="center"/>
    </xf>
    <xf numFmtId="0" fontId="23" fillId="22" borderId="40" xfId="2" applyFont="1" applyFill="1" applyBorder="1" applyAlignment="1">
      <alignment horizontal="center" vertical="center"/>
    </xf>
    <xf numFmtId="0" fontId="23" fillId="22" borderId="2" xfId="2" applyFont="1" applyFill="1" applyBorder="1" applyAlignment="1">
      <alignment horizontal="center" vertical="center"/>
    </xf>
    <xf numFmtId="0" fontId="23" fillId="25" borderId="2" xfId="2" applyFont="1" applyFill="1" applyBorder="1" applyAlignment="1">
      <alignment horizontal="center" vertical="center"/>
    </xf>
    <xf numFmtId="0" fontId="23" fillId="32" borderId="2" xfId="2" applyFont="1" applyFill="1" applyBorder="1" applyAlignment="1">
      <alignment horizontal="center" vertical="center"/>
    </xf>
    <xf numFmtId="0" fontId="23" fillId="33" borderId="2" xfId="2" applyFont="1" applyFill="1" applyBorder="1" applyAlignment="1">
      <alignment horizontal="center" vertical="center"/>
    </xf>
    <xf numFmtId="0" fontId="1" fillId="33" borderId="1" xfId="2" applyFill="1" applyAlignment="1">
      <alignment horizontal="center" vertical="center"/>
    </xf>
    <xf numFmtId="0" fontId="1" fillId="33" borderId="11" xfId="2" applyFill="1" applyBorder="1" applyAlignment="1">
      <alignment horizontal="center" vertical="center"/>
    </xf>
    <xf numFmtId="0" fontId="1" fillId="33" borderId="11" xfId="2" applyFill="1" applyBorder="1" applyAlignment="1">
      <alignment horizontal="center"/>
    </xf>
    <xf numFmtId="0" fontId="22" fillId="0" borderId="25" xfId="2" applyFont="1" applyBorder="1" applyAlignment="1">
      <alignment horizontal="center" vertical="center"/>
    </xf>
    <xf numFmtId="2" fontId="22" fillId="0" borderId="26" xfId="2" applyNumberFormat="1" applyFont="1" applyBorder="1" applyAlignment="1">
      <alignment horizontal="center" vertical="center"/>
    </xf>
    <xf numFmtId="0" fontId="23" fillId="0" borderId="41" xfId="2" applyFont="1" applyBorder="1" applyAlignment="1">
      <alignment horizontal="center" vertical="center"/>
    </xf>
    <xf numFmtId="0" fontId="23" fillId="0" borderId="40" xfId="2" applyFont="1" applyBorder="1" applyAlignment="1">
      <alignment horizontal="center" vertical="center"/>
    </xf>
    <xf numFmtId="0" fontId="24" fillId="34" borderId="40" xfId="2" applyFont="1" applyFill="1" applyBorder="1" applyAlignment="1">
      <alignment horizontal="center" vertical="center"/>
    </xf>
    <xf numFmtId="2" fontId="25" fillId="0" borderId="40" xfId="2" applyNumberFormat="1" applyFont="1" applyBorder="1" applyAlignment="1">
      <alignment horizontal="center" vertical="center"/>
    </xf>
    <xf numFmtId="2" fontId="25" fillId="0" borderId="42" xfId="2" applyNumberFormat="1" applyFont="1" applyBorder="1" applyAlignment="1">
      <alignment horizontal="center" vertical="center"/>
    </xf>
    <xf numFmtId="0" fontId="23" fillId="0" borderId="13" xfId="2" applyFont="1" applyBorder="1" applyAlignment="1">
      <alignment horizontal="center" vertical="center"/>
    </xf>
    <xf numFmtId="0" fontId="23" fillId="0" borderId="2" xfId="2" applyFont="1" applyBorder="1" applyAlignment="1">
      <alignment horizontal="center" vertical="center"/>
    </xf>
    <xf numFmtId="0" fontId="24" fillId="0" borderId="2" xfId="2" applyFont="1" applyBorder="1" applyAlignment="1">
      <alignment horizontal="center" vertical="center"/>
    </xf>
    <xf numFmtId="2" fontId="25" fillId="0" borderId="2" xfId="2" applyNumberFormat="1" applyFont="1" applyBorder="1" applyAlignment="1">
      <alignment horizontal="center" vertical="center"/>
    </xf>
    <xf numFmtId="2" fontId="26" fillId="0" borderId="10" xfId="2" applyNumberFormat="1" applyFont="1" applyBorder="1" applyAlignment="1">
      <alignment horizontal="center" vertical="center"/>
    </xf>
    <xf numFmtId="2" fontId="25" fillId="0" borderId="10" xfId="2" applyNumberFormat="1" applyFont="1" applyBorder="1" applyAlignment="1">
      <alignment horizontal="center" vertical="center"/>
    </xf>
    <xf numFmtId="0" fontId="23" fillId="0" borderId="17" xfId="2" applyFont="1" applyBorder="1" applyAlignment="1">
      <alignment horizontal="center" vertical="center"/>
    </xf>
    <xf numFmtId="0" fontId="23" fillId="0" borderId="18" xfId="2" applyFont="1" applyBorder="1" applyAlignment="1">
      <alignment horizontal="center" vertical="center"/>
    </xf>
    <xf numFmtId="0" fontId="24" fillId="0" borderId="18" xfId="2" applyFont="1" applyBorder="1" applyAlignment="1">
      <alignment horizontal="center" vertical="center"/>
    </xf>
    <xf numFmtId="2" fontId="25" fillId="0" borderId="18" xfId="2" applyNumberFormat="1" applyFont="1" applyBorder="1" applyAlignment="1">
      <alignment horizontal="center" vertical="center"/>
    </xf>
    <xf numFmtId="2" fontId="26" fillId="0" borderId="19" xfId="2" applyNumberFormat="1" applyFont="1" applyBorder="1" applyAlignment="1">
      <alignment horizontal="center" vertical="center"/>
    </xf>
    <xf numFmtId="2" fontId="23" fillId="0" borderId="40" xfId="2" applyNumberFormat="1" applyFont="1" applyBorder="1" applyAlignment="1">
      <alignment horizontal="center" vertical="center"/>
    </xf>
    <xf numFmtId="2" fontId="23" fillId="0" borderId="42" xfId="2" applyNumberFormat="1" applyFont="1" applyBorder="1" applyAlignment="1">
      <alignment horizontal="center" vertical="center"/>
    </xf>
    <xf numFmtId="2" fontId="23" fillId="0" borderId="2" xfId="2" applyNumberFormat="1" applyFont="1" applyBorder="1" applyAlignment="1">
      <alignment horizontal="center" vertical="center"/>
    </xf>
    <xf numFmtId="2" fontId="23" fillId="0" borderId="10" xfId="2" applyNumberFormat="1" applyFont="1" applyBorder="1" applyAlignment="1">
      <alignment horizontal="center" vertical="center"/>
    </xf>
    <xf numFmtId="0" fontId="23" fillId="0" borderId="19" xfId="2" applyFont="1" applyBorder="1" applyAlignment="1">
      <alignment horizontal="center" vertical="center"/>
    </xf>
    <xf numFmtId="0" fontId="23" fillId="22" borderId="42" xfId="2" applyFont="1" applyFill="1" applyBorder="1" applyAlignment="1">
      <alignment horizontal="center" vertical="center"/>
    </xf>
    <xf numFmtId="0" fontId="23" fillId="22" borderId="10" xfId="2" applyFont="1" applyFill="1" applyBorder="1" applyAlignment="1">
      <alignment horizontal="center" vertical="center"/>
    </xf>
    <xf numFmtId="0" fontId="23" fillId="25" borderId="10" xfId="2" applyFont="1" applyFill="1" applyBorder="1" applyAlignment="1">
      <alignment horizontal="center" vertical="center"/>
    </xf>
    <xf numFmtId="0" fontId="23" fillId="32" borderId="10" xfId="2" applyFont="1" applyFill="1" applyBorder="1" applyAlignment="1">
      <alignment horizontal="center" vertical="center"/>
    </xf>
    <xf numFmtId="0" fontId="23" fillId="33" borderId="10" xfId="2" applyFont="1" applyFill="1" applyBorder="1" applyAlignment="1">
      <alignment horizontal="center" vertical="center"/>
    </xf>
    <xf numFmtId="0" fontId="23" fillId="22" borderId="19" xfId="2" applyFont="1" applyFill="1" applyBorder="1" applyAlignment="1">
      <alignment horizontal="center" vertical="center"/>
    </xf>
    <xf numFmtId="0" fontId="1" fillId="0" borderId="4" xfId="2" applyBorder="1" applyAlignment="1">
      <alignment horizontal="center" vertical="center"/>
    </xf>
    <xf numFmtId="0" fontId="1" fillId="0" borderId="5" xfId="2" applyBorder="1" applyAlignment="1">
      <alignment horizontal="center" vertical="center"/>
    </xf>
    <xf numFmtId="0" fontId="1" fillId="0" borderId="1" xfId="2" applyAlignment="1">
      <alignment horizontal="center"/>
    </xf>
    <xf numFmtId="0" fontId="28" fillId="0" borderId="1" xfId="2" applyFont="1" applyAlignment="1">
      <alignment horizontal="left" vertical="center" readingOrder="1"/>
    </xf>
    <xf numFmtId="0" fontId="1" fillId="35" borderId="43" xfId="2" applyFill="1" applyBorder="1" applyAlignment="1">
      <alignment horizontal="center" vertical="center"/>
    </xf>
    <xf numFmtId="0" fontId="1" fillId="35" borderId="24" xfId="2" applyFill="1" applyBorder="1" applyAlignment="1">
      <alignment horizontal="center" vertical="center"/>
    </xf>
    <xf numFmtId="0" fontId="1" fillId="0" borderId="24" xfId="2" applyBorder="1"/>
    <xf numFmtId="0" fontId="1" fillId="25" borderId="24" xfId="2" applyFill="1" applyBorder="1" applyAlignment="1">
      <alignment horizontal="right"/>
    </xf>
    <xf numFmtId="0" fontId="1" fillId="25" borderId="44" xfId="2" applyFill="1" applyBorder="1" applyAlignment="1">
      <alignment horizontal="right"/>
    </xf>
    <xf numFmtId="0" fontId="1" fillId="35" borderId="45" xfId="2" applyFill="1" applyBorder="1" applyAlignment="1">
      <alignment horizontal="center" vertical="center"/>
    </xf>
    <xf numFmtId="0" fontId="1" fillId="35" borderId="2" xfId="2" applyFill="1" applyBorder="1" applyAlignment="1">
      <alignment horizontal="center" vertical="center"/>
    </xf>
    <xf numFmtId="0" fontId="29" fillId="9" borderId="2" xfId="2" applyFont="1" applyFill="1" applyBorder="1" applyAlignment="1">
      <alignment horizontal="center" vertical="center"/>
    </xf>
    <xf numFmtId="0" fontId="30" fillId="25" borderId="2" xfId="2" applyFont="1" applyFill="1" applyBorder="1" applyAlignment="1">
      <alignment horizontal="center" vertical="center"/>
    </xf>
    <xf numFmtId="0" fontId="30" fillId="25" borderId="7" xfId="2" applyFont="1" applyFill="1" applyBorder="1" applyAlignment="1">
      <alignment horizontal="center" vertical="center"/>
    </xf>
    <xf numFmtId="0" fontId="29" fillId="10" borderId="2" xfId="2" applyFont="1" applyFill="1" applyBorder="1" applyAlignment="1">
      <alignment horizontal="center"/>
    </xf>
    <xf numFmtId="0" fontId="29" fillId="10" borderId="2" xfId="2" applyFont="1" applyFill="1" applyBorder="1" applyAlignment="1">
      <alignment horizontal="center" vertical="center"/>
    </xf>
    <xf numFmtId="0" fontId="30" fillId="25" borderId="2" xfId="2" applyFont="1" applyFill="1" applyBorder="1" applyAlignment="1">
      <alignment horizontal="center"/>
    </xf>
    <xf numFmtId="0" fontId="30" fillId="25" borderId="7" xfId="2" applyFont="1" applyFill="1" applyBorder="1" applyAlignment="1">
      <alignment horizontal="center"/>
    </xf>
    <xf numFmtId="17" fontId="30" fillId="25" borderId="2" xfId="2" applyNumberFormat="1" applyFont="1" applyFill="1" applyBorder="1" applyAlignment="1">
      <alignment horizontal="center"/>
    </xf>
    <xf numFmtId="0" fontId="32" fillId="25" borderId="2" xfId="2" applyFont="1" applyFill="1" applyBorder="1" applyAlignment="1">
      <alignment horizontal="center" vertical="center"/>
    </xf>
    <xf numFmtId="0" fontId="32" fillId="25" borderId="7" xfId="2" applyFont="1" applyFill="1" applyBorder="1" applyAlignment="1">
      <alignment horizontal="center" vertical="center"/>
    </xf>
    <xf numFmtId="0" fontId="1" fillId="35" borderId="46" xfId="2" applyFill="1" applyBorder="1" applyAlignment="1">
      <alignment horizontal="center" vertical="center"/>
    </xf>
    <xf numFmtId="0" fontId="1" fillId="35" borderId="27" xfId="2" applyFill="1" applyBorder="1" applyAlignment="1">
      <alignment horizontal="center" vertical="center"/>
    </xf>
    <xf numFmtId="0" fontId="29" fillId="9" borderId="27" xfId="2" applyFont="1" applyFill="1" applyBorder="1" applyAlignment="1">
      <alignment horizontal="center" vertical="center"/>
    </xf>
    <xf numFmtId="0" fontId="32" fillId="25" borderId="27" xfId="2" applyFont="1" applyFill="1" applyBorder="1" applyAlignment="1">
      <alignment horizontal="center" vertical="center"/>
    </xf>
    <xf numFmtId="0" fontId="32" fillId="25" borderId="28" xfId="2" applyFont="1" applyFill="1" applyBorder="1" applyAlignment="1">
      <alignment horizontal="center" vertical="center"/>
    </xf>
  </cellXfs>
  <cellStyles count="3">
    <cellStyle name="Normal" xfId="0" builtinId="0"/>
    <cellStyle name="Normal 2" xfId="1" xr:uid="{272E31EF-E5D9-4C16-A054-46F0762514C1}"/>
    <cellStyle name="Normal 3" xfId="2" xr:uid="{C09A6B0A-38BA-43C2-A814-5A7A2AA90ADF}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" formatCode="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theme="5" tint="-0.249977111117893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6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6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34998626667073579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34998626667073579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9DCEACE0-B9E6-489C-B5D4-59E94B21ADC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65395717641782"/>
          <c:y val="0.10254012275267232"/>
          <c:w val="0.81749633431525237"/>
          <c:h val="0.7511356291521205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Results'!$C$386:$C$394</c:f>
              <c:numCache>
                <c:formatCode>0.00</c:formatCode>
                <c:ptCount val="9"/>
                <c:pt idx="0">
                  <c:v>0.53558718861209897</c:v>
                </c:pt>
                <c:pt idx="1">
                  <c:v>1.0738434163701001</c:v>
                </c:pt>
                <c:pt idx="2">
                  <c:v>1.6032028469750801</c:v>
                </c:pt>
                <c:pt idx="3">
                  <c:v>2.1281138790035499</c:v>
                </c:pt>
                <c:pt idx="4">
                  <c:v>2.6530249110320199</c:v>
                </c:pt>
                <c:pt idx="5">
                  <c:v>3.1645907473309598</c:v>
                </c:pt>
                <c:pt idx="6">
                  <c:v>3.6895017793594298</c:v>
                </c:pt>
                <c:pt idx="7">
                  <c:v>4.1877224199288197</c:v>
                </c:pt>
                <c:pt idx="8">
                  <c:v>4.6859430604982197</c:v>
                </c:pt>
              </c:numCache>
            </c:numRef>
          </c:xVal>
          <c:yVal>
            <c:numRef>
              <c:f>'Phase Behavior Results'!$D$386:$D$394</c:f>
              <c:numCache>
                <c:formatCode>0.00</c:formatCode>
                <c:ptCount val="9"/>
                <c:pt idx="0">
                  <c:v>0.88145896656534894</c:v>
                </c:pt>
                <c:pt idx="1">
                  <c:v>2.4620060790273501</c:v>
                </c:pt>
                <c:pt idx="2">
                  <c:v>2.88753799392097</c:v>
                </c:pt>
                <c:pt idx="3">
                  <c:v>4.3161094224924001</c:v>
                </c:pt>
                <c:pt idx="4">
                  <c:v>5.18</c:v>
                </c:pt>
                <c:pt idx="5">
                  <c:v>6.2917933130699</c:v>
                </c:pt>
                <c:pt idx="6">
                  <c:v>7.9939209726443696</c:v>
                </c:pt>
                <c:pt idx="7">
                  <c:v>9.3920972644376892</c:v>
                </c:pt>
                <c:pt idx="8">
                  <c:v>14.285714285714199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69-48F2-9816-3C062BD462B1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Results'!$E$386:$E$387</c:f>
              <c:numCache>
                <c:formatCode>0.00</c:formatCode>
                <c:ptCount val="2"/>
                <c:pt idx="0">
                  <c:v>4.6814946619217004</c:v>
                </c:pt>
                <c:pt idx="1">
                  <c:v>5.1975088967971503</c:v>
                </c:pt>
              </c:numCache>
            </c:numRef>
          </c:xVal>
          <c:yVal>
            <c:numRef>
              <c:f>'Phase Behavior Results'!$F$386:$F$387</c:f>
              <c:numCache>
                <c:formatCode>0.00</c:formatCode>
                <c:ptCount val="2"/>
                <c:pt idx="0">
                  <c:v>11.3981762917933</c:v>
                </c:pt>
                <c:pt idx="1">
                  <c:v>5.8662613981762899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9-48F2-9816-3C062BD46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6023007"/>
        <c:axId val="2106039807"/>
      </c:scatterChart>
      <c:valAx>
        <c:axId val="210602300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2106039807"/>
        <c:crosses val="autoZero"/>
        <c:crossBetween val="midCat"/>
      </c:valAx>
      <c:valAx>
        <c:axId val="2106039807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2106023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62770078658056"/>
          <c:y val="0.11357357250969219"/>
          <c:w val="0.79818042378450749"/>
          <c:h val="0.7463852596499271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Results'!$C$352:$C$355</c:f>
              <c:numCache>
                <c:formatCode>0.00</c:formatCode>
                <c:ptCount val="4"/>
                <c:pt idx="0">
                  <c:v>0.53</c:v>
                </c:pt>
                <c:pt idx="1">
                  <c:v>1.0649999999999999</c:v>
                </c:pt>
                <c:pt idx="2">
                  <c:v>1.60424028268551</c:v>
                </c:pt>
                <c:pt idx="3">
                  <c:v>2.12</c:v>
                </c:pt>
              </c:numCache>
            </c:numRef>
          </c:xVal>
          <c:yVal>
            <c:numRef>
              <c:f>'Phase Behavior Results'!$D$352:$D$355</c:f>
              <c:numCache>
                <c:formatCode>0.00</c:formatCode>
                <c:ptCount val="4"/>
                <c:pt idx="0">
                  <c:v>1.28</c:v>
                </c:pt>
                <c:pt idx="1">
                  <c:v>1.9578313253012001</c:v>
                </c:pt>
                <c:pt idx="2">
                  <c:v>7.0783132530120403</c:v>
                </c:pt>
                <c:pt idx="3">
                  <c:v>15.5722891566265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2D-4A36-9E74-D4A035E05DF0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Results'!$E$352:$E$358</c:f>
              <c:numCache>
                <c:formatCode>0.00</c:formatCode>
                <c:ptCount val="7"/>
                <c:pt idx="0">
                  <c:v>2.12</c:v>
                </c:pt>
                <c:pt idx="1">
                  <c:v>2.64</c:v>
                </c:pt>
                <c:pt idx="2">
                  <c:v>3.17</c:v>
                </c:pt>
                <c:pt idx="3">
                  <c:v>3.6934628975265</c:v>
                </c:pt>
                <c:pt idx="4">
                  <c:v>4.20141342756183</c:v>
                </c:pt>
                <c:pt idx="5">
                  <c:v>4.7</c:v>
                </c:pt>
                <c:pt idx="6">
                  <c:v>5.2040636042402797</c:v>
                </c:pt>
              </c:numCache>
            </c:numRef>
          </c:xVal>
          <c:yVal>
            <c:numRef>
              <c:f>'Phase Behavior Results'!$F$352:$F$358</c:f>
              <c:numCache>
                <c:formatCode>0.00</c:formatCode>
                <c:ptCount val="7"/>
                <c:pt idx="0">
                  <c:v>18.11</c:v>
                </c:pt>
                <c:pt idx="1">
                  <c:v>5.89</c:v>
                </c:pt>
                <c:pt idx="2">
                  <c:v>3.3</c:v>
                </c:pt>
                <c:pt idx="3">
                  <c:v>1.2951807228915599</c:v>
                </c:pt>
                <c:pt idx="4">
                  <c:v>0.66265060240963802</c:v>
                </c:pt>
                <c:pt idx="5">
                  <c:v>0.68</c:v>
                </c:pt>
                <c:pt idx="6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2D-4A36-9E74-D4A035E05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793151"/>
        <c:axId val="1746795071"/>
      </c:scatterChart>
      <c:valAx>
        <c:axId val="1746793151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46795071"/>
        <c:crosses val="autoZero"/>
        <c:crossBetween val="midCat"/>
      </c:valAx>
      <c:valAx>
        <c:axId val="174679507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46793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28. Figure 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649223592544038"/>
          <c:y val="9.7360315610076589E-2"/>
          <c:w val="0.83541894433306196"/>
          <c:h val="0.75989422790160144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Results'!$C$250:$C$253</c:f>
              <c:numCache>
                <c:formatCode>0.00</c:formatCode>
                <c:ptCount val="4"/>
                <c:pt idx="0">
                  <c:v>0.54317789291882501</c:v>
                </c:pt>
                <c:pt idx="1">
                  <c:v>1.0785837651122601</c:v>
                </c:pt>
                <c:pt idx="2">
                  <c:v>1.6053540587219299</c:v>
                </c:pt>
                <c:pt idx="3">
                  <c:v>2.1278065630397198</c:v>
                </c:pt>
              </c:numCache>
            </c:numRef>
          </c:xVal>
          <c:yVal>
            <c:numRef>
              <c:f>'Phase Behavior Results'!$D$250:$D$253</c:f>
              <c:numCache>
                <c:formatCode>0.00</c:formatCode>
                <c:ptCount val="4"/>
                <c:pt idx="0">
                  <c:v>2.9411764705882302</c:v>
                </c:pt>
                <c:pt idx="1">
                  <c:v>3.8235294117646998</c:v>
                </c:pt>
                <c:pt idx="2">
                  <c:v>5.8823529411764701</c:v>
                </c:pt>
                <c:pt idx="3">
                  <c:v>16.029411764705799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9-4F94-A43E-0453FBA32DF7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Results'!$E$250:$E$255</c:f>
              <c:numCache>
                <c:formatCode>0.00</c:formatCode>
                <c:ptCount val="6"/>
                <c:pt idx="0">
                  <c:v>2.6502590673575099</c:v>
                </c:pt>
                <c:pt idx="1">
                  <c:v>3.1727115716753</c:v>
                </c:pt>
                <c:pt idx="2">
                  <c:v>3.6908462867012002</c:v>
                </c:pt>
                <c:pt idx="3">
                  <c:v>4.1960276338514602</c:v>
                </c:pt>
                <c:pt idx="4">
                  <c:v>4.6925734024179597</c:v>
                </c:pt>
                <c:pt idx="5">
                  <c:v>5.2063903281519801</c:v>
                </c:pt>
              </c:numCache>
            </c:numRef>
          </c:xVal>
          <c:yVal>
            <c:numRef>
              <c:f>'Phase Behavior Results'!$F$250:$F$255</c:f>
              <c:numCache>
                <c:formatCode>0.00</c:formatCode>
                <c:ptCount val="6"/>
                <c:pt idx="0">
                  <c:v>6.3235294117647003</c:v>
                </c:pt>
                <c:pt idx="1">
                  <c:v>3.8823529411764701</c:v>
                </c:pt>
                <c:pt idx="2">
                  <c:v>1.97058823529411</c:v>
                </c:pt>
                <c:pt idx="3">
                  <c:v>1.47058823529411</c:v>
                </c:pt>
                <c:pt idx="4">
                  <c:v>1</c:v>
                </c:pt>
                <c:pt idx="5">
                  <c:v>2.94117647058823E-2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E9-4F94-A43E-0453FBA32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0928"/>
        <c:axId val="3441808"/>
      </c:scatterChart>
      <c:valAx>
        <c:axId val="3450928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crossAx val="3441808"/>
        <c:crosses val="autoZero"/>
        <c:crossBetween val="midCat"/>
      </c:valAx>
      <c:valAx>
        <c:axId val="3441808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092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17. Figure 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23698679644791"/>
          <c:y val="0.10595013772374688"/>
          <c:w val="0.7901352766848222"/>
          <c:h val="0.73295835604442272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Results'!$C$114:$C$122</c:f>
              <c:numCache>
                <c:formatCode>0.00</c:formatCode>
                <c:ptCount val="9"/>
                <c:pt idx="0">
                  <c:v>0.54</c:v>
                </c:pt>
                <c:pt idx="1">
                  <c:v>1.08067375886524</c:v>
                </c:pt>
                <c:pt idx="2">
                  <c:v>1.6</c:v>
                </c:pt>
                <c:pt idx="3">
                  <c:v>2.1312056737588598</c:v>
                </c:pt>
                <c:pt idx="4">
                  <c:v>2.65868794326241</c:v>
                </c:pt>
                <c:pt idx="5">
                  <c:v>3.1749999999999998</c:v>
                </c:pt>
                <c:pt idx="6">
                  <c:v>3.6870567375886498</c:v>
                </c:pt>
                <c:pt idx="7">
                  <c:v>4.19237588652482</c:v>
                </c:pt>
                <c:pt idx="8">
                  <c:v>4.6843971631205603</c:v>
                </c:pt>
              </c:numCache>
            </c:numRef>
          </c:xVal>
          <c:yVal>
            <c:numRef>
              <c:f>'Phase Behavior Results'!$D$114:$D$122</c:f>
              <c:numCache>
                <c:formatCode>0.00</c:formatCode>
                <c:ptCount val="9"/>
                <c:pt idx="0">
                  <c:v>0.85</c:v>
                </c:pt>
                <c:pt idx="1">
                  <c:v>1.35</c:v>
                </c:pt>
                <c:pt idx="2">
                  <c:v>1.85</c:v>
                </c:pt>
                <c:pt idx="3">
                  <c:v>2.85</c:v>
                </c:pt>
                <c:pt idx="4">
                  <c:v>3.7</c:v>
                </c:pt>
                <c:pt idx="5">
                  <c:v>6.05</c:v>
                </c:pt>
                <c:pt idx="6">
                  <c:v>8.65</c:v>
                </c:pt>
                <c:pt idx="7">
                  <c:v>10.9</c:v>
                </c:pt>
                <c:pt idx="8">
                  <c:v>16.350000000000001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1D-4645-802D-FCA34D34BCD0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Results'!$E$114:$E$117</c:f>
              <c:numCache>
                <c:formatCode>0.00</c:formatCode>
                <c:ptCount val="4"/>
                <c:pt idx="0">
                  <c:v>3.6826241134751698</c:v>
                </c:pt>
                <c:pt idx="1">
                  <c:v>4.19237588652482</c:v>
                </c:pt>
                <c:pt idx="2">
                  <c:v>4.6932624113475097</c:v>
                </c:pt>
                <c:pt idx="3">
                  <c:v>5.1985815602836798</c:v>
                </c:pt>
              </c:numCache>
            </c:numRef>
          </c:xVal>
          <c:yVal>
            <c:numRef>
              <c:f>'Phase Behavior Results'!$F$114:$F$117</c:f>
              <c:numCache>
                <c:formatCode>0.00</c:formatCode>
                <c:ptCount val="4"/>
                <c:pt idx="0">
                  <c:v>13.95</c:v>
                </c:pt>
                <c:pt idx="1">
                  <c:v>7.55</c:v>
                </c:pt>
                <c:pt idx="2">
                  <c:v>4.3</c:v>
                </c:pt>
                <c:pt idx="3">
                  <c:v>3.2980332829046901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D-4645-802D-FCA34D34B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935696"/>
        <c:axId val="1226937136"/>
      </c:scatterChart>
      <c:valAx>
        <c:axId val="1226935696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937136"/>
        <c:crosses val="autoZero"/>
        <c:crossBetween val="midCat"/>
      </c:valAx>
      <c:valAx>
        <c:axId val="1226937136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935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7</a:t>
            </a:r>
          </a:p>
        </c:rich>
      </c:tx>
      <c:layout>
        <c:manualLayout>
          <c:xMode val="edge"/>
          <c:yMode val="edge"/>
          <c:x val="0.42590266841644797"/>
          <c:y val="6.94444444444444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3648293963253"/>
          <c:y val="0.18560185185185185"/>
          <c:w val="0.80525240594925629"/>
          <c:h val="0.69377910327628145"/>
        </c:manualLayout>
      </c:layout>
      <c:scatterChart>
        <c:scatterStyle val="lineMarker"/>
        <c:varyColors val="0"/>
        <c:ser>
          <c:idx val="0"/>
          <c:order val="0"/>
          <c:tx>
            <c:v>Formulation7_oil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'Phase Behavior Results'!$C$7:$C$16</c:f>
              <c:numCache>
                <c:formatCode>General</c:formatCode>
                <c:ptCount val="10"/>
                <c:pt idx="0">
                  <c:v>0.5</c:v>
                </c:pt>
                <c:pt idx="1">
                  <c:v>1.1000000000000001</c:v>
                </c:pt>
                <c:pt idx="2">
                  <c:v>1.6</c:v>
                </c:pt>
                <c:pt idx="3">
                  <c:v>2.1</c:v>
                </c:pt>
                <c:pt idx="4">
                  <c:v>2.7</c:v>
                </c:pt>
                <c:pt idx="5">
                  <c:v>3.2</c:v>
                </c:pt>
                <c:pt idx="6">
                  <c:v>3.7</c:v>
                </c:pt>
                <c:pt idx="7">
                  <c:v>4.2</c:v>
                </c:pt>
                <c:pt idx="8">
                  <c:v>4.7</c:v>
                </c:pt>
                <c:pt idx="9">
                  <c:v>5.2</c:v>
                </c:pt>
              </c:numCache>
            </c:numRef>
          </c:xVal>
          <c:yVal>
            <c:numRef>
              <c:f>'Phase Behavior Results'!$D$7:$D$16</c:f>
              <c:numCache>
                <c:formatCode>0.00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1</c:v>
                </c:pt>
                <c:pt idx="3">
                  <c:v>1.8</c:v>
                </c:pt>
                <c:pt idx="4">
                  <c:v>2.5</c:v>
                </c:pt>
                <c:pt idx="5">
                  <c:v>2.6</c:v>
                </c:pt>
                <c:pt idx="6">
                  <c:v>3.9</c:v>
                </c:pt>
                <c:pt idx="7">
                  <c:v>5.8</c:v>
                </c:pt>
                <c:pt idx="8">
                  <c:v>9.5</c:v>
                </c:pt>
                <c:pt idx="9">
                  <c:v>13.9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61-41CE-8E59-BAC715484CA4}"/>
            </c:ext>
          </c:extLst>
        </c:ser>
        <c:ser>
          <c:idx val="1"/>
          <c:order val="1"/>
          <c:tx>
            <c:v>Formulation7_Water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'Phase Behavior Results'!$E$7:$E$9</c:f>
              <c:numCache>
                <c:formatCode>General</c:formatCode>
                <c:ptCount val="3"/>
                <c:pt idx="0">
                  <c:v>5.2</c:v>
                </c:pt>
                <c:pt idx="1">
                  <c:v>4.7</c:v>
                </c:pt>
                <c:pt idx="2">
                  <c:v>5.5</c:v>
                </c:pt>
              </c:numCache>
            </c:numRef>
          </c:xVal>
          <c:yVal>
            <c:numRef>
              <c:f>'Phase Behavior Results'!$F$7:$F$9</c:f>
              <c:numCache>
                <c:formatCode>General</c:formatCode>
                <c:ptCount val="3"/>
                <c:pt idx="0">
                  <c:v>8.1999999999999993</c:v>
                </c:pt>
                <c:pt idx="1">
                  <c:v>19</c:v>
                </c:pt>
                <c:pt idx="2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61-41CE-8E59-BAC715484CA4}"/>
            </c:ext>
          </c:extLst>
        </c:ser>
        <c:ser>
          <c:idx val="2"/>
          <c:order val="2"/>
          <c:tx>
            <c:v>Intersection</c:v>
          </c:tx>
          <c:spPr>
            <a:ln w="254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'Phase Behavior Results'!$C$17:$C$18</c:f>
              <c:numCache>
                <c:formatCode>General</c:formatCode>
                <c:ptCount val="2"/>
                <c:pt idx="0">
                  <c:v>4.9000000000000004</c:v>
                </c:pt>
                <c:pt idx="1">
                  <c:v>4.9000000000000004</c:v>
                </c:pt>
              </c:numCache>
            </c:numRef>
          </c:xVal>
          <c:yVal>
            <c:numRef>
              <c:f>'Phase Behavior Results'!$D$17:$D$18</c:f>
              <c:numCache>
                <c:formatCode>General</c:formatCode>
                <c:ptCount val="2"/>
                <c:pt idx="0">
                  <c:v>0</c:v>
                </c:pt>
                <c:pt idx="1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61-41CE-8E59-BAC715484CA4}"/>
            </c:ext>
          </c:extLst>
        </c:ser>
        <c:ser>
          <c:idx val="3"/>
          <c:order val="3"/>
          <c:tx>
            <c:v>Type III_Min</c:v>
          </c:tx>
          <c:spPr>
            <a:ln w="57150" cap="rnd">
              <a:solidFill>
                <a:srgbClr val="FFFF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'Phase Behavior Results'!$C$19:$C$20</c:f>
              <c:numCache>
                <c:formatCode>General</c:formatCode>
                <c:ptCount val="2"/>
                <c:pt idx="0">
                  <c:v>3.9</c:v>
                </c:pt>
                <c:pt idx="1">
                  <c:v>3.9</c:v>
                </c:pt>
              </c:numCache>
            </c:numRef>
          </c:xVal>
          <c:yVal>
            <c:numRef>
              <c:f>'Phase Behavior Results'!$D$19:$D$20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B61-41CE-8E59-BAC715484CA4}"/>
            </c:ext>
          </c:extLst>
        </c:ser>
        <c:ser>
          <c:idx val="4"/>
          <c:order val="4"/>
          <c:tx>
            <c:v>TypeIII_Max</c:v>
          </c:tx>
          <c:spPr>
            <a:ln w="571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'Phase Behavior Results'!$C$21:$C$22</c:f>
              <c:numCache>
                <c:formatCode>General</c:formatCode>
                <c:ptCount val="2"/>
                <c:pt idx="0">
                  <c:v>5.5</c:v>
                </c:pt>
                <c:pt idx="1">
                  <c:v>5.5</c:v>
                </c:pt>
              </c:numCache>
            </c:numRef>
          </c:xVal>
          <c:yVal>
            <c:numRef>
              <c:f>'Phase Behavior Results'!$D$21:$D$22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B61-41CE-8E59-BAC715484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369600"/>
        <c:axId val="385369120"/>
      </c:scatterChart>
      <c:valAx>
        <c:axId val="38536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</a:t>
                </a:r>
                <a:r>
                  <a:rPr lang="en-GB" baseline="0"/>
                  <a:t> Dissolved Solid , TDS  (wt%)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#,##0.0" sourceLinked="0"/>
        <c:majorTickMark val="cross"/>
        <c:minorTickMark val="cross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120"/>
        <c:crosses val="autoZero"/>
        <c:crossBetween val="midCat"/>
        <c:majorUnit val="0.5"/>
      </c:valAx>
      <c:valAx>
        <c:axId val="3853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/>
                  <a:t>Solubilization Ratio ( cc/cc)</a:t>
                </a:r>
              </a:p>
            </c:rich>
          </c:tx>
          <c:layout>
            <c:manualLayout>
              <c:xMode val="edge"/>
              <c:yMode val="edge"/>
              <c:x val="2.8740486569855835E-2"/>
              <c:y val="0.414258752711493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600"/>
        <c:crosses val="autoZero"/>
        <c:crossBetween val="midCat"/>
        <c:majorUnit val="1"/>
      </c:valAx>
      <c:spPr>
        <a:solidFill>
          <a:schemeClr val="bg2">
            <a:lumMod val="9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9</a:t>
            </a:r>
          </a:p>
        </c:rich>
      </c:tx>
      <c:layout>
        <c:manualLayout>
          <c:xMode val="edge"/>
          <c:yMode val="edge"/>
          <c:x val="0.42590266841644797"/>
          <c:y val="6.4840272037818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080927384077"/>
          <c:y val="0.18560185185185185"/>
          <c:w val="0.83580796150481185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v>Formulation9_oil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'Phase Behavior Results'!$C$29:$C$33</c:f>
              <c:numCache>
                <c:formatCode>General</c:formatCode>
                <c:ptCount val="5"/>
                <c:pt idx="0">
                  <c:v>0.5</c:v>
                </c:pt>
                <c:pt idx="1">
                  <c:v>1.1000000000000001</c:v>
                </c:pt>
                <c:pt idx="2">
                  <c:v>1.6</c:v>
                </c:pt>
                <c:pt idx="3">
                  <c:v>2.1</c:v>
                </c:pt>
                <c:pt idx="4">
                  <c:v>2.7</c:v>
                </c:pt>
              </c:numCache>
            </c:numRef>
          </c:xVal>
          <c:yVal>
            <c:numRef>
              <c:f>'Phase Behavior Results'!$D$29:$D$33</c:f>
              <c:numCache>
                <c:formatCode>General</c:formatCode>
                <c:ptCount val="5"/>
                <c:pt idx="0">
                  <c:v>3</c:v>
                </c:pt>
                <c:pt idx="1">
                  <c:v>4.5</c:v>
                </c:pt>
                <c:pt idx="2">
                  <c:v>6.5</c:v>
                </c:pt>
                <c:pt idx="3">
                  <c:v>11</c:v>
                </c:pt>
                <c:pt idx="4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92-47E8-8B6A-8CAF7B8F24A9}"/>
            </c:ext>
          </c:extLst>
        </c:ser>
        <c:ser>
          <c:idx val="1"/>
          <c:order val="1"/>
          <c:tx>
            <c:v>Formulation9_Water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'Phase Behavior Results'!$E$29:$E$38</c:f>
              <c:numCache>
                <c:formatCode>General</c:formatCode>
                <c:ptCount val="10"/>
                <c:pt idx="0">
                  <c:v>2.1</c:v>
                </c:pt>
                <c:pt idx="1">
                  <c:v>2.6</c:v>
                </c:pt>
                <c:pt idx="2">
                  <c:v>3.2</c:v>
                </c:pt>
                <c:pt idx="3">
                  <c:v>3.7</c:v>
                </c:pt>
                <c:pt idx="4">
                  <c:v>4.2</c:v>
                </c:pt>
                <c:pt idx="5">
                  <c:v>4.7</c:v>
                </c:pt>
                <c:pt idx="6">
                  <c:v>5.2</c:v>
                </c:pt>
              </c:numCache>
            </c:numRef>
          </c:xVal>
          <c:yVal>
            <c:numRef>
              <c:f>'Phase Behavior Results'!$F$29:$F$38</c:f>
              <c:numCache>
                <c:formatCode>General</c:formatCode>
                <c:ptCount val="10"/>
                <c:pt idx="0">
                  <c:v>11</c:v>
                </c:pt>
                <c:pt idx="1">
                  <c:v>7</c:v>
                </c:pt>
                <c:pt idx="2">
                  <c:v>5</c:v>
                </c:pt>
                <c:pt idx="3">
                  <c:v>2.5</c:v>
                </c:pt>
                <c:pt idx="4">
                  <c:v>1.5</c:v>
                </c:pt>
                <c:pt idx="5">
                  <c:v>1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92-47E8-8B6A-8CAF7B8F2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369600"/>
        <c:axId val="385369120"/>
      </c:scatterChart>
      <c:valAx>
        <c:axId val="38536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120"/>
        <c:crosses val="autoZero"/>
        <c:crossBetween val="midCat"/>
        <c:majorUnit val="0.5"/>
      </c:valAx>
      <c:valAx>
        <c:axId val="3853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Solubilization Ratio ( cc/cc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600"/>
        <c:crosses val="autoZero"/>
        <c:crossBetween val="midCat"/>
        <c:majorUnit val="1"/>
      </c:valAx>
      <c:spPr>
        <a:solidFill>
          <a:schemeClr val="bg2">
            <a:lumMod val="9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809664704985808"/>
          <c:y val="0.12453938134513046"/>
          <c:w val="0.8241753971090211"/>
          <c:h val="0.73937559432574163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Results'!$C$131:$C$135</c:f>
              <c:numCache>
                <c:formatCode>0.00</c:formatCode>
                <c:ptCount val="5"/>
                <c:pt idx="0">
                  <c:v>0.54155124653739595</c:v>
                </c:pt>
                <c:pt idx="1">
                  <c:v>1.0817174515235399</c:v>
                </c:pt>
                <c:pt idx="2">
                  <c:v>1.61265004616805</c:v>
                </c:pt>
                <c:pt idx="3">
                  <c:v>2.1343490304709101</c:v>
                </c:pt>
                <c:pt idx="4">
                  <c:v>2.6560480147737699</c:v>
                </c:pt>
              </c:numCache>
            </c:numRef>
          </c:xVal>
          <c:yVal>
            <c:numRef>
              <c:f>'Phase Behavior Results'!$D$131:$D$135</c:f>
              <c:numCache>
                <c:formatCode>0.00</c:formatCode>
                <c:ptCount val="5"/>
                <c:pt idx="0">
                  <c:v>0.91051805337519598</c:v>
                </c:pt>
                <c:pt idx="1">
                  <c:v>1.8838304552590199</c:v>
                </c:pt>
                <c:pt idx="2">
                  <c:v>2.8257456828885399</c:v>
                </c:pt>
                <c:pt idx="3">
                  <c:v>3.7990580847723701</c:v>
                </c:pt>
                <c:pt idx="4">
                  <c:v>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83-414A-B0FC-B7F65661C34C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Results'!$E$131:$E$135</c:f>
              <c:numCache>
                <c:formatCode>0.00</c:formatCode>
                <c:ptCount val="5"/>
                <c:pt idx="0">
                  <c:v>3.1777469990766298</c:v>
                </c:pt>
                <c:pt idx="1">
                  <c:v>3.6902123730378502</c:v>
                </c:pt>
                <c:pt idx="2">
                  <c:v>4.19806094182825</c:v>
                </c:pt>
                <c:pt idx="3">
                  <c:v>4.6966759002770004</c:v>
                </c:pt>
                <c:pt idx="4">
                  <c:v>5.19990766389658</c:v>
                </c:pt>
              </c:numCache>
            </c:numRef>
          </c:xVal>
          <c:yVal>
            <c:numRef>
              <c:f>'Phase Behavior Results'!$F$131:$F$135</c:f>
              <c:numCache>
                <c:formatCode>0.00</c:formatCode>
                <c:ptCount val="5"/>
                <c:pt idx="0">
                  <c:v>6.7</c:v>
                </c:pt>
                <c:pt idx="1">
                  <c:v>4.3642072213500702</c:v>
                </c:pt>
                <c:pt idx="2">
                  <c:v>1.9780219780219701</c:v>
                </c:pt>
                <c:pt idx="3">
                  <c:v>0.97331240188382995</c:v>
                </c:pt>
                <c:pt idx="4">
                  <c:v>0.439560439560439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83-414A-B0FC-B7F65661C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8423440"/>
        <c:axId val="1218423920"/>
      </c:scatterChart>
      <c:valAx>
        <c:axId val="1218423440"/>
        <c:scaling>
          <c:orientation val="minMax"/>
          <c:max val="5.5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8423920"/>
        <c:crosses val="autoZero"/>
        <c:crossBetween val="midCat"/>
        <c:majorUnit val="0.5"/>
      </c:valAx>
      <c:valAx>
        <c:axId val="1218423920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842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</a:t>
            </a:r>
            <a:r>
              <a:rPr lang="en-GB" baseline="0"/>
              <a:t> 22. Figure 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18552474388711"/>
          <c:y val="0.11082269366017396"/>
          <c:w val="0.79413446657579712"/>
          <c:h val="0.73936840665204284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Results'!$C$148:$C$153</c:f>
              <c:numCache>
                <c:formatCode>0.00</c:formatCode>
                <c:ptCount val="6"/>
                <c:pt idx="0">
                  <c:v>0.53500000000000003</c:v>
                </c:pt>
                <c:pt idx="1">
                  <c:v>1.075</c:v>
                </c:pt>
                <c:pt idx="2">
                  <c:v>1.6</c:v>
                </c:pt>
                <c:pt idx="3">
                  <c:v>2.13</c:v>
                </c:pt>
                <c:pt idx="4">
                  <c:v>2.6494042163153</c:v>
                </c:pt>
                <c:pt idx="5">
                  <c:v>3.17186067827681</c:v>
                </c:pt>
              </c:numCache>
            </c:numRef>
          </c:xVal>
          <c:yVal>
            <c:numRef>
              <c:f>'Phase Behavior Results'!$D$148:$D$153</c:f>
              <c:numCache>
                <c:formatCode>0.00</c:formatCode>
                <c:ptCount val="6"/>
                <c:pt idx="0">
                  <c:v>0.95</c:v>
                </c:pt>
                <c:pt idx="1">
                  <c:v>1.4</c:v>
                </c:pt>
                <c:pt idx="2">
                  <c:v>2.8125</c:v>
                </c:pt>
                <c:pt idx="3">
                  <c:v>2.4500000000000002</c:v>
                </c:pt>
                <c:pt idx="4">
                  <c:v>7.1</c:v>
                </c:pt>
                <c:pt idx="5">
                  <c:v>14.45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A8-42A1-83B5-C56823AB1286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Results'!$E$148:$E$149</c:f>
              <c:numCache>
                <c:formatCode>0.00</c:formatCode>
                <c:ptCount val="2"/>
                <c:pt idx="0">
                  <c:v>2.65</c:v>
                </c:pt>
                <c:pt idx="1">
                  <c:v>3.1718606779999998</c:v>
                </c:pt>
              </c:numCache>
            </c:numRef>
          </c:xVal>
          <c:yVal>
            <c:numRef>
              <c:f>'Phase Behavior Results'!$F$148:$F$149</c:f>
              <c:numCache>
                <c:formatCode>0.00</c:formatCode>
                <c:ptCount val="2"/>
                <c:pt idx="0">
                  <c:v>19.05</c:v>
                </c:pt>
                <c:pt idx="1">
                  <c:v>11.1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A8-42A1-83B5-C56823AB1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6529760"/>
        <c:axId val="1396532160"/>
      </c:scatterChart>
      <c:valAx>
        <c:axId val="1396529760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532160"/>
        <c:crosses val="autoZero"/>
        <c:crossBetween val="midCat"/>
      </c:valAx>
      <c:valAx>
        <c:axId val="1396532160"/>
        <c:scaling>
          <c:orientation val="minMax"/>
          <c:max val="20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529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23. Figure 11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289915036186572E-2"/>
          <c:y val="9.3965049429015499E-2"/>
          <c:w val="0.90875134670970947"/>
          <c:h val="0.84323987664118449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Results'!$C$165:$C$169</c:f>
              <c:numCache>
                <c:formatCode>0.00</c:formatCode>
                <c:ptCount val="5"/>
                <c:pt idx="0">
                  <c:v>0.54464285714285698</c:v>
                </c:pt>
                <c:pt idx="1">
                  <c:v>1.0803571428571399</c:v>
                </c:pt>
                <c:pt idx="2">
                  <c:v>1.6026785714285701</c:v>
                </c:pt>
                <c:pt idx="3">
                  <c:v>2.1294642857142798</c:v>
                </c:pt>
                <c:pt idx="4">
                  <c:v>2.6428571428571401</c:v>
                </c:pt>
              </c:numCache>
            </c:numRef>
          </c:xVal>
          <c:yVal>
            <c:numRef>
              <c:f>'Phase Behavior Results'!$D$165:$D$169</c:f>
              <c:numCache>
                <c:formatCode>0.00</c:formatCode>
                <c:ptCount val="5"/>
                <c:pt idx="0">
                  <c:v>0.85496183206106802</c:v>
                </c:pt>
                <c:pt idx="1">
                  <c:v>1.89312977099236</c:v>
                </c:pt>
                <c:pt idx="2">
                  <c:v>3.2977099236641201</c:v>
                </c:pt>
                <c:pt idx="3">
                  <c:v>4.8244274809160297</c:v>
                </c:pt>
                <c:pt idx="4">
                  <c:v>15.5114503816793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99-437F-A9B7-660C2150ABA9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Results'!$E$165:$E$169</c:f>
              <c:numCache>
                <c:formatCode>0.00</c:formatCode>
                <c:ptCount val="5"/>
                <c:pt idx="0">
                  <c:v>3.1749999999999998</c:v>
                </c:pt>
                <c:pt idx="1">
                  <c:v>3.6850000000000001</c:v>
                </c:pt>
                <c:pt idx="2">
                  <c:v>4.1964285714285703</c:v>
                </c:pt>
                <c:pt idx="3">
                  <c:v>4.6950000000000003</c:v>
                </c:pt>
                <c:pt idx="4">
                  <c:v>5.2050000000000001</c:v>
                </c:pt>
              </c:numCache>
            </c:numRef>
          </c:xVal>
          <c:yVal>
            <c:numRef>
              <c:f>'Phase Behavior Results'!$F$165:$F$169</c:f>
              <c:numCache>
                <c:formatCode>0.00</c:formatCode>
                <c:ptCount val="5"/>
                <c:pt idx="0">
                  <c:v>9.75</c:v>
                </c:pt>
                <c:pt idx="1">
                  <c:v>4.3499999999999996</c:v>
                </c:pt>
                <c:pt idx="2">
                  <c:v>1.925</c:v>
                </c:pt>
                <c:pt idx="3">
                  <c:v>1.45</c:v>
                </c:pt>
                <c:pt idx="4">
                  <c:v>0.977099236641221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99-437F-A9B7-660C2150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7371520"/>
        <c:axId val="557394080"/>
      </c:scatterChart>
      <c:valAx>
        <c:axId val="557371520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394080"/>
        <c:crosses val="autoZero"/>
        <c:crossBetween val="midCat"/>
      </c:valAx>
      <c:valAx>
        <c:axId val="557394080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371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25543884166898"/>
          <c:y val="0.11911339547014801"/>
          <c:w val="0.75933554107377288"/>
          <c:h val="0.7241587725180787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Results'!$C$182:$C$185</c:f>
              <c:numCache>
                <c:formatCode>0.00</c:formatCode>
                <c:ptCount val="4"/>
                <c:pt idx="0">
                  <c:v>0.540946314831665</c:v>
                </c:pt>
                <c:pt idx="1">
                  <c:v>1.07779799818016</c:v>
                </c:pt>
                <c:pt idx="2">
                  <c:v>1.60555050045495</c:v>
                </c:pt>
                <c:pt idx="3">
                  <c:v>2.1242038216560499</c:v>
                </c:pt>
              </c:numCache>
            </c:numRef>
          </c:xVal>
          <c:yVal>
            <c:numRef>
              <c:f>'Phase Behavior Results'!$D$182:$D$185</c:f>
              <c:numCache>
                <c:formatCode>0.00</c:formatCode>
                <c:ptCount val="4"/>
                <c:pt idx="0">
                  <c:v>0.89922480620154999</c:v>
                </c:pt>
                <c:pt idx="1">
                  <c:v>1.86046511627906</c:v>
                </c:pt>
                <c:pt idx="2">
                  <c:v>4.3720930232558102</c:v>
                </c:pt>
                <c:pt idx="3">
                  <c:v>14.4806201550387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F9-4ABE-8C21-DE517A89F013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Results'!$E$182:$E$188</c:f>
              <c:numCache>
                <c:formatCode>0.00</c:formatCode>
                <c:ptCount val="7"/>
                <c:pt idx="0">
                  <c:v>2.1151046405823402</c:v>
                </c:pt>
                <c:pt idx="1">
                  <c:v>2.6428571428571401</c:v>
                </c:pt>
                <c:pt idx="2">
                  <c:v>3.1706096451319299</c:v>
                </c:pt>
                <c:pt idx="3">
                  <c:v>3.6892629663330299</c:v>
                </c:pt>
                <c:pt idx="4">
                  <c:v>4.1897179253867103</c:v>
                </c:pt>
                <c:pt idx="5">
                  <c:v>4.69472247497725</c:v>
                </c:pt>
                <c:pt idx="6">
                  <c:v>5.19972702456778</c:v>
                </c:pt>
              </c:numCache>
            </c:numRef>
          </c:xVal>
          <c:yVal>
            <c:numRef>
              <c:f>'Phase Behavior Results'!$F$182:$F$188</c:f>
              <c:numCache>
                <c:formatCode>0.00</c:formatCode>
                <c:ptCount val="7"/>
                <c:pt idx="0">
                  <c:v>18.325581395348799</c:v>
                </c:pt>
                <c:pt idx="1">
                  <c:v>11.968992248061999</c:v>
                </c:pt>
                <c:pt idx="2">
                  <c:v>7.8449612403100701</c:v>
                </c:pt>
                <c:pt idx="3">
                  <c:v>4.8372093023255802</c:v>
                </c:pt>
                <c:pt idx="4">
                  <c:v>3.0077519379844899</c:v>
                </c:pt>
                <c:pt idx="5">
                  <c:v>2.5116279069767402</c:v>
                </c:pt>
                <c:pt idx="6">
                  <c:v>1.5813953488371999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F9-4ABE-8C21-DE517A89F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912607"/>
        <c:axId val="1564917887"/>
      </c:scatterChart>
      <c:valAx>
        <c:axId val="156491260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64917887"/>
        <c:crosses val="autoZero"/>
        <c:crossBetween val="midCat"/>
      </c:valAx>
      <c:valAx>
        <c:axId val="1564917887"/>
        <c:scaling>
          <c:orientation val="minMax"/>
          <c:max val="20"/>
        </c:scaling>
        <c:delete val="1"/>
        <c:axPos val="l"/>
        <c:numFmt formatCode="0.00" sourceLinked="1"/>
        <c:majorTickMark val="none"/>
        <c:minorTickMark val="none"/>
        <c:tickLblPos val="nextTo"/>
        <c:crossAx val="156491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25. Figure 13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517578128823407"/>
          <c:y val="0.13311412888049531"/>
          <c:w val="0.78674630554890335"/>
          <c:h val="0.71939838635292075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Results'!$C$199:$C$205</c:f>
              <c:numCache>
                <c:formatCode>0.00</c:formatCode>
                <c:ptCount val="7"/>
                <c:pt idx="0">
                  <c:v>0.53623188405797095</c:v>
                </c:pt>
                <c:pt idx="1">
                  <c:v>1.07518115942029</c:v>
                </c:pt>
                <c:pt idx="2">
                  <c:v>1.60507246376811</c:v>
                </c:pt>
                <c:pt idx="3">
                  <c:v>2.13043478260869</c:v>
                </c:pt>
                <c:pt idx="4">
                  <c:v>2.65</c:v>
                </c:pt>
                <c:pt idx="5">
                  <c:v>3.1749999999999998</c:v>
                </c:pt>
                <c:pt idx="6">
                  <c:v>3.6884057971014399</c:v>
                </c:pt>
              </c:numCache>
            </c:numRef>
          </c:xVal>
          <c:yVal>
            <c:numRef>
              <c:f>'Phase Behavior Results'!$D$199:$D$205</c:f>
              <c:numCache>
                <c:formatCode>0.00</c:formatCode>
                <c:ptCount val="7"/>
                <c:pt idx="0">
                  <c:v>0.893682588597842</c:v>
                </c:pt>
                <c:pt idx="1">
                  <c:v>1.8798151001540799</c:v>
                </c:pt>
                <c:pt idx="2">
                  <c:v>2.86594761171032</c:v>
                </c:pt>
                <c:pt idx="3">
                  <c:v>3.2973805855161702</c:v>
                </c:pt>
                <c:pt idx="4">
                  <c:v>4.77657935285053</c:v>
                </c:pt>
                <c:pt idx="5">
                  <c:v>10.292758089368199</c:v>
                </c:pt>
                <c:pt idx="6">
                  <c:v>18.151001540831999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AE-47C6-8463-2A72CA452F65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Results'!$E$199:$E$202</c:f>
              <c:numCache>
                <c:formatCode>0.00</c:formatCode>
                <c:ptCount val="4"/>
                <c:pt idx="0">
                  <c:v>3.1721014492753601</c:v>
                </c:pt>
                <c:pt idx="1">
                  <c:v>3.6884057971014399</c:v>
                </c:pt>
                <c:pt idx="2">
                  <c:v>4.7</c:v>
                </c:pt>
                <c:pt idx="3">
                  <c:v>5.2050000000000001</c:v>
                </c:pt>
              </c:numCache>
            </c:numRef>
          </c:xVal>
          <c:yVal>
            <c:numRef>
              <c:f>'Phase Behavior Results'!$F$199:$F$202</c:f>
              <c:numCache>
                <c:formatCode>0.00</c:formatCode>
                <c:ptCount val="4"/>
                <c:pt idx="0">
                  <c:v>15.7</c:v>
                </c:pt>
                <c:pt idx="1">
                  <c:v>10.1078582434514</c:v>
                </c:pt>
                <c:pt idx="2">
                  <c:v>3.45</c:v>
                </c:pt>
                <c:pt idx="3">
                  <c:v>1.95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AE-47C6-8463-2A72CA452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3771711"/>
        <c:axId val="2043774111"/>
      </c:scatterChart>
      <c:valAx>
        <c:axId val="2043771711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3774111"/>
        <c:crosses val="autoZero"/>
        <c:crossBetween val="midCat"/>
      </c:valAx>
      <c:valAx>
        <c:axId val="204377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377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26. Figure 14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85026638623286"/>
          <c:y val="0.10001286448557442"/>
          <c:w val="0.81393523460446482"/>
          <c:h val="0.76301342554736262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Results'!$C$216:$C$225</c:f>
              <c:numCache>
                <c:formatCode>0.00</c:formatCode>
                <c:ptCount val="10"/>
                <c:pt idx="0">
                  <c:v>0.54</c:v>
                </c:pt>
                <c:pt idx="1">
                  <c:v>1.08</c:v>
                </c:pt>
                <c:pt idx="2">
                  <c:v>1.61</c:v>
                </c:pt>
                <c:pt idx="3">
                  <c:v>2.13</c:v>
                </c:pt>
                <c:pt idx="4">
                  <c:v>2.6549999999999998</c:v>
                </c:pt>
                <c:pt idx="5">
                  <c:v>3.1749999999999998</c:v>
                </c:pt>
                <c:pt idx="6">
                  <c:v>3.69</c:v>
                </c:pt>
                <c:pt idx="7">
                  <c:v>4.1982520699172001</c:v>
                </c:pt>
                <c:pt idx="8">
                  <c:v>4.6950000000000003</c:v>
                </c:pt>
                <c:pt idx="9">
                  <c:v>5.2</c:v>
                </c:pt>
              </c:numCache>
            </c:numRef>
          </c:xVal>
          <c:yVal>
            <c:numRef>
              <c:f>'Phase Behavior Results'!$D$216:$D$225</c:f>
              <c:numCache>
                <c:formatCode>0.00</c:formatCode>
                <c:ptCount val="10"/>
                <c:pt idx="0">
                  <c:v>0.97331240188382995</c:v>
                </c:pt>
                <c:pt idx="1">
                  <c:v>1.9780219780219701</c:v>
                </c:pt>
                <c:pt idx="2">
                  <c:v>2.4803767660910498</c:v>
                </c:pt>
                <c:pt idx="3">
                  <c:v>2.9513343799057998</c:v>
                </c:pt>
                <c:pt idx="4">
                  <c:v>3.95604395604395</c:v>
                </c:pt>
                <c:pt idx="5">
                  <c:v>4.3328100470957596</c:v>
                </c:pt>
                <c:pt idx="6">
                  <c:v>7.9120879120879097</c:v>
                </c:pt>
                <c:pt idx="7">
                  <c:v>7.2841444270015696</c:v>
                </c:pt>
                <c:pt idx="8">
                  <c:v>9.6075353218210306</c:v>
                </c:pt>
                <c:pt idx="9">
                  <c:v>15.2276295133437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D-4F42-A1A1-602267185DF3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7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Results'!$E$216:$E$217</c:f>
              <c:numCache>
                <c:formatCode>0.00</c:formatCode>
                <c:ptCount val="2"/>
                <c:pt idx="0">
                  <c:v>4.6950321987120498</c:v>
                </c:pt>
                <c:pt idx="1">
                  <c:v>5.2</c:v>
                </c:pt>
              </c:numCache>
            </c:numRef>
          </c:xVal>
          <c:yVal>
            <c:numRef>
              <c:f>'Phase Behavior Results'!$F$216:$F$217</c:f>
              <c:numCache>
                <c:formatCode>0.00</c:formatCode>
                <c:ptCount val="2"/>
                <c:pt idx="0">
                  <c:v>15.395</c:v>
                </c:pt>
                <c:pt idx="1">
                  <c:v>5.4003139717425404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D-4F42-A1A1-602267185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4610207"/>
        <c:axId val="1914606847"/>
      </c:scatterChart>
      <c:valAx>
        <c:axId val="1914610207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606847"/>
        <c:crosses val="autoZero"/>
        <c:crossBetween val="midCat"/>
        <c:majorUnit val="0.5"/>
      </c:valAx>
      <c:valAx>
        <c:axId val="191460684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61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27. Figure</a:t>
            </a:r>
            <a:r>
              <a:rPr lang="en-GB" baseline="0"/>
              <a:t> 15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619476340054803"/>
          <c:y val="0.12295465080252753"/>
          <c:w val="0.78228138490498256"/>
          <c:h val="0.72948537120508505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Results'!$C$233:$C$238</c:f>
              <c:numCache>
                <c:formatCode>0.00</c:formatCode>
                <c:ptCount val="6"/>
                <c:pt idx="0">
                  <c:v>0.53693444136657398</c:v>
                </c:pt>
                <c:pt idx="1">
                  <c:v>1.07710064635272</c:v>
                </c:pt>
                <c:pt idx="2">
                  <c:v>1.5987996306555801</c:v>
                </c:pt>
                <c:pt idx="3">
                  <c:v>2.1297322253000899</c:v>
                </c:pt>
                <c:pt idx="4">
                  <c:v>2.64681440443213</c:v>
                </c:pt>
                <c:pt idx="5">
                  <c:v>3.1685133887349899</c:v>
                </c:pt>
              </c:numCache>
            </c:numRef>
          </c:xVal>
          <c:yVal>
            <c:numRef>
              <c:f>'Phase Behavior Results'!$D$233:$D$238</c:f>
              <c:numCache>
                <c:formatCode>0.00</c:formatCode>
                <c:ptCount val="6"/>
                <c:pt idx="0">
                  <c:v>2.3861852433281001</c:v>
                </c:pt>
                <c:pt idx="1">
                  <c:v>2.9513343799057998</c:v>
                </c:pt>
                <c:pt idx="2">
                  <c:v>5.2747252747252702</c:v>
                </c:pt>
                <c:pt idx="3">
                  <c:v>7.3155416012558803</c:v>
                </c:pt>
                <c:pt idx="4">
                  <c:v>13.5007849293563</c:v>
                </c:pt>
                <c:pt idx="5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02-4D0F-9735-CD0A05EA7390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Results'!$E$233:$E$237</c:f>
              <c:numCache>
                <c:formatCode>0.00</c:formatCode>
                <c:ptCount val="5"/>
                <c:pt idx="0">
                  <c:v>3.1731301939058101</c:v>
                </c:pt>
                <c:pt idx="1">
                  <c:v>3.69482917820867</c:v>
                </c:pt>
                <c:pt idx="2">
                  <c:v>4.19806094182825</c:v>
                </c:pt>
                <c:pt idx="3">
                  <c:v>4.6966759002770004</c:v>
                </c:pt>
                <c:pt idx="4">
                  <c:v>5.1952908587257598</c:v>
                </c:pt>
              </c:numCache>
            </c:numRef>
          </c:xVal>
          <c:yVal>
            <c:numRef>
              <c:f>'Phase Behavior Results'!$F$233:$F$237</c:f>
              <c:numCache>
                <c:formatCode>0.00</c:formatCode>
                <c:ptCount val="5"/>
                <c:pt idx="0">
                  <c:v>12.2448979591836</c:v>
                </c:pt>
                <c:pt idx="1">
                  <c:v>5.4317111459968599</c:v>
                </c:pt>
                <c:pt idx="2">
                  <c:v>2.9513343799057998</c:v>
                </c:pt>
                <c:pt idx="3">
                  <c:v>2.5117739403453601</c:v>
                </c:pt>
                <c:pt idx="4">
                  <c:v>2.0408163265306101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02-4D0F-9735-CD0A05EA7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379967"/>
        <c:axId val="2098383327"/>
      </c:scatterChart>
      <c:valAx>
        <c:axId val="20983799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2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83327"/>
        <c:crosses val="autoZero"/>
        <c:crossBetween val="midCat"/>
      </c:valAx>
      <c:valAx>
        <c:axId val="209838332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79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29. Figure 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4781430647315"/>
          <c:y val="0.1156366082099896"/>
          <c:w val="0.80282325172993418"/>
          <c:h val="0.7478843348526920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Results'!$C$267:$C$274</c:f>
              <c:numCache>
                <c:formatCode>0.00</c:formatCode>
                <c:ptCount val="8"/>
                <c:pt idx="0">
                  <c:v>0.54946043165467595</c:v>
                </c:pt>
                <c:pt idx="1">
                  <c:v>1.08453237410071</c:v>
                </c:pt>
                <c:pt idx="2">
                  <c:v>1.6106115107913599</c:v>
                </c:pt>
                <c:pt idx="3">
                  <c:v>2.1321942446043098</c:v>
                </c:pt>
                <c:pt idx="4">
                  <c:v>2.6582733812949599</c:v>
                </c:pt>
                <c:pt idx="5">
                  <c:v>3.1798561151079099</c:v>
                </c:pt>
                <c:pt idx="6">
                  <c:v>3.6879496402877598</c:v>
                </c:pt>
                <c:pt idx="7">
                  <c:v>4.1915467625899199</c:v>
                </c:pt>
              </c:numCache>
            </c:numRef>
          </c:xVal>
          <c:yVal>
            <c:numRef>
              <c:f>'Phase Behavior Results'!$D$267:$D$274</c:f>
              <c:numCache>
                <c:formatCode>0.00</c:formatCode>
                <c:ptCount val="8"/>
                <c:pt idx="0">
                  <c:v>1.99692780337941</c:v>
                </c:pt>
                <c:pt idx="1">
                  <c:v>3.4408602150537599</c:v>
                </c:pt>
                <c:pt idx="2">
                  <c:v>3.4101382488479199</c:v>
                </c:pt>
                <c:pt idx="3">
                  <c:v>4.8540706605222699</c:v>
                </c:pt>
                <c:pt idx="4">
                  <c:v>4.7926267281105899</c:v>
                </c:pt>
                <c:pt idx="5">
                  <c:v>8.8786482334869401</c:v>
                </c:pt>
                <c:pt idx="6">
                  <c:v>14.009216589861699</c:v>
                </c:pt>
                <c:pt idx="7">
                  <c:v>17.235023041474602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30-4927-8D0F-01A485818403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Results'!$E$267:$E$270</c:f>
              <c:numCache>
                <c:formatCode>0.00</c:formatCode>
                <c:ptCount val="4"/>
                <c:pt idx="0">
                  <c:v>3.6879496402877598</c:v>
                </c:pt>
                <c:pt idx="1">
                  <c:v>4.1915467625899199</c:v>
                </c:pt>
                <c:pt idx="2">
                  <c:v>4.6951438848920803</c:v>
                </c:pt>
                <c:pt idx="3">
                  <c:v>5.1987410071942399</c:v>
                </c:pt>
              </c:numCache>
            </c:numRef>
          </c:xVal>
          <c:yVal>
            <c:numRef>
              <c:f>'Phase Behavior Results'!$F$267:$F$270</c:f>
              <c:numCache>
                <c:formatCode>0.00</c:formatCode>
                <c:ptCount val="4"/>
                <c:pt idx="0">
                  <c:v>11.029185867895499</c:v>
                </c:pt>
                <c:pt idx="1">
                  <c:v>7.3732718894009199</c:v>
                </c:pt>
                <c:pt idx="2">
                  <c:v>4.8540706605222699</c:v>
                </c:pt>
                <c:pt idx="3">
                  <c:v>2.9800307219661999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30-4927-8D0F-01A485818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3616"/>
        <c:axId val="632363008"/>
      </c:scatterChart>
      <c:valAx>
        <c:axId val="2443616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63008"/>
        <c:crosses val="autoZero"/>
        <c:crossBetween val="midCat"/>
      </c:valAx>
      <c:valAx>
        <c:axId val="6323630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1357547546632"/>
          <c:y val="0.113184089873022"/>
          <c:w val="0.82314419499364777"/>
          <c:h val="0.7429018308258253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Results'!$C$284:$C$291</c:f>
              <c:numCache>
                <c:formatCode>0.00</c:formatCode>
                <c:ptCount val="8"/>
                <c:pt idx="0">
                  <c:v>0.54440497335701599</c:v>
                </c:pt>
                <c:pt idx="1">
                  <c:v>1.0817051509769</c:v>
                </c:pt>
                <c:pt idx="2">
                  <c:v>1.6101243339253899</c:v>
                </c:pt>
                <c:pt idx="3">
                  <c:v>2.13854351687388</c:v>
                </c:pt>
                <c:pt idx="4">
                  <c:v>2.6580817051509702</c:v>
                </c:pt>
                <c:pt idx="5">
                  <c:v>3.1776198934280599</c:v>
                </c:pt>
                <c:pt idx="6">
                  <c:v>3.69271758436944</c:v>
                </c:pt>
                <c:pt idx="7">
                  <c:v>4.1989342806394303</c:v>
                </c:pt>
              </c:numCache>
            </c:numRef>
          </c:xVal>
          <c:yVal>
            <c:numRef>
              <c:f>'Phase Behavior Results'!$D$284:$D$291</c:f>
              <c:numCache>
                <c:formatCode>0.00</c:formatCode>
                <c:ptCount val="8"/>
                <c:pt idx="0">
                  <c:v>2.39393939393939</c:v>
                </c:pt>
                <c:pt idx="1">
                  <c:v>3.3636363636363602</c:v>
                </c:pt>
                <c:pt idx="2">
                  <c:v>2.87878787878787</c:v>
                </c:pt>
                <c:pt idx="3">
                  <c:v>4.39393939393939</c:v>
                </c:pt>
                <c:pt idx="4">
                  <c:v>5.8484848484848397</c:v>
                </c:pt>
                <c:pt idx="5">
                  <c:v>6.1818181818181799</c:v>
                </c:pt>
                <c:pt idx="6">
                  <c:v>9.3333333333333304</c:v>
                </c:pt>
                <c:pt idx="7">
                  <c:v>15.5757575757575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E5-4858-B959-E98DF673DC88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Results'!$E$284:$E$285</c:f>
              <c:numCache>
                <c:formatCode>0.00</c:formatCode>
                <c:ptCount val="2"/>
                <c:pt idx="0">
                  <c:v>4.6918294849022999</c:v>
                </c:pt>
                <c:pt idx="1">
                  <c:v>5.1980461811722902</c:v>
                </c:pt>
              </c:numCache>
            </c:numRef>
          </c:xVal>
          <c:yVal>
            <c:numRef>
              <c:f>'Phase Behavior Results'!$F$284:$F$285</c:f>
              <c:numCache>
                <c:formatCode>0.00</c:formatCode>
                <c:ptCount val="2"/>
                <c:pt idx="0">
                  <c:v>13.1818181818181</c:v>
                </c:pt>
                <c:pt idx="1">
                  <c:v>5.39393939393939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E5-4858-B959-E98DF673D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2806767"/>
        <c:axId val="1382807247"/>
      </c:scatterChart>
      <c:valAx>
        <c:axId val="13828067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807247"/>
        <c:crosses val="autoZero"/>
        <c:crossBetween val="midCat"/>
        <c:majorUnit val="0.5"/>
      </c:valAx>
      <c:valAx>
        <c:axId val="138280724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806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26044817934627"/>
          <c:y val="9.4462558682913617E-2"/>
          <c:w val="0.81936712361107888"/>
          <c:h val="0.766800075207571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Results'!$C$301:$C$307</c:f>
              <c:numCache>
                <c:formatCode>0.00</c:formatCode>
                <c:ptCount val="7"/>
                <c:pt idx="0">
                  <c:v>0.54432624113475103</c:v>
                </c:pt>
                <c:pt idx="1">
                  <c:v>1.08067375886524</c:v>
                </c:pt>
                <c:pt idx="2">
                  <c:v>1.6081560283687899</c:v>
                </c:pt>
                <c:pt idx="3">
                  <c:v>2.1356382978723398</c:v>
                </c:pt>
                <c:pt idx="4">
                  <c:v>2.65868794326241</c:v>
                </c:pt>
                <c:pt idx="5">
                  <c:v>3.1773049645390001</c:v>
                </c:pt>
                <c:pt idx="6">
                  <c:v>3.68</c:v>
                </c:pt>
              </c:numCache>
            </c:numRef>
          </c:xVal>
          <c:yVal>
            <c:numRef>
              <c:f>'Phase Behavior Results'!$D$301:$D$307</c:f>
              <c:numCache>
                <c:formatCode>0.00</c:formatCode>
                <c:ptCount val="7"/>
                <c:pt idx="0">
                  <c:v>2.43161094224924</c:v>
                </c:pt>
                <c:pt idx="1">
                  <c:v>3.3434650455927</c:v>
                </c:pt>
                <c:pt idx="2">
                  <c:v>4.8936170212765902</c:v>
                </c:pt>
                <c:pt idx="3">
                  <c:v>5.25835866261398</c:v>
                </c:pt>
                <c:pt idx="4">
                  <c:v>7.2948328267477196</c:v>
                </c:pt>
                <c:pt idx="5">
                  <c:v>10.455927051671701</c:v>
                </c:pt>
                <c:pt idx="6">
                  <c:v>17.72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85-4A0B-A1BF-4AC7AFC2AD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Results'!$E$301:$E$304</c:f>
              <c:numCache>
                <c:formatCode>0.00</c:formatCode>
                <c:ptCount val="4"/>
                <c:pt idx="0">
                  <c:v>3.1684397163120499</c:v>
                </c:pt>
                <c:pt idx="1">
                  <c:v>4.19237588652482</c:v>
                </c:pt>
                <c:pt idx="2">
                  <c:v>4.6950000000000003</c:v>
                </c:pt>
                <c:pt idx="3">
                  <c:v>5.2</c:v>
                </c:pt>
              </c:numCache>
            </c:numRef>
          </c:xVal>
          <c:yVal>
            <c:numRef>
              <c:f>'Phase Behavior Results'!$F$301:$F$304</c:f>
              <c:numCache>
                <c:formatCode>0.00</c:formatCode>
                <c:ptCount val="4"/>
                <c:pt idx="0">
                  <c:v>15.319148936170199</c:v>
                </c:pt>
                <c:pt idx="1">
                  <c:v>6.3221884498480199</c:v>
                </c:pt>
                <c:pt idx="2">
                  <c:v>4.8024316109422402</c:v>
                </c:pt>
                <c:pt idx="3">
                  <c:v>3.93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85-4A0B-A1BF-4AC7AFC2A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5866592"/>
        <c:axId val="255872352"/>
      </c:scatterChart>
      <c:valAx>
        <c:axId val="255866592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872352"/>
        <c:crosses val="autoZero"/>
        <c:crossBetween val="midCat"/>
      </c:valAx>
      <c:valAx>
        <c:axId val="2558723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866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3741595391136245E-2"/>
          <c:y val="9.0114929479239103E-2"/>
          <c:w val="0.84270419078883219"/>
          <c:h val="0.75300298626076767"/>
        </c:manualLayout>
      </c:layout>
      <c:scatterChart>
        <c:scatterStyle val="lineMarker"/>
        <c:varyColors val="0"/>
        <c:ser>
          <c:idx val="0"/>
          <c:order val="0"/>
          <c:tx>
            <c:v>f_oiol\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Results'!$C$318:$C$322</c:f>
              <c:numCache>
                <c:formatCode>0.00</c:formatCode>
                <c:ptCount val="5"/>
                <c:pt idx="0">
                  <c:v>0.53978779840848801</c:v>
                </c:pt>
                <c:pt idx="1">
                  <c:v>1.07471264367816</c:v>
                </c:pt>
                <c:pt idx="2">
                  <c:v>1.60079575596816</c:v>
                </c:pt>
                <c:pt idx="3">
                  <c:v>2.1268788682581699</c:v>
                </c:pt>
                <c:pt idx="4">
                  <c:v>2.6485411140583501</c:v>
                </c:pt>
              </c:numCache>
            </c:numRef>
          </c:xVal>
          <c:yVal>
            <c:numRef>
              <c:f>'Phase Behavior Results'!$D$318:$D$322</c:f>
              <c:numCache>
                <c:formatCode>0.00</c:formatCode>
                <c:ptCount val="5"/>
                <c:pt idx="0">
                  <c:v>1.90620272314674</c:v>
                </c:pt>
                <c:pt idx="1">
                  <c:v>4.3570347957639903</c:v>
                </c:pt>
                <c:pt idx="2">
                  <c:v>6.4145234493192103</c:v>
                </c:pt>
                <c:pt idx="3">
                  <c:v>9.7730711043872898</c:v>
                </c:pt>
                <c:pt idx="4">
                  <c:v>15.9757942511346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06-4448-A834-2735F0DB1C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Results'!$E$318:$E$323</c:f>
              <c:numCache>
                <c:formatCode>0.00</c:formatCode>
                <c:ptCount val="6"/>
                <c:pt idx="0">
                  <c:v>2.65</c:v>
                </c:pt>
                <c:pt idx="1">
                  <c:v>3.1702033599999999</c:v>
                </c:pt>
                <c:pt idx="2">
                  <c:v>3.69</c:v>
                </c:pt>
                <c:pt idx="3">
                  <c:v>4.2</c:v>
                </c:pt>
                <c:pt idx="4">
                  <c:v>4.7</c:v>
                </c:pt>
                <c:pt idx="5">
                  <c:v>5.21</c:v>
                </c:pt>
              </c:numCache>
            </c:numRef>
          </c:xVal>
          <c:yVal>
            <c:numRef>
              <c:f>'Phase Behavior Results'!$F$318:$F$323</c:f>
              <c:numCache>
                <c:formatCode>0.00</c:formatCode>
                <c:ptCount val="6"/>
                <c:pt idx="0">
                  <c:v>11.649016639999999</c:v>
                </c:pt>
                <c:pt idx="1">
                  <c:v>6.8381240539999997</c:v>
                </c:pt>
                <c:pt idx="2">
                  <c:v>3.963691377</c:v>
                </c:pt>
                <c:pt idx="3">
                  <c:v>1.55</c:v>
                </c:pt>
                <c:pt idx="4">
                  <c:v>1.04</c:v>
                </c:pt>
                <c:pt idx="5">
                  <c:v>0.64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06-4448-A834-2735F0DB1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250704"/>
        <c:axId val="121250224"/>
      </c:scatterChart>
      <c:valAx>
        <c:axId val="121250704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250224"/>
        <c:crosses val="autoZero"/>
        <c:crossBetween val="midCat"/>
      </c:valAx>
      <c:valAx>
        <c:axId val="121250224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250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88398229286564"/>
          <c:y val="0.12088729237574711"/>
          <c:w val="0.7938241142670065"/>
          <c:h val="0.73713627752807642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Results'!$C$335:$C$338</c:f>
              <c:numCache>
                <c:formatCode>0.00</c:formatCode>
                <c:ptCount val="4"/>
                <c:pt idx="0">
                  <c:v>0.54113345521023704</c:v>
                </c:pt>
                <c:pt idx="1">
                  <c:v>1.0758683729433201</c:v>
                </c:pt>
                <c:pt idx="2">
                  <c:v>1.6014625228519099</c:v>
                </c:pt>
                <c:pt idx="3">
                  <c:v>2.1316270566727602</c:v>
                </c:pt>
              </c:numCache>
            </c:numRef>
          </c:xVal>
          <c:yVal>
            <c:numRef>
              <c:f>'Phase Behavior Results'!$D$335:$D$338</c:f>
              <c:numCache>
                <c:formatCode>0.00</c:formatCode>
                <c:ptCount val="4"/>
                <c:pt idx="0">
                  <c:v>3.8940809968847301</c:v>
                </c:pt>
                <c:pt idx="1">
                  <c:v>4.4859813084112101</c:v>
                </c:pt>
                <c:pt idx="2">
                  <c:v>6.5109034267912698</c:v>
                </c:pt>
                <c:pt idx="3">
                  <c:v>12.056074766355099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F5-4511-9E04-4724F28EA4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Results'!$E$335:$E$339</c:f>
              <c:numCache>
                <c:formatCode>0.00</c:formatCode>
                <c:ptCount val="5"/>
                <c:pt idx="0">
                  <c:v>2.65</c:v>
                </c:pt>
                <c:pt idx="1">
                  <c:v>3.1736745886654401</c:v>
                </c:pt>
                <c:pt idx="2">
                  <c:v>4.1900000000000004</c:v>
                </c:pt>
                <c:pt idx="3">
                  <c:v>4.6900000000000004</c:v>
                </c:pt>
                <c:pt idx="4">
                  <c:v>5.2</c:v>
                </c:pt>
              </c:numCache>
            </c:numRef>
          </c:xVal>
          <c:yVal>
            <c:numRef>
              <c:f>'Phase Behavior Results'!$F$335:$F$339</c:f>
              <c:numCache>
                <c:formatCode>0.00</c:formatCode>
                <c:ptCount val="5"/>
                <c:pt idx="0">
                  <c:v>10.031152647975</c:v>
                </c:pt>
                <c:pt idx="1">
                  <c:v>5.0778816199376902</c:v>
                </c:pt>
                <c:pt idx="2">
                  <c:v>2.5545171339563799</c:v>
                </c:pt>
                <c:pt idx="3">
                  <c:v>1.5264797507788099</c:v>
                </c:pt>
                <c:pt idx="4">
                  <c:v>0.49844236760124599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F5-4511-9E04-4724F28EA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9104"/>
        <c:axId val="10605344"/>
      </c:scatterChart>
      <c:valAx>
        <c:axId val="10599104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0605344"/>
        <c:crosses val="autoZero"/>
        <c:crossBetween val="midCat"/>
      </c:valAx>
      <c:valAx>
        <c:axId val="10605344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0599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80160581326818"/>
          <c:y val="0.12415904831398383"/>
          <c:w val="0.83283705976088784"/>
          <c:h val="0.73858469135452853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Results'!$C$369:$C$372</c:f>
              <c:numCache>
                <c:formatCode>0.00</c:formatCode>
                <c:ptCount val="4"/>
                <c:pt idx="0">
                  <c:v>0.54587155963302703</c:v>
                </c:pt>
                <c:pt idx="1">
                  <c:v>1.08</c:v>
                </c:pt>
                <c:pt idx="2">
                  <c:v>1.6055045871559599</c:v>
                </c:pt>
                <c:pt idx="3">
                  <c:v>2.1330275229357798</c:v>
                </c:pt>
              </c:numCache>
            </c:numRef>
          </c:xVal>
          <c:yVal>
            <c:numRef>
              <c:f>'Phase Behavior Results'!$D$369:$D$372</c:f>
              <c:numCache>
                <c:formatCode>0.00</c:formatCode>
                <c:ptCount val="4"/>
                <c:pt idx="0">
                  <c:v>2.0124804992199601</c:v>
                </c:pt>
                <c:pt idx="1">
                  <c:v>7.95</c:v>
                </c:pt>
                <c:pt idx="2">
                  <c:v>13.806552262090401</c:v>
                </c:pt>
                <c:pt idx="3">
                  <c:v>27.659906396255799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DE-4EB9-BB75-5E392C886F4C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Results'!$E$369:$E$375</c:f>
              <c:numCache>
                <c:formatCode>0.00</c:formatCode>
                <c:ptCount val="7"/>
                <c:pt idx="0">
                  <c:v>2.1284403669724701</c:v>
                </c:pt>
                <c:pt idx="1">
                  <c:v>2.6467889908256801</c:v>
                </c:pt>
                <c:pt idx="2">
                  <c:v>3.1697247706421998</c:v>
                </c:pt>
                <c:pt idx="3">
                  <c:v>3.6972477064220102</c:v>
                </c:pt>
                <c:pt idx="4">
                  <c:v>4.1972477064220097</c:v>
                </c:pt>
                <c:pt idx="5">
                  <c:v>4.7018348623853203</c:v>
                </c:pt>
                <c:pt idx="6">
                  <c:v>5.2064220183486203</c:v>
                </c:pt>
              </c:numCache>
            </c:numRef>
          </c:xVal>
          <c:yVal>
            <c:numRef>
              <c:f>'Phase Behavior Results'!$F$369:$F$375</c:f>
              <c:numCache>
                <c:formatCode>0.00</c:formatCode>
                <c:ptCount val="7"/>
                <c:pt idx="0">
                  <c:v>29.719188767550701</c:v>
                </c:pt>
                <c:pt idx="1">
                  <c:v>15.7254290171606</c:v>
                </c:pt>
                <c:pt idx="2">
                  <c:v>9.7815912636505402</c:v>
                </c:pt>
                <c:pt idx="3">
                  <c:v>6.0374414976599002</c:v>
                </c:pt>
                <c:pt idx="4">
                  <c:v>5.8970358814352499</c:v>
                </c:pt>
                <c:pt idx="5">
                  <c:v>2.1528861154446099</c:v>
                </c:pt>
                <c:pt idx="6">
                  <c:v>2.1060842433697302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DE-4EB9-BB75-5E392C886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059792"/>
        <c:axId val="254063152"/>
      </c:scatterChart>
      <c:valAx>
        <c:axId val="254059792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063152"/>
        <c:crosses val="autoZero"/>
        <c:crossBetween val="midCat"/>
      </c:valAx>
      <c:valAx>
        <c:axId val="25406315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05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551827520846979E-2"/>
          <c:y val="0.10739365575783898"/>
          <c:w val="0.86923115678328466"/>
          <c:h val="0.75059269459307609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1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Results'!$C$403:$C$409</c:f>
              <c:numCache>
                <c:formatCode>0.00</c:formatCode>
                <c:ptCount val="7"/>
                <c:pt idx="0">
                  <c:v>0.54520795660036103</c:v>
                </c:pt>
                <c:pt idx="1">
                  <c:v>1.08318264014466</c:v>
                </c:pt>
                <c:pt idx="2">
                  <c:v>1.62</c:v>
                </c:pt>
                <c:pt idx="3">
                  <c:v>2.14</c:v>
                </c:pt>
                <c:pt idx="4">
                  <c:v>2.66</c:v>
                </c:pt>
                <c:pt idx="5">
                  <c:v>3.18</c:v>
                </c:pt>
                <c:pt idx="6">
                  <c:v>3.6949999999999998</c:v>
                </c:pt>
              </c:numCache>
            </c:numRef>
          </c:xVal>
          <c:yVal>
            <c:numRef>
              <c:f>'Phase Behavior Results'!$D$403:$D$409</c:f>
              <c:numCache>
                <c:formatCode>0.00</c:formatCode>
                <c:ptCount val="7"/>
                <c:pt idx="0">
                  <c:v>2.37</c:v>
                </c:pt>
                <c:pt idx="1">
                  <c:v>3.9</c:v>
                </c:pt>
                <c:pt idx="2">
                  <c:v>5.31</c:v>
                </c:pt>
                <c:pt idx="3">
                  <c:v>7.15</c:v>
                </c:pt>
                <c:pt idx="4">
                  <c:v>10.4923076923076</c:v>
                </c:pt>
                <c:pt idx="5">
                  <c:v>13.7846153846153</c:v>
                </c:pt>
                <c:pt idx="6">
                  <c:v>18.315000000000001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23-4CEB-AE54-8B217A024AB2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Results'!$E$403:$E$407</c:f>
              <c:numCache>
                <c:formatCode>0.00</c:formatCode>
                <c:ptCount val="5"/>
                <c:pt idx="0">
                  <c:v>3.1749999999999998</c:v>
                </c:pt>
                <c:pt idx="1">
                  <c:v>3.6909999999999998</c:v>
                </c:pt>
                <c:pt idx="2">
                  <c:v>4.2</c:v>
                </c:pt>
                <c:pt idx="3">
                  <c:v>4.7</c:v>
                </c:pt>
                <c:pt idx="4">
                  <c:v>5.2050000000000001</c:v>
                </c:pt>
              </c:numCache>
            </c:numRef>
          </c:xVal>
          <c:yVal>
            <c:numRef>
              <c:f>'Phase Behavior Results'!$F$403:$F$407</c:f>
              <c:numCache>
                <c:formatCode>0.00</c:formatCode>
                <c:ptCount val="5"/>
                <c:pt idx="0">
                  <c:v>17.100000000000001</c:v>
                </c:pt>
                <c:pt idx="1">
                  <c:v>9.6199999999999992</c:v>
                </c:pt>
                <c:pt idx="2">
                  <c:v>4.8499999999999996</c:v>
                </c:pt>
                <c:pt idx="3">
                  <c:v>3.9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23-4CEB-AE54-8B217A024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871583"/>
        <c:axId val="1851883583"/>
      </c:scatterChart>
      <c:valAx>
        <c:axId val="1851871583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851883583"/>
        <c:crosses val="autoZero"/>
        <c:crossBetween val="midCat"/>
      </c:valAx>
      <c:valAx>
        <c:axId val="185188358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851871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058969971343"/>
          <c:y val="0.10746580865228608"/>
          <c:w val="0.84226150037449798"/>
          <c:h val="0.7524467622528086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Results'!$C$420:$C$425</c:f>
              <c:numCache>
                <c:formatCode>0.00</c:formatCode>
                <c:ptCount val="6"/>
                <c:pt idx="0">
                  <c:v>0.53533568904593598</c:v>
                </c:pt>
                <c:pt idx="1">
                  <c:v>1.0786219081271999</c:v>
                </c:pt>
                <c:pt idx="2">
                  <c:v>1.5998233215547699</c:v>
                </c:pt>
                <c:pt idx="3">
                  <c:v>2.1342756183745499</c:v>
                </c:pt>
                <c:pt idx="4">
                  <c:v>2.6554770318021199</c:v>
                </c:pt>
                <c:pt idx="5">
                  <c:v>3.1678445229681902</c:v>
                </c:pt>
              </c:numCache>
            </c:numRef>
          </c:xVal>
          <c:yVal>
            <c:numRef>
              <c:f>'Phase Behavior Results'!$D$420:$D$425</c:f>
              <c:numCache>
                <c:formatCode>0.00</c:formatCode>
                <c:ptCount val="6"/>
                <c:pt idx="0">
                  <c:v>4.7297297297297298</c:v>
                </c:pt>
                <c:pt idx="1">
                  <c:v>5.6306306306306304</c:v>
                </c:pt>
                <c:pt idx="2">
                  <c:v>9.6846846846846795</c:v>
                </c:pt>
                <c:pt idx="3">
                  <c:v>10.495495495495399</c:v>
                </c:pt>
                <c:pt idx="4">
                  <c:v>15</c:v>
                </c:pt>
                <c:pt idx="5">
                  <c:v>25.270270270270199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9-4635-9922-4C4E3D8478A4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Results'!$E$420:$E$425</c:f>
              <c:numCache>
                <c:formatCode>0.00</c:formatCode>
                <c:ptCount val="6"/>
                <c:pt idx="0">
                  <c:v>2.64664310954063</c:v>
                </c:pt>
                <c:pt idx="1">
                  <c:v>3.1678445229681902</c:v>
                </c:pt>
                <c:pt idx="2">
                  <c:v>3.6846289752650101</c:v>
                </c:pt>
                <c:pt idx="3">
                  <c:v>4.1925795053003503</c:v>
                </c:pt>
                <c:pt idx="4">
                  <c:v>4.6916961130742001</c:v>
                </c:pt>
                <c:pt idx="5">
                  <c:v>5.1952296819787902</c:v>
                </c:pt>
              </c:numCache>
            </c:numRef>
          </c:xVal>
          <c:yVal>
            <c:numRef>
              <c:f>'Phase Behavior Results'!$F$420:$F$425</c:f>
              <c:numCache>
                <c:formatCode>0.00</c:formatCode>
                <c:ptCount val="6"/>
                <c:pt idx="0">
                  <c:v>16.936936936936899</c:v>
                </c:pt>
                <c:pt idx="1">
                  <c:v>8.7837837837837807</c:v>
                </c:pt>
                <c:pt idx="2">
                  <c:v>4.7297297297297298</c:v>
                </c:pt>
                <c:pt idx="3">
                  <c:v>3.91891891891891</c:v>
                </c:pt>
                <c:pt idx="4">
                  <c:v>1.9819819819819799</c:v>
                </c:pt>
                <c:pt idx="5">
                  <c:v>2.07207207207207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29-4635-9922-4C4E3D847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2688399"/>
        <c:axId val="1952688879"/>
      </c:scatterChart>
      <c:valAx>
        <c:axId val="1952688399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688879"/>
        <c:crosses val="autoZero"/>
        <c:crossBetween val="midCat"/>
      </c:valAx>
      <c:valAx>
        <c:axId val="19526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68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30555624235865"/>
          <c:y val="0.10327907879385163"/>
          <c:w val="0.81190876441624737"/>
          <c:h val="0.75135164934997378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Results'!$C$437:$C$440</c:f>
              <c:numCache>
                <c:formatCode>0.00</c:formatCode>
                <c:ptCount val="4"/>
                <c:pt idx="0">
                  <c:v>0.531222123104371</c:v>
                </c:pt>
                <c:pt idx="1">
                  <c:v>1.07091882247992</c:v>
                </c:pt>
                <c:pt idx="2">
                  <c:v>1.59277430865298</c:v>
                </c:pt>
                <c:pt idx="3">
                  <c:v>2.1235504014272899</c:v>
                </c:pt>
              </c:numCache>
            </c:numRef>
          </c:xVal>
          <c:yVal>
            <c:numRef>
              <c:f>'Phase Behavior Results'!$D$437:$D$440</c:f>
              <c:numCache>
                <c:formatCode>0.00</c:formatCode>
                <c:ptCount val="4"/>
                <c:pt idx="0">
                  <c:v>9.6347031963470293</c:v>
                </c:pt>
                <c:pt idx="1">
                  <c:v>11.324200913242001</c:v>
                </c:pt>
                <c:pt idx="2">
                  <c:v>15.570776255707701</c:v>
                </c:pt>
                <c:pt idx="3">
                  <c:v>19.1324200913242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6B-4F10-B0F5-AFC106CE5795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contrasting" dir="t">
                  <a:rot lat="0" lon="0" rev="7800000"/>
                </a:lightRig>
              </a:scene3d>
              <a:sp3d>
                <a:bevelT w="139700" h="139700"/>
              </a:sp3d>
            </c:spPr>
          </c:marker>
          <c:xVal>
            <c:numRef>
              <c:f>'Phase Behavior Results'!$E$437:$E$442</c:f>
              <c:numCache>
                <c:formatCode>0.00</c:formatCode>
                <c:ptCount val="6"/>
                <c:pt idx="0">
                  <c:v>2.65</c:v>
                </c:pt>
                <c:pt idx="1">
                  <c:v>3.1749999999999998</c:v>
                </c:pt>
                <c:pt idx="2">
                  <c:v>3.6891168599464699</c:v>
                </c:pt>
                <c:pt idx="3">
                  <c:v>4.1931311329170304</c:v>
                </c:pt>
                <c:pt idx="4">
                  <c:v>4.6882247992863499</c:v>
                </c:pt>
                <c:pt idx="5">
                  <c:v>5.2011596788581604</c:v>
                </c:pt>
              </c:numCache>
            </c:numRef>
          </c:xVal>
          <c:yVal>
            <c:numRef>
              <c:f>'Phase Behavior Results'!$F$437:$F$442</c:f>
              <c:numCache>
                <c:formatCode>0.00</c:formatCode>
                <c:ptCount val="6"/>
                <c:pt idx="0">
                  <c:v>17.350000000000001</c:v>
                </c:pt>
                <c:pt idx="1">
                  <c:v>11.5</c:v>
                </c:pt>
                <c:pt idx="2">
                  <c:v>7.6255707762557003</c:v>
                </c:pt>
                <c:pt idx="3">
                  <c:v>5.93607305936073</c:v>
                </c:pt>
                <c:pt idx="4">
                  <c:v>4.0639269406392602</c:v>
                </c:pt>
                <c:pt idx="5">
                  <c:v>2.1461187214611801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6B-4F10-B0F5-AFC106CE5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2347119"/>
        <c:axId val="1752360079"/>
      </c:scatterChart>
      <c:valAx>
        <c:axId val="1752347119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52360079"/>
        <c:crosses val="autoZero"/>
        <c:crossBetween val="midCat"/>
      </c:valAx>
      <c:valAx>
        <c:axId val="1752360079"/>
        <c:scaling>
          <c:orientation val="minMax"/>
          <c:max val="3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52347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71705842210665"/>
          <c:y val="0.10702073576118135"/>
          <c:w val="0.78454872506707973"/>
          <c:h val="0.76388671335832881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Results'!$C$454:$C$456</c:f>
              <c:numCache>
                <c:formatCode>0.00</c:formatCode>
                <c:ptCount val="3"/>
                <c:pt idx="0">
                  <c:v>0.53913043478260803</c:v>
                </c:pt>
                <c:pt idx="1">
                  <c:v>1.0782608695652101</c:v>
                </c:pt>
                <c:pt idx="2">
                  <c:v>1.6</c:v>
                </c:pt>
              </c:numCache>
            </c:numRef>
          </c:xVal>
          <c:yVal>
            <c:numRef>
              <c:f>'Phase Behavior Results'!$D$454:$D$456</c:f>
              <c:numCache>
                <c:formatCode>0.00</c:formatCode>
                <c:ptCount val="3"/>
                <c:pt idx="0">
                  <c:v>5.7566765578635</c:v>
                </c:pt>
                <c:pt idx="1">
                  <c:v>7.1513353115726996</c:v>
                </c:pt>
                <c:pt idx="2">
                  <c:v>11.1275964391691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C1-49BA-AA1A-89689F744DB0}"/>
            </c:ext>
          </c:extLst>
        </c:ser>
        <c:ser>
          <c:idx val="1"/>
          <c:order val="1"/>
          <c:tx>
            <c:v>formulation_h20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Results'!$E$454:$E$462</c:f>
              <c:numCache>
                <c:formatCode>0.00</c:formatCode>
                <c:ptCount val="9"/>
                <c:pt idx="0">
                  <c:v>1.07391304347826</c:v>
                </c:pt>
                <c:pt idx="1">
                  <c:v>1.6</c:v>
                </c:pt>
                <c:pt idx="2">
                  <c:v>2.1217391304347801</c:v>
                </c:pt>
                <c:pt idx="3">
                  <c:v>2.64782608695652</c:v>
                </c:pt>
                <c:pt idx="4">
                  <c:v>3.1739130434782599</c:v>
                </c:pt>
                <c:pt idx="5">
                  <c:v>3.6956521739130399</c:v>
                </c:pt>
                <c:pt idx="6">
                  <c:v>4.2</c:v>
                </c:pt>
                <c:pt idx="7">
                  <c:v>4.6956521739130404</c:v>
                </c:pt>
                <c:pt idx="8">
                  <c:v>5.2043478260869502</c:v>
                </c:pt>
              </c:numCache>
            </c:numRef>
          </c:xVal>
          <c:yVal>
            <c:numRef>
              <c:f>'Phase Behavior Results'!$F$454:$F$462</c:f>
              <c:numCache>
                <c:formatCode>0.00</c:formatCode>
                <c:ptCount val="9"/>
                <c:pt idx="0">
                  <c:v>8.1008902077151301</c:v>
                </c:pt>
                <c:pt idx="1">
                  <c:v>5.8160237388724001</c:v>
                </c:pt>
                <c:pt idx="2">
                  <c:v>3.7388724035608298</c:v>
                </c:pt>
                <c:pt idx="3">
                  <c:v>3.79821958456973</c:v>
                </c:pt>
                <c:pt idx="4">
                  <c:v>1.5133531157269999</c:v>
                </c:pt>
                <c:pt idx="5">
                  <c:v>0.53412462908011804</c:v>
                </c:pt>
                <c:pt idx="6">
                  <c:v>0.53412462908011804</c:v>
                </c:pt>
                <c:pt idx="7">
                  <c:v>0.56379821958456899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C1-49BA-AA1A-89689F744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610927"/>
        <c:axId val="1733608527"/>
      </c:scatterChart>
      <c:valAx>
        <c:axId val="173361092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33608527"/>
        <c:crosses val="autoZero"/>
        <c:crossBetween val="midCat"/>
      </c:valAx>
      <c:valAx>
        <c:axId val="1733608527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33610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40927158814054"/>
          <c:y val="0.10887167127848657"/>
          <c:w val="0.82884759831127075"/>
          <c:h val="0.7393041940018862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Results'!$C$80:$C$83</c:f>
              <c:numCache>
                <c:formatCode>0.00</c:formatCode>
                <c:ptCount val="4"/>
                <c:pt idx="0">
                  <c:v>1E-4</c:v>
                </c:pt>
                <c:pt idx="1">
                  <c:v>0.54298642533936603</c:v>
                </c:pt>
                <c:pt idx="2">
                  <c:v>1.07692307692307</c:v>
                </c:pt>
                <c:pt idx="3">
                  <c:v>1.605</c:v>
                </c:pt>
              </c:numCache>
            </c:numRef>
          </c:xVal>
          <c:yVal>
            <c:numRef>
              <c:f>'Phase Behavior Results'!$D$80:$D$83</c:f>
              <c:numCache>
                <c:formatCode>0.00</c:formatCode>
                <c:ptCount val="4"/>
                <c:pt idx="0">
                  <c:v>0.95</c:v>
                </c:pt>
                <c:pt idx="1">
                  <c:v>1.4197530864197501</c:v>
                </c:pt>
                <c:pt idx="2">
                  <c:v>5.85</c:v>
                </c:pt>
                <c:pt idx="3">
                  <c:v>18.899999999999999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7-9E97-8148092DEAB5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Results'!$E$80:$E$86</c:f>
              <c:numCache>
                <c:formatCode>0.00</c:formatCode>
                <c:ptCount val="7"/>
                <c:pt idx="0">
                  <c:v>1.61</c:v>
                </c:pt>
                <c:pt idx="1">
                  <c:v>2.1349999999999998</c:v>
                </c:pt>
                <c:pt idx="2">
                  <c:v>2.66</c:v>
                </c:pt>
                <c:pt idx="3">
                  <c:v>3.1764705882352899</c:v>
                </c:pt>
                <c:pt idx="4">
                  <c:v>3.68778280542986</c:v>
                </c:pt>
                <c:pt idx="5">
                  <c:v>4.1950000000000003</c:v>
                </c:pt>
                <c:pt idx="6">
                  <c:v>4.7050000000000001</c:v>
                </c:pt>
              </c:numCache>
            </c:numRef>
          </c:xVal>
          <c:yVal>
            <c:numRef>
              <c:f>'Phase Behavior Results'!$F$80:$F$86</c:f>
              <c:numCache>
                <c:formatCode>0.00</c:formatCode>
                <c:ptCount val="7"/>
                <c:pt idx="0">
                  <c:v>17.850000000000001</c:v>
                </c:pt>
                <c:pt idx="1">
                  <c:v>11.8</c:v>
                </c:pt>
                <c:pt idx="2">
                  <c:v>2.9249999999999998</c:v>
                </c:pt>
                <c:pt idx="3">
                  <c:v>1.425</c:v>
                </c:pt>
                <c:pt idx="4">
                  <c:v>0.5</c:v>
                </c:pt>
                <c:pt idx="5">
                  <c:v>0.5</c:v>
                </c:pt>
                <c:pt idx="6">
                  <c:v>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7-9E97-8148092DE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731472"/>
        <c:axId val="215726672"/>
      </c:scatterChart>
      <c:valAx>
        <c:axId val="215731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726672"/>
        <c:crosses val="autoZero"/>
        <c:crossBetween val="midCat"/>
      </c:valAx>
      <c:valAx>
        <c:axId val="21572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731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71056046181313"/>
          <c:y val="7.9700355728483718E-2"/>
          <c:w val="0.84512252946561706"/>
          <c:h val="0.7732351474274918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Results'!$C$97:$C$104</c:f>
              <c:numCache>
                <c:formatCode>0.00</c:formatCode>
                <c:ptCount val="8"/>
                <c:pt idx="0">
                  <c:v>0.53717472118959098</c:v>
                </c:pt>
                <c:pt idx="1">
                  <c:v>1.07156133828996</c:v>
                </c:pt>
                <c:pt idx="2">
                  <c:v>1.6013011152416301</c:v>
                </c:pt>
                <c:pt idx="3">
                  <c:v>2.14</c:v>
                </c:pt>
                <c:pt idx="4">
                  <c:v>2.6514869888475801</c:v>
                </c:pt>
                <c:pt idx="5">
                  <c:v>3.1765799256505498</c:v>
                </c:pt>
                <c:pt idx="6">
                  <c:v>3.7</c:v>
                </c:pt>
                <c:pt idx="7">
                  <c:v>4.1942379182156104</c:v>
                </c:pt>
              </c:numCache>
            </c:numRef>
          </c:xVal>
          <c:yVal>
            <c:numRef>
              <c:f>'Phase Behavior Results'!$D$97:$D$104</c:f>
              <c:numCache>
                <c:formatCode>0.00</c:formatCode>
                <c:ptCount val="8"/>
                <c:pt idx="0">
                  <c:v>1</c:v>
                </c:pt>
                <c:pt idx="1">
                  <c:v>1.32911392405063</c:v>
                </c:pt>
                <c:pt idx="2">
                  <c:v>3.70253164556962</c:v>
                </c:pt>
                <c:pt idx="3">
                  <c:v>4.6993670886075902</c:v>
                </c:pt>
                <c:pt idx="4">
                  <c:v>6.17088607594936</c:v>
                </c:pt>
                <c:pt idx="5">
                  <c:v>6.2183544303797396</c:v>
                </c:pt>
                <c:pt idx="6">
                  <c:v>8.9715189873417707</c:v>
                </c:pt>
                <c:pt idx="7">
                  <c:v>15.284810126582199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8C-438F-A79B-F43684DF34C5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Results'!$E$97:$E$98</c:f>
              <c:numCache>
                <c:formatCode>0.00</c:formatCode>
                <c:ptCount val="2"/>
                <c:pt idx="0">
                  <c:v>4.7</c:v>
                </c:pt>
                <c:pt idx="1">
                  <c:v>5.2</c:v>
                </c:pt>
              </c:numCache>
            </c:numRef>
          </c:xVal>
          <c:yVal>
            <c:numRef>
              <c:f>'Phase Behavior Results'!$F$97:$F$98</c:f>
              <c:numCache>
                <c:formatCode>0.00</c:formatCode>
                <c:ptCount val="2"/>
                <c:pt idx="0">
                  <c:v>19.100000000000001</c:v>
                </c:pt>
                <c:pt idx="1">
                  <c:v>2.51582278481012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8C-438F-A79B-F43684DF3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911167"/>
        <c:axId val="1564922687"/>
      </c:scatterChart>
      <c:valAx>
        <c:axId val="15649111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22687"/>
        <c:crosses val="autoZero"/>
        <c:crossBetween val="midCat"/>
      </c:valAx>
      <c:valAx>
        <c:axId val="1564922687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11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8406092692296"/>
          <c:y val="0.11311660373707526"/>
          <c:w val="0.83434511126501698"/>
          <c:h val="0.73997241267815028"/>
        </c:manualLayout>
      </c:layout>
      <c:scatterChart>
        <c:scatterStyle val="lineMarker"/>
        <c:varyColors val="0"/>
        <c:ser>
          <c:idx val="1"/>
          <c:order val="0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Results'!$E$46:$E$53</c:f>
              <c:numCache>
                <c:formatCode>0.00</c:formatCode>
                <c:ptCount val="8"/>
                <c:pt idx="0">
                  <c:v>2.6576135351736401</c:v>
                </c:pt>
                <c:pt idx="1">
                  <c:v>3.1696349065004399</c:v>
                </c:pt>
                <c:pt idx="2">
                  <c:v>3.68610863757791</c:v>
                </c:pt>
                <c:pt idx="3">
                  <c:v>4.1892252894033799</c:v>
                </c:pt>
                <c:pt idx="4">
                  <c:v>4.6967943009795103</c:v>
                </c:pt>
                <c:pt idx="5">
                  <c:v>5.1999109528049798</c:v>
                </c:pt>
                <c:pt idx="6">
                  <c:v>5.6941228851291097</c:v>
                </c:pt>
                <c:pt idx="7">
                  <c:v>6.1883348174532502</c:v>
                </c:pt>
              </c:numCache>
            </c:numRef>
          </c:xVal>
          <c:yVal>
            <c:numRef>
              <c:f>'Phase Behavior Results'!$F$46:$F$53</c:f>
              <c:numCache>
                <c:formatCode>0.00</c:formatCode>
                <c:ptCount val="8"/>
                <c:pt idx="0">
                  <c:v>12.55</c:v>
                </c:pt>
                <c:pt idx="1">
                  <c:v>8.3282674772036405</c:v>
                </c:pt>
                <c:pt idx="2">
                  <c:v>4</c:v>
                </c:pt>
                <c:pt idx="3">
                  <c:v>2.95</c:v>
                </c:pt>
                <c:pt idx="4">
                  <c:v>2</c:v>
                </c:pt>
                <c:pt idx="5">
                  <c:v>0.51671732522796299</c:v>
                </c:pt>
                <c:pt idx="6">
                  <c:v>1.0030395136778101</c:v>
                </c:pt>
                <c:pt idx="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A6-448B-AE15-7EEB308C99C8}"/>
            </c:ext>
          </c:extLst>
        </c:ser>
        <c:ser>
          <c:idx val="0"/>
          <c:order val="1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Results'!$C$46:$C$50</c:f>
              <c:numCache>
                <c:formatCode>0.00</c:formatCode>
                <c:ptCount val="5"/>
                <c:pt idx="0">
                  <c:v>1.61130899376669</c:v>
                </c:pt>
                <c:pt idx="1">
                  <c:v>2.1366874443455002</c:v>
                </c:pt>
                <c:pt idx="2">
                  <c:v>2.6576135351736401</c:v>
                </c:pt>
                <c:pt idx="3">
                  <c:v>3.1651825467497701</c:v>
                </c:pt>
                <c:pt idx="4">
                  <c:v>3.68</c:v>
                </c:pt>
              </c:numCache>
            </c:numRef>
          </c:xVal>
          <c:yVal>
            <c:numRef>
              <c:f>'Phase Behavior Results'!$D$46:$D$50</c:f>
              <c:numCache>
                <c:formatCode>0.00</c:formatCode>
                <c:ptCount val="5"/>
                <c:pt idx="0">
                  <c:v>3.2218844984802399</c:v>
                </c:pt>
                <c:pt idx="1">
                  <c:v>6.5045592705167099</c:v>
                </c:pt>
                <c:pt idx="2">
                  <c:v>9.5744680851063801</c:v>
                </c:pt>
                <c:pt idx="3">
                  <c:v>15.2</c:v>
                </c:pt>
                <c:pt idx="4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A6-448B-AE15-7EEB308C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2056383"/>
        <c:axId val="1852051583"/>
      </c:scatterChart>
      <c:valAx>
        <c:axId val="1852056383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051583"/>
        <c:crosses val="autoZero"/>
        <c:crossBetween val="midCat"/>
      </c:valAx>
      <c:valAx>
        <c:axId val="1852051583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056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87726622952287"/>
          <c:y val="9.9599795219465173E-2"/>
          <c:w val="0.8144391723908635"/>
          <c:h val="0.749568434324413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Results'!$C$63:$C$69</c:f>
              <c:numCache>
                <c:formatCode>0.00</c:formatCode>
                <c:ptCount val="7"/>
                <c:pt idx="0">
                  <c:v>1.6063829787234001</c:v>
                </c:pt>
                <c:pt idx="1">
                  <c:v>2.13</c:v>
                </c:pt>
                <c:pt idx="2">
                  <c:v>2.6569148936170199</c:v>
                </c:pt>
                <c:pt idx="3">
                  <c:v>3.16</c:v>
                </c:pt>
                <c:pt idx="4">
                  <c:v>3.68</c:v>
                </c:pt>
                <c:pt idx="5">
                  <c:v>4.1861702127659504</c:v>
                </c:pt>
                <c:pt idx="6">
                  <c:v>4.6749999999999998</c:v>
                </c:pt>
              </c:numCache>
            </c:numRef>
          </c:xVal>
          <c:yVal>
            <c:numRef>
              <c:f>'Phase Behavior Results'!$D$63:$D$69</c:f>
              <c:numCache>
                <c:formatCode>0.00</c:formatCode>
                <c:ptCount val="7"/>
                <c:pt idx="0">
                  <c:v>2.83559577677224</c:v>
                </c:pt>
                <c:pt idx="1">
                  <c:v>4.3</c:v>
                </c:pt>
                <c:pt idx="2">
                  <c:v>4.2533936651583701</c:v>
                </c:pt>
                <c:pt idx="3">
                  <c:v>5.62</c:v>
                </c:pt>
                <c:pt idx="4">
                  <c:v>5.8220211161387603</c:v>
                </c:pt>
                <c:pt idx="5">
                  <c:v>10.1357466063348</c:v>
                </c:pt>
                <c:pt idx="6">
                  <c:v>15.3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5-49AD-99C9-F857213AD2E6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Results'!$E$63:$E$68</c:f>
              <c:numCache>
                <c:formatCode>0.00</c:formatCode>
                <c:ptCount val="6"/>
                <c:pt idx="0">
                  <c:v>3.67</c:v>
                </c:pt>
                <c:pt idx="1">
                  <c:v>4.18</c:v>
                </c:pt>
                <c:pt idx="2">
                  <c:v>4.6959219858156001</c:v>
                </c:pt>
                <c:pt idx="3">
                  <c:v>5.19237588652482</c:v>
                </c:pt>
                <c:pt idx="4">
                  <c:v>5.69</c:v>
                </c:pt>
                <c:pt idx="5">
                  <c:v>6.18</c:v>
                </c:pt>
              </c:numCache>
            </c:numRef>
          </c:xVal>
          <c:yVal>
            <c:numRef>
              <c:f>'Phase Behavior Results'!$F$63:$F$68</c:f>
              <c:numCache>
                <c:formatCode>0.00</c:formatCode>
                <c:ptCount val="6"/>
                <c:pt idx="0">
                  <c:v>15.082956259426799</c:v>
                </c:pt>
                <c:pt idx="1">
                  <c:v>9.6530920060331802</c:v>
                </c:pt>
                <c:pt idx="2">
                  <c:v>7.1493212669683199</c:v>
                </c:pt>
                <c:pt idx="3">
                  <c:v>5.6108597285067798</c:v>
                </c:pt>
                <c:pt idx="4">
                  <c:v>1.44796380090497</c:v>
                </c:pt>
                <c:pt idx="5">
                  <c:v>0.93514328808446401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C5-49AD-99C9-F857213AD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641647"/>
        <c:axId val="1733633487"/>
      </c:scatterChart>
      <c:valAx>
        <c:axId val="1733641647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633487"/>
        <c:crosses val="autoZero"/>
        <c:crossBetween val="midCat"/>
      </c:valAx>
      <c:valAx>
        <c:axId val="173363348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641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7.xml"/><Relationship Id="rId18" Type="http://schemas.openxmlformats.org/officeDocument/2006/relationships/image" Target="../media/image19.png"/><Relationship Id="rId26" Type="http://schemas.openxmlformats.org/officeDocument/2006/relationships/chart" Target="../charts/chart14.xml"/><Relationship Id="rId39" Type="http://schemas.openxmlformats.org/officeDocument/2006/relationships/chart" Target="../charts/chart20.xml"/><Relationship Id="rId3" Type="http://schemas.openxmlformats.org/officeDocument/2006/relationships/chart" Target="../charts/chart1.xml"/><Relationship Id="rId21" Type="http://schemas.openxmlformats.org/officeDocument/2006/relationships/chart" Target="../charts/chart11.xml"/><Relationship Id="rId34" Type="http://schemas.openxmlformats.org/officeDocument/2006/relationships/chart" Target="../charts/chart18.xml"/><Relationship Id="rId42" Type="http://schemas.openxmlformats.org/officeDocument/2006/relationships/image" Target="../media/image31.png"/><Relationship Id="rId47" Type="http://schemas.openxmlformats.org/officeDocument/2006/relationships/chart" Target="../charts/chart24.xml"/><Relationship Id="rId50" Type="http://schemas.openxmlformats.org/officeDocument/2006/relationships/image" Target="../media/image35.png"/><Relationship Id="rId7" Type="http://schemas.openxmlformats.org/officeDocument/2006/relationships/image" Target="../media/image14.png"/><Relationship Id="rId12" Type="http://schemas.openxmlformats.org/officeDocument/2006/relationships/image" Target="../media/image16.png"/><Relationship Id="rId17" Type="http://schemas.openxmlformats.org/officeDocument/2006/relationships/chart" Target="../charts/chart9.xml"/><Relationship Id="rId25" Type="http://schemas.openxmlformats.org/officeDocument/2006/relationships/chart" Target="../charts/chart13.xml"/><Relationship Id="rId33" Type="http://schemas.openxmlformats.org/officeDocument/2006/relationships/image" Target="../media/image26.png"/><Relationship Id="rId38" Type="http://schemas.openxmlformats.org/officeDocument/2006/relationships/image" Target="../media/image29.png"/><Relationship Id="rId46" Type="http://schemas.openxmlformats.org/officeDocument/2006/relationships/image" Target="../media/image33.png"/><Relationship Id="rId2" Type="http://schemas.openxmlformats.org/officeDocument/2006/relationships/image" Target="../media/image12.png"/><Relationship Id="rId16" Type="http://schemas.openxmlformats.org/officeDocument/2006/relationships/image" Target="../media/image18.png"/><Relationship Id="rId20" Type="http://schemas.openxmlformats.org/officeDocument/2006/relationships/image" Target="../media/image20.png"/><Relationship Id="rId29" Type="http://schemas.openxmlformats.org/officeDocument/2006/relationships/image" Target="../media/image24.png"/><Relationship Id="rId41" Type="http://schemas.openxmlformats.org/officeDocument/2006/relationships/chart" Target="../charts/chart21.xml"/><Relationship Id="rId1" Type="http://schemas.openxmlformats.org/officeDocument/2006/relationships/image" Target="../media/image11.png"/><Relationship Id="rId6" Type="http://schemas.openxmlformats.org/officeDocument/2006/relationships/chart" Target="../charts/chart3.xml"/><Relationship Id="rId11" Type="http://schemas.openxmlformats.org/officeDocument/2006/relationships/chart" Target="../charts/chart6.xml"/><Relationship Id="rId24" Type="http://schemas.openxmlformats.org/officeDocument/2006/relationships/image" Target="../media/image22.png"/><Relationship Id="rId32" Type="http://schemas.openxmlformats.org/officeDocument/2006/relationships/chart" Target="../charts/chart17.xml"/><Relationship Id="rId37" Type="http://schemas.openxmlformats.org/officeDocument/2006/relationships/image" Target="../media/image28.png"/><Relationship Id="rId40" Type="http://schemas.openxmlformats.org/officeDocument/2006/relationships/image" Target="../media/image30.png"/><Relationship Id="rId45" Type="http://schemas.openxmlformats.org/officeDocument/2006/relationships/chart" Target="../charts/chart23.xml"/><Relationship Id="rId5" Type="http://schemas.openxmlformats.org/officeDocument/2006/relationships/chart" Target="../charts/chart2.xml"/><Relationship Id="rId15" Type="http://schemas.openxmlformats.org/officeDocument/2006/relationships/chart" Target="../charts/chart8.xml"/><Relationship Id="rId23" Type="http://schemas.openxmlformats.org/officeDocument/2006/relationships/chart" Target="../charts/chart12.xml"/><Relationship Id="rId28" Type="http://schemas.openxmlformats.org/officeDocument/2006/relationships/chart" Target="../charts/chart15.xml"/><Relationship Id="rId36" Type="http://schemas.openxmlformats.org/officeDocument/2006/relationships/chart" Target="../charts/chart19.xml"/><Relationship Id="rId49" Type="http://schemas.openxmlformats.org/officeDocument/2006/relationships/chart" Target="../charts/chart25.xml"/><Relationship Id="rId10" Type="http://schemas.openxmlformats.org/officeDocument/2006/relationships/chart" Target="../charts/chart5.xml"/><Relationship Id="rId19" Type="http://schemas.openxmlformats.org/officeDocument/2006/relationships/chart" Target="../charts/chart10.xml"/><Relationship Id="rId31" Type="http://schemas.openxmlformats.org/officeDocument/2006/relationships/image" Target="../media/image25.png"/><Relationship Id="rId44" Type="http://schemas.openxmlformats.org/officeDocument/2006/relationships/image" Target="../media/image32.png"/><Relationship Id="rId52" Type="http://schemas.openxmlformats.org/officeDocument/2006/relationships/chart" Target="../charts/chart27.xml"/><Relationship Id="rId4" Type="http://schemas.openxmlformats.org/officeDocument/2006/relationships/image" Target="../media/image13.png"/><Relationship Id="rId9" Type="http://schemas.openxmlformats.org/officeDocument/2006/relationships/chart" Target="../charts/chart4.xml"/><Relationship Id="rId14" Type="http://schemas.openxmlformats.org/officeDocument/2006/relationships/image" Target="../media/image17.png"/><Relationship Id="rId22" Type="http://schemas.openxmlformats.org/officeDocument/2006/relationships/image" Target="../media/image21.png"/><Relationship Id="rId27" Type="http://schemas.openxmlformats.org/officeDocument/2006/relationships/image" Target="../media/image23.png"/><Relationship Id="rId30" Type="http://schemas.openxmlformats.org/officeDocument/2006/relationships/chart" Target="../charts/chart16.xml"/><Relationship Id="rId35" Type="http://schemas.openxmlformats.org/officeDocument/2006/relationships/image" Target="../media/image27.png"/><Relationship Id="rId43" Type="http://schemas.openxmlformats.org/officeDocument/2006/relationships/chart" Target="../charts/chart22.xml"/><Relationship Id="rId48" Type="http://schemas.openxmlformats.org/officeDocument/2006/relationships/image" Target="../media/image34.png"/><Relationship Id="rId8" Type="http://schemas.openxmlformats.org/officeDocument/2006/relationships/image" Target="../media/image15.png"/><Relationship Id="rId51" Type="http://schemas.openxmlformats.org/officeDocument/2006/relationships/chart" Target="../charts/chart2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369897</xdr:colOff>
      <xdr:row>45</xdr:row>
      <xdr:rowOff>619125</xdr:rowOff>
    </xdr:from>
    <xdr:ext cx="4194314" cy="1955252"/>
    <xdr:pic>
      <xdr:nvPicPr>
        <xdr:cNvPr id="2" name="Picture 1">
          <a:extLst>
            <a:ext uri="{FF2B5EF4-FFF2-40B4-BE49-F238E27FC236}">
              <a16:creationId xmlns:a16="http://schemas.microsoft.com/office/drawing/2014/main" id="{47AC519D-C3B5-48D8-A116-4F3447D04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67237" y="12803505"/>
          <a:ext cx="4194314" cy="1955252"/>
        </a:xfrm>
        <a:prstGeom prst="rect">
          <a:avLst/>
        </a:prstGeom>
      </xdr:spPr>
    </xdr:pic>
    <xdr:clientData/>
  </xdr:oneCellAnchor>
  <xdr:oneCellAnchor>
    <xdr:from>
      <xdr:col>11</xdr:col>
      <xdr:colOff>549266</xdr:colOff>
      <xdr:row>45</xdr:row>
      <xdr:rowOff>561975</xdr:rowOff>
    </xdr:from>
    <xdr:ext cx="4215140" cy="1909509"/>
    <xdr:pic>
      <xdr:nvPicPr>
        <xdr:cNvPr id="3" name="Picture 2">
          <a:extLst>
            <a:ext uri="{FF2B5EF4-FFF2-40B4-BE49-F238E27FC236}">
              <a16:creationId xmlns:a16="http://schemas.microsoft.com/office/drawing/2014/main" id="{360CF0C5-34A4-4ED5-8269-DFB701311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6166" y="12799695"/>
          <a:ext cx="4215140" cy="1909509"/>
        </a:xfrm>
        <a:prstGeom prst="rect">
          <a:avLst/>
        </a:prstGeom>
      </xdr:spPr>
    </xdr:pic>
    <xdr:clientData/>
  </xdr:oneCellAnchor>
  <xdr:oneCellAnchor>
    <xdr:from>
      <xdr:col>9</xdr:col>
      <xdr:colOff>608234</xdr:colOff>
      <xdr:row>55</xdr:row>
      <xdr:rowOff>123824</xdr:rowOff>
    </xdr:from>
    <xdr:ext cx="4272376" cy="2617925"/>
    <xdr:pic>
      <xdr:nvPicPr>
        <xdr:cNvPr id="4" name="Picture 3">
          <a:extLst>
            <a:ext uri="{FF2B5EF4-FFF2-40B4-BE49-F238E27FC236}">
              <a16:creationId xmlns:a16="http://schemas.microsoft.com/office/drawing/2014/main" id="{03ADE1E5-9AED-4630-A260-80918CC14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24774" y="15119984"/>
          <a:ext cx="4272376" cy="2617925"/>
        </a:xfrm>
        <a:prstGeom prst="rect">
          <a:avLst/>
        </a:prstGeom>
      </xdr:spPr>
    </xdr:pic>
    <xdr:clientData/>
  </xdr:oneCellAnchor>
  <xdr:oneCellAnchor>
    <xdr:from>
      <xdr:col>7</xdr:col>
      <xdr:colOff>9525</xdr:colOff>
      <xdr:row>29</xdr:row>
      <xdr:rowOff>1305335</xdr:rowOff>
    </xdr:from>
    <xdr:ext cx="5110256" cy="2739593"/>
    <xdr:pic>
      <xdr:nvPicPr>
        <xdr:cNvPr id="5" name="Picture 4">
          <a:extLst>
            <a:ext uri="{FF2B5EF4-FFF2-40B4-BE49-F238E27FC236}">
              <a16:creationId xmlns:a16="http://schemas.microsoft.com/office/drawing/2014/main" id="{E7D9A243-5A6C-43BD-877C-524E5DFF0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06865" y="7683275"/>
          <a:ext cx="5110256" cy="2739593"/>
        </a:xfrm>
        <a:prstGeom prst="rect">
          <a:avLst/>
        </a:prstGeom>
      </xdr:spPr>
    </xdr:pic>
    <xdr:clientData/>
  </xdr:oneCellAnchor>
  <xdr:oneCellAnchor>
    <xdr:from>
      <xdr:col>24</xdr:col>
      <xdr:colOff>333374</xdr:colOff>
      <xdr:row>30</xdr:row>
      <xdr:rowOff>78939</xdr:rowOff>
    </xdr:from>
    <xdr:ext cx="5304389" cy="2664382"/>
    <xdr:pic>
      <xdr:nvPicPr>
        <xdr:cNvPr id="6" name="Picture 5">
          <a:extLst>
            <a:ext uri="{FF2B5EF4-FFF2-40B4-BE49-F238E27FC236}">
              <a16:creationId xmlns:a16="http://schemas.microsoft.com/office/drawing/2014/main" id="{849C3ABA-3AF9-4A52-BC00-B48584710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985854" y="7759899"/>
          <a:ext cx="5304389" cy="2664382"/>
        </a:xfrm>
        <a:prstGeom prst="rect">
          <a:avLst/>
        </a:prstGeom>
      </xdr:spPr>
    </xdr:pic>
    <xdr:clientData/>
  </xdr:oneCellAnchor>
  <xdr:oneCellAnchor>
    <xdr:from>
      <xdr:col>15</xdr:col>
      <xdr:colOff>285750</xdr:colOff>
      <xdr:row>30</xdr:row>
      <xdr:rowOff>143125</xdr:rowOff>
    </xdr:from>
    <xdr:ext cx="5468666" cy="2373939"/>
    <xdr:pic>
      <xdr:nvPicPr>
        <xdr:cNvPr id="7" name="Picture 6">
          <a:extLst>
            <a:ext uri="{FF2B5EF4-FFF2-40B4-BE49-F238E27FC236}">
              <a16:creationId xmlns:a16="http://schemas.microsoft.com/office/drawing/2014/main" id="{0CC33DC5-0986-4B22-B30F-E05207F74A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51830" y="7824085"/>
          <a:ext cx="5468666" cy="2373939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65</xdr:row>
      <xdr:rowOff>0</xdr:rowOff>
    </xdr:from>
    <xdr:ext cx="8873490" cy="5802630"/>
    <xdr:pic>
      <xdr:nvPicPr>
        <xdr:cNvPr id="8" name="Picture 7">
          <a:extLst>
            <a:ext uri="{FF2B5EF4-FFF2-40B4-BE49-F238E27FC236}">
              <a16:creationId xmlns:a16="http://schemas.microsoft.com/office/drawing/2014/main" id="{96B8FF6D-771D-47D7-867C-A43888EB32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16540" y="17922240"/>
          <a:ext cx="8873490" cy="58026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1318260</xdr:colOff>
      <xdr:row>40</xdr:row>
      <xdr:rowOff>121920</xdr:rowOff>
    </xdr:from>
    <xdr:to>
      <xdr:col>14</xdr:col>
      <xdr:colOff>796960</xdr:colOff>
      <xdr:row>61</xdr:row>
      <xdr:rowOff>176867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797AA3-EDAD-43B7-A773-E2358F6DD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49040" y="7438390"/>
          <a:ext cx="6758340" cy="3890347"/>
        </a:xfrm>
        <a:prstGeom prst="rect">
          <a:avLst/>
        </a:prstGeom>
      </xdr:spPr>
    </xdr:pic>
    <xdr:clientData/>
  </xdr:twoCellAnchor>
  <xdr:twoCellAnchor editAs="oneCell">
    <xdr:from>
      <xdr:col>18</xdr:col>
      <xdr:colOff>430889</xdr:colOff>
      <xdr:row>7</xdr:row>
      <xdr:rowOff>35168</xdr:rowOff>
    </xdr:from>
    <xdr:to>
      <xdr:col>29</xdr:col>
      <xdr:colOff>60598</xdr:colOff>
      <xdr:row>32</xdr:row>
      <xdr:rowOff>169674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3DCEC4-9CFD-4555-87D2-1B043469B1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170229" y="1315328"/>
          <a:ext cx="6335309" cy="4703966"/>
        </a:xfrm>
        <a:prstGeom prst="rect">
          <a:avLst/>
        </a:prstGeom>
      </xdr:spPr>
    </xdr:pic>
    <xdr:clientData/>
  </xdr:twoCellAnchor>
  <xdr:twoCellAnchor editAs="oneCell">
    <xdr:from>
      <xdr:col>18</xdr:col>
      <xdr:colOff>560492</xdr:colOff>
      <xdr:row>0</xdr:row>
      <xdr:rowOff>0</xdr:rowOff>
    </xdr:from>
    <xdr:to>
      <xdr:col>28</xdr:col>
      <xdr:colOff>116416</xdr:colOff>
      <xdr:row>10</xdr:row>
      <xdr:rowOff>58767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8F99CF-0BD1-4B5E-8646-138DB0626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294752" y="0"/>
          <a:ext cx="5654464" cy="18837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1589810</xdr:colOff>
      <xdr:row>41</xdr:row>
      <xdr:rowOff>124820</xdr:rowOff>
    </xdr:from>
    <xdr:to>
      <xdr:col>16</xdr:col>
      <xdr:colOff>63269</xdr:colOff>
      <xdr:row>71</xdr:row>
      <xdr:rowOff>134609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A701E4-ED9D-47A8-87E4-1A70152D3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35000"/>
        </a:blip>
        <a:stretch>
          <a:fillRect/>
        </a:stretch>
      </xdr:blipFill>
      <xdr:spPr>
        <a:xfrm>
          <a:off x="12986790" y="7381600"/>
          <a:ext cx="7861299" cy="530060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 editAs="oneCell">
    <xdr:from>
      <xdr:col>6</xdr:col>
      <xdr:colOff>1611600</xdr:colOff>
      <xdr:row>244</xdr:row>
      <xdr:rowOff>135223</xdr:rowOff>
    </xdr:from>
    <xdr:to>
      <xdr:col>17</xdr:col>
      <xdr:colOff>329724</xdr:colOff>
      <xdr:row>276</xdr:row>
      <xdr:rowOff>114215</xdr:rowOff>
    </xdr:to>
    <xdr:pic>
      <xdr:nvPicPr>
        <xdr:cNvPr id="3" name="Picture 30">
          <a:extLst>
            <a:ext uri="{FF2B5EF4-FFF2-40B4-BE49-F238E27FC236}">
              <a16:creationId xmlns:a16="http://schemas.microsoft.com/office/drawing/2014/main" id="{B97DF5B9-F9AF-494F-AB65-2BE217E37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3013660" y="43252993"/>
          <a:ext cx="8763824" cy="562922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1428750</xdr:colOff>
      <xdr:row>380</xdr:row>
      <xdr:rowOff>179614</xdr:rowOff>
    </xdr:from>
    <xdr:to>
      <xdr:col>17</xdr:col>
      <xdr:colOff>367393</xdr:colOff>
      <xdr:row>413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05B81E-1F3B-4AA3-9B2F-5F01C2EB2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1519517</xdr:colOff>
      <xdr:row>347</xdr:row>
      <xdr:rowOff>177055</xdr:rowOff>
    </xdr:from>
    <xdr:to>
      <xdr:col>17</xdr:col>
      <xdr:colOff>440840</xdr:colOff>
      <xdr:row>379</xdr:row>
      <xdr:rowOff>136818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D676907-868D-4FCF-9B90-C4DBCBDED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alphaModFix amt="50000"/>
        </a:blip>
        <a:stretch>
          <a:fillRect/>
        </a:stretch>
      </xdr:blipFill>
      <xdr:spPr>
        <a:xfrm>
          <a:off x="12917767" y="61477415"/>
          <a:ext cx="8977183" cy="5616343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1518396</xdr:colOff>
      <xdr:row>347</xdr:row>
      <xdr:rowOff>180413</xdr:rowOff>
    </xdr:from>
    <xdr:to>
      <xdr:col>17</xdr:col>
      <xdr:colOff>437029</xdr:colOff>
      <xdr:row>379</xdr:row>
      <xdr:rowOff>123263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0B019C2-13B8-423C-8AAE-29AA36F13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1609724</xdr:colOff>
      <xdr:row>244</xdr:row>
      <xdr:rowOff>128587</xdr:rowOff>
    </xdr:from>
    <xdr:to>
      <xdr:col>17</xdr:col>
      <xdr:colOff>342899</xdr:colOff>
      <xdr:row>276</xdr:row>
      <xdr:rowOff>104775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FBD07D-F309-4155-8F2D-A2ED118AC9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403412</xdr:colOff>
      <xdr:row>245</xdr:row>
      <xdr:rowOff>100854</xdr:rowOff>
    </xdr:from>
    <xdr:to>
      <xdr:col>31</xdr:col>
      <xdr:colOff>75617</xdr:colOff>
      <xdr:row>275</xdr:row>
      <xdr:rowOff>21142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92D74AE-F1C9-4D5D-AD40-736DBC56B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alphaModFix amt="20000"/>
        </a:blip>
        <a:stretch>
          <a:fillRect/>
        </a:stretch>
      </xdr:blipFill>
      <xdr:spPr>
        <a:xfrm>
          <a:off x="22514112" y="43387534"/>
          <a:ext cx="8292965" cy="522253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645304</xdr:colOff>
      <xdr:row>108</xdr:row>
      <xdr:rowOff>176206</xdr:rowOff>
    </xdr:from>
    <xdr:to>
      <xdr:col>16</xdr:col>
      <xdr:colOff>405091</xdr:colOff>
      <xdr:row>140</xdr:row>
      <xdr:rowOff>139195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9B0C2E6-063F-491A-89B9-E6C80BC11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alphaModFix amt="20000"/>
        </a:blip>
        <a:stretch>
          <a:fillRect/>
        </a:stretch>
      </xdr:blipFill>
      <xdr:spPr>
        <a:xfrm>
          <a:off x="12044824" y="19261766"/>
          <a:ext cx="9145087" cy="560686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643289</xdr:colOff>
      <xdr:row>108</xdr:row>
      <xdr:rowOff>176693</xdr:rowOff>
    </xdr:from>
    <xdr:to>
      <xdr:col>16</xdr:col>
      <xdr:colOff>401176</xdr:colOff>
      <xdr:row>140</xdr:row>
      <xdr:rowOff>117274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594E5D4-901C-4BCF-BA76-8F09E5E13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99060</xdr:colOff>
      <xdr:row>1</xdr:row>
      <xdr:rowOff>43816</xdr:rowOff>
    </xdr:from>
    <xdr:to>
      <xdr:col>12</xdr:col>
      <xdr:colOff>643890</xdr:colOff>
      <xdr:row>17</xdr:row>
      <xdr:rowOff>33867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22A151E-B93D-499D-AAB7-D9B252EC76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177165</xdr:colOff>
      <xdr:row>5</xdr:row>
      <xdr:rowOff>26670</xdr:rowOff>
    </xdr:from>
    <xdr:to>
      <xdr:col>10</xdr:col>
      <xdr:colOff>321945</xdr:colOff>
      <xdr:row>6</xdr:row>
      <xdr:rowOff>139065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C2AFC2F-5DF4-4B84-AD7C-40DFC8911096}"/>
            </a:ext>
          </a:extLst>
        </xdr:cNvPr>
        <xdr:cNvSpPr txBox="1"/>
      </xdr:nvSpPr>
      <xdr:spPr>
        <a:xfrm>
          <a:off x="16321405" y="908050"/>
          <a:ext cx="814070" cy="29527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Type III</a:t>
          </a:r>
        </a:p>
      </xdr:txBody>
    </xdr:sp>
    <xdr:clientData/>
  </xdr:twoCellAnchor>
  <xdr:twoCellAnchor>
    <xdr:from>
      <xdr:col>6</xdr:col>
      <xdr:colOff>59055</xdr:colOff>
      <xdr:row>25</xdr:row>
      <xdr:rowOff>40005</xdr:rowOff>
    </xdr:from>
    <xdr:to>
      <xdr:col>12</xdr:col>
      <xdr:colOff>603885</xdr:colOff>
      <xdr:row>40</xdr:row>
      <xdr:rowOff>142875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83E8D84-A8D6-41F6-AF71-E8FAAB1C1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447464</xdr:colOff>
      <xdr:row>28</xdr:row>
      <xdr:rowOff>122767</xdr:rowOff>
    </xdr:from>
    <xdr:to>
      <xdr:col>10</xdr:col>
      <xdr:colOff>100754</xdr:colOff>
      <xdr:row>39</xdr:row>
      <xdr:rowOff>122767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66593B9-5C55-41FC-9F2D-3EEA3AFB50F9}"/>
            </a:ext>
          </a:extLst>
        </xdr:cNvPr>
        <xdr:cNvSpPr/>
      </xdr:nvSpPr>
      <xdr:spPr>
        <a:xfrm>
          <a:off x="15928764" y="5092277"/>
          <a:ext cx="979170" cy="1935480"/>
        </a:xfrm>
        <a:prstGeom prst="rect">
          <a:avLst/>
        </a:prstGeom>
        <a:solidFill>
          <a:srgbClr val="FFFF00">
            <a:alpha val="54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177165</xdr:colOff>
      <xdr:row>30</xdr:row>
      <xdr:rowOff>158115</xdr:rowOff>
    </xdr:from>
    <xdr:to>
      <xdr:col>9</xdr:col>
      <xdr:colOff>200025</xdr:colOff>
      <xdr:row>38</xdr:row>
      <xdr:rowOff>142875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79D99212-08F0-40E0-87E3-0E837F19A82B}"/>
            </a:ext>
          </a:extLst>
        </xdr:cNvPr>
        <xdr:cNvCxnSpPr/>
      </xdr:nvCxnSpPr>
      <xdr:spPr>
        <a:xfrm flipH="1">
          <a:off x="16321405" y="5478145"/>
          <a:ext cx="27940" cy="1391920"/>
        </a:xfrm>
        <a:prstGeom prst="straightConnector1">
          <a:avLst/>
        </a:prstGeom>
        <a:ln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17</xdr:col>
      <xdr:colOff>470649</xdr:colOff>
      <xdr:row>108</xdr:row>
      <xdr:rowOff>161755</xdr:rowOff>
    </xdr:from>
    <xdr:to>
      <xdr:col>31</xdr:col>
      <xdr:colOff>100959</xdr:colOff>
      <xdr:row>140</xdr:row>
      <xdr:rowOff>134246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83E80960-B3D7-45B6-A10E-7A7E80ADB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alphaModFix amt="20000"/>
        </a:blip>
        <a:stretch>
          <a:fillRect/>
        </a:stretch>
      </xdr:blipFill>
      <xdr:spPr>
        <a:xfrm>
          <a:off x="21923489" y="19251125"/>
          <a:ext cx="8906390" cy="5634151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473555</xdr:colOff>
      <xdr:row>108</xdr:row>
      <xdr:rowOff>159054</xdr:rowOff>
    </xdr:from>
    <xdr:to>
      <xdr:col>31</xdr:col>
      <xdr:colOff>100852</xdr:colOff>
      <xdr:row>140</xdr:row>
      <xdr:rowOff>134470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ADC1763-EB6E-4B66-B651-A96C42661B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577273</xdr:colOff>
      <xdr:row>142</xdr:row>
      <xdr:rowOff>111951</xdr:rowOff>
    </xdr:from>
    <xdr:to>
      <xdr:col>16</xdr:col>
      <xdr:colOff>514985</xdr:colOff>
      <xdr:row>176</xdr:row>
      <xdr:rowOff>2299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A7BEF7BE-3CEB-4C55-BA9D-0DAA7C053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alphaModFix amt="20000"/>
        </a:blip>
        <a:stretch>
          <a:fillRect/>
        </a:stretch>
      </xdr:blipFill>
      <xdr:spPr>
        <a:xfrm>
          <a:off x="11978063" y="25204611"/>
          <a:ext cx="9328092" cy="588279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578827</xdr:colOff>
      <xdr:row>142</xdr:row>
      <xdr:rowOff>117230</xdr:rowOff>
    </xdr:from>
    <xdr:to>
      <xdr:col>16</xdr:col>
      <xdr:colOff>520211</xdr:colOff>
      <xdr:row>176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4D92272-4567-4E3E-90B9-9D39E76EC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18</xdr:col>
      <xdr:colOff>272144</xdr:colOff>
      <xdr:row>143</xdr:row>
      <xdr:rowOff>68036</xdr:rowOff>
    </xdr:from>
    <xdr:to>
      <xdr:col>31</xdr:col>
      <xdr:colOff>225869</xdr:colOff>
      <xdr:row>173</xdr:row>
      <xdr:rowOff>139880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1B84E95-4F50-4D22-8DB5-6422C8491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alphaModFix amt="35000"/>
        </a:blip>
        <a:stretch>
          <a:fillRect/>
        </a:stretch>
      </xdr:blipFill>
      <xdr:spPr>
        <a:xfrm>
          <a:off x="22386654" y="25334686"/>
          <a:ext cx="8570675" cy="5366474"/>
        </a:xfrm>
        <a:prstGeom prst="rect">
          <a:avLst/>
        </a:prstGeom>
      </xdr:spPr>
    </xdr:pic>
    <xdr:clientData/>
  </xdr:twoCellAnchor>
  <xdr:twoCellAnchor>
    <xdr:from>
      <xdr:col>19</xdr:col>
      <xdr:colOff>280736</xdr:colOff>
      <xdr:row>144</xdr:row>
      <xdr:rowOff>70183</xdr:rowOff>
    </xdr:from>
    <xdr:to>
      <xdr:col>30</xdr:col>
      <xdr:colOff>436366</xdr:colOff>
      <xdr:row>170</xdr:row>
      <xdr:rowOff>165433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AB41FA7-F555-4FB7-9434-134D81FF7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917864</xdr:colOff>
      <xdr:row>177</xdr:row>
      <xdr:rowOff>86590</xdr:rowOff>
    </xdr:from>
    <xdr:to>
      <xdr:col>17</xdr:col>
      <xdr:colOff>150130</xdr:colOff>
      <xdr:row>210</xdr:row>
      <xdr:rowOff>25746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341B0A72-A002-4155-8C03-A2E515C470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alphaModFix amt="70000"/>
        </a:blip>
        <a:stretch>
          <a:fillRect/>
        </a:stretch>
      </xdr:blipFill>
      <xdr:spPr>
        <a:xfrm>
          <a:off x="12318654" y="31361610"/>
          <a:ext cx="9281776" cy="57709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906445</xdr:colOff>
      <xdr:row>177</xdr:row>
      <xdr:rowOff>82271</xdr:rowOff>
    </xdr:from>
    <xdr:to>
      <xdr:col>17</xdr:col>
      <xdr:colOff>153865</xdr:colOff>
      <xdr:row>210</xdr:row>
      <xdr:rowOff>36634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811A145-4F5B-4ACF-AAED-BF62E700F9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19</xdr:col>
      <xdr:colOff>311726</xdr:colOff>
      <xdr:row>176</xdr:row>
      <xdr:rowOff>121228</xdr:rowOff>
    </xdr:from>
    <xdr:to>
      <xdr:col>32</xdr:col>
      <xdr:colOff>632500</xdr:colOff>
      <xdr:row>210</xdr:row>
      <xdr:rowOff>1607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3B81014-6C2C-48C0-A5C3-EE62ADE77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alphaModFix amt="35000"/>
        </a:blip>
        <a:stretch>
          <a:fillRect/>
        </a:stretch>
      </xdr:blipFill>
      <xdr:spPr>
        <a:xfrm>
          <a:off x="23089176" y="31219718"/>
          <a:ext cx="8930104" cy="588171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19</xdr:col>
      <xdr:colOff>313765</xdr:colOff>
      <xdr:row>176</xdr:row>
      <xdr:rowOff>113176</xdr:rowOff>
    </xdr:from>
    <xdr:to>
      <xdr:col>32</xdr:col>
      <xdr:colOff>627529</xdr:colOff>
      <xdr:row>209</xdr:row>
      <xdr:rowOff>168088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22AF190D-E5AB-4714-837B-E9ADE88BD1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6</xdr:col>
      <xdr:colOff>839411</xdr:colOff>
      <xdr:row>210</xdr:row>
      <xdr:rowOff>120689</xdr:rowOff>
    </xdr:from>
    <xdr:to>
      <xdr:col>17</xdr:col>
      <xdr:colOff>597159</xdr:colOff>
      <xdr:row>243</xdr:row>
      <xdr:rowOff>115957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D81BDFA-4230-43E8-819C-C0CEBDD6E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alphaModFix amt="35000"/>
        </a:blip>
        <a:stretch>
          <a:fillRect/>
        </a:stretch>
      </xdr:blipFill>
      <xdr:spPr>
        <a:xfrm>
          <a:off x="12238931" y="37231359"/>
          <a:ext cx="9805988" cy="58232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830035</xdr:colOff>
      <xdr:row>210</xdr:row>
      <xdr:rowOff>111577</xdr:rowOff>
    </xdr:from>
    <xdr:to>
      <xdr:col>17</xdr:col>
      <xdr:colOff>612321</xdr:colOff>
      <xdr:row>243</xdr:row>
      <xdr:rowOff>108856</xdr:rowOff>
    </xdr:to>
    <xdr:graphicFrame macro="">
      <xdr:nvGraphicFramePr>
        <xdr:cNvPr id="27" name="Chart 27">
          <a:extLst>
            <a:ext uri="{FF2B5EF4-FFF2-40B4-BE49-F238E27FC236}">
              <a16:creationId xmlns:a16="http://schemas.microsoft.com/office/drawing/2014/main" id="{AE4C74FB-53E9-4B8B-A5A9-066FD89E6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19</xdr:col>
      <xdr:colOff>311727</xdr:colOff>
      <xdr:row>210</xdr:row>
      <xdr:rowOff>34637</xdr:rowOff>
    </xdr:from>
    <xdr:to>
      <xdr:col>32</xdr:col>
      <xdr:colOff>645968</xdr:colOff>
      <xdr:row>243</xdr:row>
      <xdr:rowOff>101369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C1A03B5-19CD-4C36-82DB-456EB312B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alphaModFix amt="35000"/>
        </a:blip>
        <a:stretch>
          <a:fillRect/>
        </a:stretch>
      </xdr:blipFill>
      <xdr:spPr>
        <a:xfrm>
          <a:off x="23089177" y="37142767"/>
          <a:ext cx="8951191" cy="589476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19</xdr:col>
      <xdr:colOff>307730</xdr:colOff>
      <xdr:row>210</xdr:row>
      <xdr:rowOff>35834</xdr:rowOff>
    </xdr:from>
    <xdr:to>
      <xdr:col>32</xdr:col>
      <xdr:colOff>652096</xdr:colOff>
      <xdr:row>243</xdr:row>
      <xdr:rowOff>109903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A167AC-B7C0-4097-BC31-9033D8341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386604</xdr:colOff>
      <xdr:row>245</xdr:row>
      <xdr:rowOff>89648</xdr:rowOff>
    </xdr:from>
    <xdr:to>
      <xdr:col>31</xdr:col>
      <xdr:colOff>89647</xdr:colOff>
      <xdr:row>275</xdr:row>
      <xdr:rowOff>22412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8177E57-4314-4192-8778-AD49455300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6</xdr:col>
      <xdr:colOff>1592035</xdr:colOff>
      <xdr:row>278</xdr:row>
      <xdr:rowOff>108857</xdr:rowOff>
    </xdr:from>
    <xdr:to>
      <xdr:col>17</xdr:col>
      <xdr:colOff>328493</xdr:colOff>
      <xdr:row>310</xdr:row>
      <xdr:rowOff>99967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6BEDFE9-48A7-4535-9D94-37B7A6F20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alphaModFix amt="20000"/>
        </a:blip>
        <a:stretch>
          <a:fillRect/>
        </a:stretch>
      </xdr:blipFill>
      <xdr:spPr>
        <a:xfrm>
          <a:off x="12990285" y="49226107"/>
          <a:ext cx="8785968" cy="564388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1598837</xdr:colOff>
      <xdr:row>278</xdr:row>
      <xdr:rowOff>111578</xdr:rowOff>
    </xdr:from>
    <xdr:to>
      <xdr:col>17</xdr:col>
      <xdr:colOff>326571</xdr:colOff>
      <xdr:row>310</xdr:row>
      <xdr:rowOff>122464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0340481-045B-4D65-BFC0-4EFD6F3A18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17</xdr:col>
      <xdr:colOff>579782</xdr:colOff>
      <xdr:row>277</xdr:row>
      <xdr:rowOff>77106</xdr:rowOff>
    </xdr:from>
    <xdr:to>
      <xdr:col>32</xdr:col>
      <xdr:colOff>24675</xdr:colOff>
      <xdr:row>310</xdr:row>
      <xdr:rowOff>139322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FDF9E13B-8A2F-4DC8-B167-A79CA2D2C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alphaModFix amt="35000"/>
        </a:blip>
        <a:stretch>
          <a:fillRect/>
        </a:stretch>
      </xdr:blipFill>
      <xdr:spPr>
        <a:xfrm>
          <a:off x="22031352" y="49020366"/>
          <a:ext cx="9385183" cy="5882626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571500</xdr:colOff>
      <xdr:row>277</xdr:row>
      <xdr:rowOff>70756</xdr:rowOff>
    </xdr:from>
    <xdr:to>
      <xdr:col>32</xdr:col>
      <xdr:colOff>27215</xdr:colOff>
      <xdr:row>310</xdr:row>
      <xdr:rowOff>122464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96B4CB2A-7CFE-4B73-88ED-37F37C0F9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6</xdr:col>
      <xdr:colOff>1592036</xdr:colOff>
      <xdr:row>312</xdr:row>
      <xdr:rowOff>27215</xdr:rowOff>
    </xdr:from>
    <xdr:to>
      <xdr:col>17</xdr:col>
      <xdr:colOff>362826</xdr:colOff>
      <xdr:row>344</xdr:row>
      <xdr:rowOff>99060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D8526CB0-C8EB-4644-8890-1CB404071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alphaModFix amt="20000"/>
        </a:blip>
        <a:stretch>
          <a:fillRect/>
        </a:stretch>
      </xdr:blipFill>
      <xdr:spPr>
        <a:xfrm>
          <a:off x="12990286" y="55147755"/>
          <a:ext cx="8826650" cy="572588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1564821</xdr:colOff>
      <xdr:row>312</xdr:row>
      <xdr:rowOff>13607</xdr:rowOff>
    </xdr:from>
    <xdr:to>
      <xdr:col>17</xdr:col>
      <xdr:colOff>353785</xdr:colOff>
      <xdr:row>344</xdr:row>
      <xdr:rowOff>108858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F7BE019D-4010-4488-A47E-263FB63E0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18</xdr:col>
      <xdr:colOff>340180</xdr:colOff>
      <xdr:row>311</xdr:row>
      <xdr:rowOff>176892</xdr:rowOff>
    </xdr:from>
    <xdr:to>
      <xdr:col>32</xdr:col>
      <xdr:colOff>405137</xdr:colOff>
      <xdr:row>345</xdr:row>
      <xdr:rowOff>101962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95D77BC9-88A0-454C-8D71-B57E9B9049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alphaModFix amt="20000"/>
        </a:blip>
        <a:stretch>
          <a:fillRect/>
        </a:stretch>
      </xdr:blipFill>
      <xdr:spPr>
        <a:xfrm>
          <a:off x="22453420" y="55122172"/>
          <a:ext cx="9343577" cy="592328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312964</xdr:colOff>
      <xdr:row>311</xdr:row>
      <xdr:rowOff>166006</xdr:rowOff>
    </xdr:from>
    <xdr:to>
      <xdr:col>32</xdr:col>
      <xdr:colOff>421821</xdr:colOff>
      <xdr:row>345</xdr:row>
      <xdr:rowOff>81642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7428468-9676-410A-8BA6-3B0F59076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18</xdr:col>
      <xdr:colOff>340180</xdr:colOff>
      <xdr:row>347</xdr:row>
      <xdr:rowOff>108858</xdr:rowOff>
    </xdr:from>
    <xdr:to>
      <xdr:col>31</xdr:col>
      <xdr:colOff>479018</xdr:colOff>
      <xdr:row>380</xdr:row>
      <xdr:rowOff>21227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0BCF334-E0C1-4E00-8479-9C0BC109D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alphaModFix amt="35000"/>
        </a:blip>
        <a:stretch>
          <a:fillRect/>
        </a:stretch>
      </xdr:blipFill>
      <xdr:spPr>
        <a:xfrm>
          <a:off x="22453420" y="61410488"/>
          <a:ext cx="8760868" cy="573912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340178</xdr:colOff>
      <xdr:row>347</xdr:row>
      <xdr:rowOff>81643</xdr:rowOff>
    </xdr:from>
    <xdr:to>
      <xdr:col>31</xdr:col>
      <xdr:colOff>489856</xdr:colOff>
      <xdr:row>380</xdr:row>
      <xdr:rowOff>13606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00BC29-F1C4-4BA4-9441-6972E0EF1B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6</xdr:col>
      <xdr:colOff>1442358</xdr:colOff>
      <xdr:row>381</xdr:row>
      <xdr:rowOff>1</xdr:rowOff>
    </xdr:from>
    <xdr:to>
      <xdr:col>17</xdr:col>
      <xdr:colOff>367393</xdr:colOff>
      <xdr:row>413</xdr:row>
      <xdr:rowOff>1514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7EDCC05B-19B8-4DA9-B682-6C99AC04F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alphaModFix amt="35000"/>
        </a:blip>
        <a:stretch>
          <a:fillRect/>
        </a:stretch>
      </xdr:blipFill>
      <xdr:spPr>
        <a:xfrm>
          <a:off x="12840608" y="67315081"/>
          <a:ext cx="8980895" cy="564852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 editAs="oneCell">
    <xdr:from>
      <xdr:col>18</xdr:col>
      <xdr:colOff>353786</xdr:colOff>
      <xdr:row>381</xdr:row>
      <xdr:rowOff>40822</xdr:rowOff>
    </xdr:from>
    <xdr:to>
      <xdr:col>31</xdr:col>
      <xdr:colOff>478224</xdr:colOff>
      <xdr:row>413</xdr:row>
      <xdr:rowOff>139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CA8A7194-17AC-4E69-B1C0-9381A91C1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>
          <a:alphaModFix amt="35000"/>
        </a:blip>
        <a:stretch>
          <a:fillRect/>
        </a:stretch>
      </xdr:blipFill>
      <xdr:spPr>
        <a:xfrm>
          <a:off x="22469566" y="67355902"/>
          <a:ext cx="8728688" cy="5606324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351691</xdr:colOff>
      <xdr:row>381</xdr:row>
      <xdr:rowOff>14655</xdr:rowOff>
    </xdr:from>
    <xdr:to>
      <xdr:col>31</xdr:col>
      <xdr:colOff>468922</xdr:colOff>
      <xdr:row>412</xdr:row>
      <xdr:rowOff>168519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87932D6-9B94-41B2-B88B-47BB22671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6</xdr:col>
      <xdr:colOff>1523998</xdr:colOff>
      <xdr:row>415</xdr:row>
      <xdr:rowOff>13607</xdr:rowOff>
    </xdr:from>
    <xdr:to>
      <xdr:col>16</xdr:col>
      <xdr:colOff>520881</xdr:colOff>
      <xdr:row>445</xdr:row>
      <xdr:rowOff>176387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53EF794-6399-46B5-85ED-BC861F55A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>
          <a:alphaModFix amt="20000"/>
        </a:blip>
        <a:stretch>
          <a:fillRect/>
        </a:stretch>
      </xdr:blipFill>
      <xdr:spPr>
        <a:xfrm>
          <a:off x="12923518" y="73335787"/>
          <a:ext cx="8382183" cy="545360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1496785</xdr:colOff>
      <xdr:row>415</xdr:row>
      <xdr:rowOff>2721</xdr:rowOff>
    </xdr:from>
    <xdr:to>
      <xdr:col>16</xdr:col>
      <xdr:colOff>517071</xdr:colOff>
      <xdr:row>445</xdr:row>
      <xdr:rowOff>190499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FA254749-08DE-4BDC-A0CD-DDCAAD7190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18</xdr:col>
      <xdr:colOff>405050</xdr:colOff>
      <xdr:row>415</xdr:row>
      <xdr:rowOff>159437</xdr:rowOff>
    </xdr:from>
    <xdr:to>
      <xdr:col>30</xdr:col>
      <xdr:colOff>478288</xdr:colOff>
      <xdr:row>444</xdr:row>
      <xdr:rowOff>21142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4E10165-43F7-442E-83B3-E7A5BC01B2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alphaModFix amt="35000"/>
        </a:blip>
        <a:stretch>
          <a:fillRect/>
        </a:stretch>
      </xdr:blipFill>
      <xdr:spPr>
        <a:xfrm>
          <a:off x="22515750" y="73480347"/>
          <a:ext cx="8019628" cy="498488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409013</xdr:colOff>
      <xdr:row>415</xdr:row>
      <xdr:rowOff>158003</xdr:rowOff>
    </xdr:from>
    <xdr:to>
      <xdr:col>30</xdr:col>
      <xdr:colOff>470646</xdr:colOff>
      <xdr:row>444</xdr:row>
      <xdr:rowOff>11205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E5DF06D1-3AA4-4120-9E01-466F945C9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6</xdr:col>
      <xdr:colOff>1457326</xdr:colOff>
      <xdr:row>447</xdr:row>
      <xdr:rowOff>95250</xdr:rowOff>
    </xdr:from>
    <xdr:to>
      <xdr:col>16</xdr:col>
      <xdr:colOff>517033</xdr:colOff>
      <xdr:row>476</xdr:row>
      <xdr:rowOff>22225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CA0B4B9B-75E5-4075-B99A-EC0EC08DD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>
          <a:alphaModFix amt="20000"/>
        </a:blip>
        <a:stretch>
          <a:fillRect/>
        </a:stretch>
      </xdr:blipFill>
      <xdr:spPr>
        <a:xfrm>
          <a:off x="12859386" y="79072740"/>
          <a:ext cx="8433577" cy="502094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1438275</xdr:colOff>
      <xdr:row>447</xdr:row>
      <xdr:rowOff>90486</xdr:rowOff>
    </xdr:from>
    <xdr:to>
      <xdr:col>16</xdr:col>
      <xdr:colOff>504825</xdr:colOff>
      <xdr:row>476</xdr:row>
      <xdr:rowOff>9524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6E021726-F16B-4442-9D86-FC9E9FCE2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6</xdr:col>
      <xdr:colOff>720099</xdr:colOff>
      <xdr:row>73</xdr:row>
      <xdr:rowOff>149112</xdr:rowOff>
    </xdr:from>
    <xdr:to>
      <xdr:col>16</xdr:col>
      <xdr:colOff>251711</xdr:colOff>
      <xdr:row>106</xdr:row>
      <xdr:rowOff>24728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BD1E4E1C-A6C5-485F-9D26-BDAC0AB1A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>
          <a:alphaModFix amt="35000"/>
        </a:blip>
        <a:stretch>
          <a:fillRect/>
        </a:stretch>
      </xdr:blipFill>
      <xdr:spPr>
        <a:xfrm>
          <a:off x="12118349" y="13056122"/>
          <a:ext cx="8913102" cy="5703646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711571</xdr:colOff>
      <xdr:row>73</xdr:row>
      <xdr:rowOff>135588</xdr:rowOff>
    </xdr:from>
    <xdr:to>
      <xdr:col>16</xdr:col>
      <xdr:colOff>246528</xdr:colOff>
      <xdr:row>106</xdr:row>
      <xdr:rowOff>33618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DE2E8BE0-8D81-4B91-A040-ABE78B716C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17</xdr:col>
      <xdr:colOff>258535</xdr:colOff>
      <xdr:row>73</xdr:row>
      <xdr:rowOff>100929</xdr:rowOff>
    </xdr:from>
    <xdr:to>
      <xdr:col>31</xdr:col>
      <xdr:colOff>25136</xdr:colOff>
      <xdr:row>106</xdr:row>
      <xdr:rowOff>60332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DABF0A76-27DC-4BAB-B2C6-42BE13104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>
          <a:alphaModFix amt="20000"/>
        </a:blip>
        <a:stretch>
          <a:fillRect/>
        </a:stretch>
      </xdr:blipFill>
      <xdr:spPr>
        <a:xfrm>
          <a:off x="21707565" y="13006669"/>
          <a:ext cx="9036331" cy="5788703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247651</xdr:colOff>
      <xdr:row>73</xdr:row>
      <xdr:rowOff>97970</xdr:rowOff>
    </xdr:from>
    <xdr:to>
      <xdr:col>31</xdr:col>
      <xdr:colOff>27215</xdr:colOff>
      <xdr:row>106</xdr:row>
      <xdr:rowOff>66675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FEC05AAD-6817-4B01-894C-CB71D1AB0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17</xdr:col>
      <xdr:colOff>293171</xdr:colOff>
      <xdr:row>41</xdr:row>
      <xdr:rowOff>129886</xdr:rowOff>
    </xdr:from>
    <xdr:to>
      <xdr:col>29</xdr:col>
      <xdr:colOff>478329</xdr:colOff>
      <xdr:row>71</xdr:row>
      <xdr:rowOff>60945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691962A1-8AFE-4FC3-BE2D-84CAF41C28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0">
          <a:alphaModFix amt="35000"/>
        </a:blip>
        <a:srcRect l="2061" t="2758" b="-1504"/>
        <a:stretch>
          <a:fillRect/>
        </a:stretch>
      </xdr:blipFill>
      <xdr:spPr>
        <a:xfrm>
          <a:off x="21740931" y="7386666"/>
          <a:ext cx="8146788" cy="521679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1583121</xdr:colOff>
      <xdr:row>41</xdr:row>
      <xdr:rowOff>118241</xdr:rowOff>
    </xdr:from>
    <xdr:to>
      <xdr:col>16</xdr:col>
      <xdr:colOff>72259</xdr:colOff>
      <xdr:row>71</xdr:row>
      <xdr:rowOff>126320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BDEB51D7-8433-442C-9371-279BB64D4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17</xdr:col>
      <xdr:colOff>285749</xdr:colOff>
      <xdr:row>41</xdr:row>
      <xdr:rowOff>124384</xdr:rowOff>
    </xdr:from>
    <xdr:to>
      <xdr:col>29</xdr:col>
      <xdr:colOff>481852</xdr:colOff>
      <xdr:row>71</xdr:row>
      <xdr:rowOff>57979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D2031A07-5A7D-498F-9538-18DCA91881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350520</xdr:colOff>
      <xdr:row>2</xdr:row>
      <xdr:rowOff>83820</xdr:rowOff>
    </xdr:from>
    <xdr:to>
      <xdr:col>22</xdr:col>
      <xdr:colOff>249724</xdr:colOff>
      <xdr:row>28</xdr:row>
      <xdr:rowOff>58822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EA278B-90B9-4EB3-99E7-484B91E71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0210" y="443230"/>
          <a:ext cx="9167664" cy="463082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7</xdr:row>
      <xdr:rowOff>70338</xdr:rowOff>
    </xdr:from>
    <xdr:to>
      <xdr:col>24</xdr:col>
      <xdr:colOff>249497</xdr:colOff>
      <xdr:row>37</xdr:row>
      <xdr:rowOff>22928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E1CDA-AD22-4C51-887F-C9949D65F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349228"/>
          <a:ext cx="9920645" cy="527262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1</xdr:row>
      <xdr:rowOff>0</xdr:rowOff>
    </xdr:from>
    <xdr:to>
      <xdr:col>24</xdr:col>
      <xdr:colOff>249497</xdr:colOff>
      <xdr:row>30</xdr:row>
      <xdr:rowOff>124626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84BC4A-DEEF-47F5-B479-9D97886C3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82880"/>
          <a:ext cx="9920645" cy="529352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1</xdr:row>
      <xdr:rowOff>0</xdr:rowOff>
    </xdr:from>
    <xdr:to>
      <xdr:col>24</xdr:col>
      <xdr:colOff>249497</xdr:colOff>
      <xdr:row>29</xdr:row>
      <xdr:rowOff>176891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CAB630-943E-41DA-B208-09C6BC223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75260"/>
          <a:ext cx="9920645" cy="530261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etronas-my.sharepoint.com/personal/mnabielizzuddin_radz_petronas_com/Documents/Reservoir%20Engineering/EOR%20ATLAS/PhaseBehavior_ForPowerBi.xlsx" TargetMode="External"/><Relationship Id="rId1" Type="http://schemas.openxmlformats.org/officeDocument/2006/relationships/externalLinkPath" Target="PhaseBehavior_ForPower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hase Behavior Results"/>
      <sheetName val="PowerBI"/>
    </sheetNames>
    <sheetDataSet>
      <sheetData sheetId="0">
        <row r="7">
          <cell r="C7">
            <v>0.5</v>
          </cell>
          <cell r="D7">
            <v>0.1</v>
          </cell>
          <cell r="E7">
            <v>5.2</v>
          </cell>
          <cell r="F7">
            <v>8.1999999999999993</v>
          </cell>
        </row>
        <row r="8">
          <cell r="C8">
            <v>1.1000000000000001</v>
          </cell>
          <cell r="D8">
            <v>0.2</v>
          </cell>
          <cell r="E8">
            <v>4.7</v>
          </cell>
          <cell r="F8">
            <v>19</v>
          </cell>
        </row>
        <row r="9">
          <cell r="C9">
            <v>1.6</v>
          </cell>
          <cell r="D9">
            <v>1</v>
          </cell>
          <cell r="E9">
            <v>5.5</v>
          </cell>
          <cell r="F9">
            <v>6</v>
          </cell>
        </row>
        <row r="10">
          <cell r="C10">
            <v>2.1</v>
          </cell>
          <cell r="D10">
            <v>1.8</v>
          </cell>
        </row>
        <row r="11">
          <cell r="C11">
            <v>2.7</v>
          </cell>
          <cell r="D11">
            <v>2.5</v>
          </cell>
        </row>
        <row r="12">
          <cell r="C12">
            <v>3.2</v>
          </cell>
          <cell r="D12">
            <v>2.6</v>
          </cell>
        </row>
        <row r="13">
          <cell r="C13">
            <v>3.7</v>
          </cell>
          <cell r="D13">
            <v>3.9</v>
          </cell>
        </row>
        <row r="14">
          <cell r="C14">
            <v>4.2</v>
          </cell>
          <cell r="D14">
            <v>5.8</v>
          </cell>
        </row>
        <row r="15">
          <cell r="C15">
            <v>4.7</v>
          </cell>
          <cell r="D15">
            <v>9.5</v>
          </cell>
        </row>
        <row r="16">
          <cell r="C16">
            <v>5.2</v>
          </cell>
          <cell r="D16">
            <v>13.9</v>
          </cell>
        </row>
        <row r="17">
          <cell r="C17">
            <v>4.9000000000000004</v>
          </cell>
          <cell r="D17">
            <v>0</v>
          </cell>
        </row>
        <row r="18">
          <cell r="C18">
            <v>4.9000000000000004</v>
          </cell>
          <cell r="D18">
            <v>13</v>
          </cell>
        </row>
        <row r="19">
          <cell r="C19">
            <v>3.9</v>
          </cell>
          <cell r="D19">
            <v>0</v>
          </cell>
        </row>
        <row r="20">
          <cell r="C20">
            <v>3.9</v>
          </cell>
          <cell r="D20">
            <v>20</v>
          </cell>
        </row>
        <row r="21">
          <cell r="C21">
            <v>5.5</v>
          </cell>
          <cell r="D21">
            <v>0</v>
          </cell>
        </row>
        <row r="22">
          <cell r="C22">
            <v>5.5</v>
          </cell>
          <cell r="D22">
            <v>20</v>
          </cell>
        </row>
        <row r="29">
          <cell r="C29">
            <v>0.5</v>
          </cell>
          <cell r="D29">
            <v>3</v>
          </cell>
          <cell r="E29">
            <v>2.1</v>
          </cell>
          <cell r="F29">
            <v>11</v>
          </cell>
        </row>
        <row r="30">
          <cell r="C30">
            <v>1.1000000000000001</v>
          </cell>
          <cell r="D30">
            <v>4.5</v>
          </cell>
          <cell r="E30">
            <v>2.6</v>
          </cell>
          <cell r="F30">
            <v>7</v>
          </cell>
        </row>
        <row r="31">
          <cell r="C31">
            <v>1.6</v>
          </cell>
          <cell r="D31">
            <v>6.5</v>
          </cell>
          <cell r="E31">
            <v>3.2</v>
          </cell>
          <cell r="F31">
            <v>5</v>
          </cell>
        </row>
        <row r="32">
          <cell r="C32">
            <v>2.1</v>
          </cell>
          <cell r="D32">
            <v>11</v>
          </cell>
          <cell r="E32">
            <v>3.7</v>
          </cell>
          <cell r="F32">
            <v>2.5</v>
          </cell>
        </row>
        <row r="33">
          <cell r="C33">
            <v>2.7</v>
          </cell>
          <cell r="D33">
            <v>14</v>
          </cell>
          <cell r="E33">
            <v>4.2</v>
          </cell>
          <cell r="F33">
            <v>1.5</v>
          </cell>
        </row>
        <row r="34">
          <cell r="E34">
            <v>4.7</v>
          </cell>
          <cell r="F34">
            <v>1</v>
          </cell>
        </row>
        <row r="35">
          <cell r="E35">
            <v>5.2</v>
          </cell>
          <cell r="F35">
            <v>0.5</v>
          </cell>
        </row>
        <row r="46">
          <cell r="C46">
            <v>1.61130899376669</v>
          </cell>
          <cell r="D46">
            <v>3.2218844984802399</v>
          </cell>
          <cell r="E46">
            <v>2.6576135351736401</v>
          </cell>
          <cell r="F46">
            <v>12.55</v>
          </cell>
        </row>
        <row r="47">
          <cell r="C47">
            <v>2.1366874443455002</v>
          </cell>
          <cell r="D47">
            <v>6.5045592705167099</v>
          </cell>
          <cell r="E47">
            <v>3.1696349065004399</v>
          </cell>
          <cell r="F47">
            <v>8.3282674772036405</v>
          </cell>
        </row>
        <row r="48">
          <cell r="C48">
            <v>2.6576135351736401</v>
          </cell>
          <cell r="D48">
            <v>9.5744680851063801</v>
          </cell>
          <cell r="E48">
            <v>3.68610863757791</v>
          </cell>
          <cell r="F48">
            <v>4</v>
          </cell>
        </row>
        <row r="49">
          <cell r="C49">
            <v>3.1651825467497701</v>
          </cell>
          <cell r="D49">
            <v>15.2</v>
          </cell>
          <cell r="E49">
            <v>4.1892252894033799</v>
          </cell>
          <cell r="F49">
            <v>2.95</v>
          </cell>
        </row>
        <row r="50">
          <cell r="C50">
            <v>3.68</v>
          </cell>
          <cell r="D50">
            <v>20</v>
          </cell>
          <cell r="E50">
            <v>4.6967943009795103</v>
          </cell>
          <cell r="F50">
            <v>2</v>
          </cell>
        </row>
        <row r="51">
          <cell r="E51">
            <v>5.1999109528049798</v>
          </cell>
          <cell r="F51">
            <v>0.51671732522796299</v>
          </cell>
        </row>
        <row r="52">
          <cell r="E52">
            <v>5.6941228851291097</v>
          </cell>
          <cell r="F52">
            <v>1.0030395136778101</v>
          </cell>
        </row>
        <row r="53">
          <cell r="E53">
            <v>6.1883348174532502</v>
          </cell>
          <cell r="F53">
            <v>1</v>
          </cell>
        </row>
        <row r="63">
          <cell r="C63">
            <v>1.6063829787234001</v>
          </cell>
          <cell r="D63">
            <v>2.83559577677224</v>
          </cell>
          <cell r="E63">
            <v>3.67</v>
          </cell>
          <cell r="F63">
            <v>15.082956259426799</v>
          </cell>
        </row>
        <row r="64">
          <cell r="C64">
            <v>2.13</v>
          </cell>
          <cell r="D64">
            <v>4.3</v>
          </cell>
          <cell r="E64">
            <v>4.18</v>
          </cell>
          <cell r="F64">
            <v>9.6530920060331802</v>
          </cell>
        </row>
        <row r="65">
          <cell r="C65">
            <v>2.6569148936170199</v>
          </cell>
          <cell r="D65">
            <v>4.2533936651583701</v>
          </cell>
          <cell r="E65">
            <v>4.6959219858156001</v>
          </cell>
          <cell r="F65">
            <v>7.1493212669683199</v>
          </cell>
        </row>
        <row r="66">
          <cell r="C66">
            <v>3.16</v>
          </cell>
          <cell r="D66">
            <v>5.62</v>
          </cell>
          <cell r="E66">
            <v>5.19237588652482</v>
          </cell>
          <cell r="F66">
            <v>5.6108597285067798</v>
          </cell>
        </row>
        <row r="67">
          <cell r="C67">
            <v>3.68</v>
          </cell>
          <cell r="D67">
            <v>5.8220211161387603</v>
          </cell>
          <cell r="E67">
            <v>5.69</v>
          </cell>
          <cell r="F67">
            <v>1.44796380090497</v>
          </cell>
        </row>
        <row r="68">
          <cell r="C68">
            <v>4.1861702127659504</v>
          </cell>
          <cell r="D68">
            <v>10.1357466063348</v>
          </cell>
          <cell r="E68">
            <v>6.18</v>
          </cell>
          <cell r="F68">
            <v>0.93514328808446401</v>
          </cell>
        </row>
        <row r="69">
          <cell r="C69">
            <v>4.6749999999999998</v>
          </cell>
          <cell r="D69">
            <v>15.3</v>
          </cell>
        </row>
        <row r="80">
          <cell r="C80">
            <v>1E-4</v>
          </cell>
          <cell r="D80">
            <v>0.95</v>
          </cell>
          <cell r="E80">
            <v>1.61</v>
          </cell>
          <cell r="F80">
            <v>17.850000000000001</v>
          </cell>
        </row>
        <row r="81">
          <cell r="C81">
            <v>0.54298642533936603</v>
          </cell>
          <cell r="D81">
            <v>1.4197530864197501</v>
          </cell>
          <cell r="E81">
            <v>2.1349999999999998</v>
          </cell>
          <cell r="F81">
            <v>11.8</v>
          </cell>
        </row>
        <row r="82">
          <cell r="C82">
            <v>1.07692307692307</v>
          </cell>
          <cell r="D82">
            <v>5.85</v>
          </cell>
          <cell r="E82">
            <v>2.66</v>
          </cell>
          <cell r="F82">
            <v>2.9249999999999998</v>
          </cell>
        </row>
        <row r="83">
          <cell r="C83">
            <v>1.605</v>
          </cell>
          <cell r="D83">
            <v>18.899999999999999</v>
          </cell>
          <cell r="E83">
            <v>3.1764705882352899</v>
          </cell>
          <cell r="F83">
            <v>1.425</v>
          </cell>
        </row>
        <row r="84">
          <cell r="E84">
            <v>3.68778280542986</v>
          </cell>
          <cell r="F84">
            <v>0.5</v>
          </cell>
        </row>
        <row r="85">
          <cell r="E85">
            <v>4.1950000000000003</v>
          </cell>
          <cell r="F85">
            <v>0.5</v>
          </cell>
        </row>
        <row r="86">
          <cell r="E86">
            <v>4.7050000000000001</v>
          </cell>
          <cell r="F86">
            <v>1E-3</v>
          </cell>
        </row>
        <row r="97">
          <cell r="C97">
            <v>0.53717472118959098</v>
          </cell>
          <cell r="D97">
            <v>1</v>
          </cell>
          <cell r="E97">
            <v>4.7</v>
          </cell>
          <cell r="F97">
            <v>19.100000000000001</v>
          </cell>
        </row>
        <row r="98">
          <cell r="C98">
            <v>1.07156133828996</v>
          </cell>
          <cell r="D98">
            <v>1.32911392405063</v>
          </cell>
          <cell r="E98">
            <v>5.2</v>
          </cell>
          <cell r="F98">
            <v>2.51582278481012</v>
          </cell>
        </row>
        <row r="99">
          <cell r="C99">
            <v>1.6013011152416301</v>
          </cell>
          <cell r="D99">
            <v>3.70253164556962</v>
          </cell>
        </row>
        <row r="100">
          <cell r="C100">
            <v>2.14</v>
          </cell>
          <cell r="D100">
            <v>4.6993670886075902</v>
          </cell>
        </row>
        <row r="101">
          <cell r="C101">
            <v>2.6514869888475801</v>
          </cell>
          <cell r="D101">
            <v>6.17088607594936</v>
          </cell>
        </row>
        <row r="102">
          <cell r="C102">
            <v>3.1765799256505498</v>
          </cell>
          <cell r="D102">
            <v>6.2183544303797396</v>
          </cell>
        </row>
        <row r="103">
          <cell r="C103">
            <v>3.7</v>
          </cell>
          <cell r="D103">
            <v>8.9715189873417707</v>
          </cell>
        </row>
        <row r="104">
          <cell r="C104">
            <v>4.1942379182156104</v>
          </cell>
          <cell r="D104">
            <v>15.284810126582199</v>
          </cell>
        </row>
        <row r="114">
          <cell r="C114">
            <v>0.54</v>
          </cell>
          <cell r="D114">
            <v>0.85</v>
          </cell>
          <cell r="E114">
            <v>3.6826241134751698</v>
          </cell>
          <cell r="F114">
            <v>13.95</v>
          </cell>
        </row>
        <row r="115">
          <cell r="C115">
            <v>1.08067375886524</v>
          </cell>
          <cell r="D115">
            <v>1.35</v>
          </cell>
          <cell r="E115">
            <v>4.19237588652482</v>
          </cell>
          <cell r="F115">
            <v>7.55</v>
          </cell>
        </row>
        <row r="116">
          <cell r="C116">
            <v>1.6</v>
          </cell>
          <cell r="D116">
            <v>1.85</v>
          </cell>
          <cell r="E116">
            <v>4.6932624113475097</v>
          </cell>
          <cell r="F116">
            <v>4.3</v>
          </cell>
        </row>
        <row r="117">
          <cell r="C117">
            <v>2.1312056737588598</v>
          </cell>
          <cell r="D117">
            <v>2.85</v>
          </cell>
          <cell r="E117">
            <v>5.1985815602836798</v>
          </cell>
          <cell r="F117">
            <v>3.2980332829046901</v>
          </cell>
        </row>
        <row r="118">
          <cell r="C118">
            <v>2.65868794326241</v>
          </cell>
          <cell r="D118">
            <v>3.7</v>
          </cell>
        </row>
        <row r="119">
          <cell r="C119">
            <v>3.1749999999999998</v>
          </cell>
          <cell r="D119">
            <v>6.05</v>
          </cell>
        </row>
        <row r="120">
          <cell r="C120">
            <v>3.6870567375886498</v>
          </cell>
          <cell r="D120">
            <v>8.65</v>
          </cell>
        </row>
        <row r="121">
          <cell r="C121">
            <v>4.19237588652482</v>
          </cell>
          <cell r="D121">
            <v>10.9</v>
          </cell>
        </row>
        <row r="122">
          <cell r="C122">
            <v>4.6843971631205603</v>
          </cell>
          <cell r="D122">
            <v>16.350000000000001</v>
          </cell>
        </row>
        <row r="131">
          <cell r="C131">
            <v>0.54155124653739595</v>
          </cell>
          <cell r="D131">
            <v>0.91051805337519598</v>
          </cell>
          <cell r="E131">
            <v>3.1777469990766298</v>
          </cell>
          <cell r="F131">
            <v>6.7</v>
          </cell>
        </row>
        <row r="132">
          <cell r="C132">
            <v>1.0817174515235399</v>
          </cell>
          <cell r="D132">
            <v>1.8838304552590199</v>
          </cell>
          <cell r="E132">
            <v>3.6902123730378502</v>
          </cell>
          <cell r="F132">
            <v>4.3642072213500702</v>
          </cell>
        </row>
        <row r="133">
          <cell r="C133">
            <v>1.61265004616805</v>
          </cell>
          <cell r="D133">
            <v>2.8257456828885399</v>
          </cell>
          <cell r="E133">
            <v>4.19806094182825</v>
          </cell>
          <cell r="F133">
            <v>1.9780219780219701</v>
          </cell>
        </row>
        <row r="134">
          <cell r="C134">
            <v>2.1343490304709101</v>
          </cell>
          <cell r="D134">
            <v>3.7990580847723701</v>
          </cell>
          <cell r="E134">
            <v>4.6966759002770004</v>
          </cell>
          <cell r="F134">
            <v>0.97331240188382995</v>
          </cell>
        </row>
        <row r="135">
          <cell r="C135">
            <v>2.6560480147737699</v>
          </cell>
          <cell r="D135">
            <v>9.8000000000000007</v>
          </cell>
          <cell r="E135">
            <v>5.19990766389658</v>
          </cell>
          <cell r="F135">
            <v>0.439560439560439</v>
          </cell>
        </row>
        <row r="148">
          <cell r="C148">
            <v>0.53500000000000003</v>
          </cell>
          <cell r="D148">
            <v>0.95</v>
          </cell>
          <cell r="E148">
            <v>2.65</v>
          </cell>
          <cell r="F148">
            <v>19.05</v>
          </cell>
        </row>
        <row r="149">
          <cell r="C149">
            <v>1.075</v>
          </cell>
          <cell r="D149">
            <v>1.4</v>
          </cell>
          <cell r="E149">
            <v>3.1718606779999998</v>
          </cell>
          <cell r="F149">
            <v>11.1</v>
          </cell>
        </row>
        <row r="150">
          <cell r="C150">
            <v>1.6</v>
          </cell>
          <cell r="D150">
            <v>2.8125</v>
          </cell>
        </row>
        <row r="151">
          <cell r="C151">
            <v>2.13</v>
          </cell>
          <cell r="D151">
            <v>2.4500000000000002</v>
          </cell>
        </row>
        <row r="152">
          <cell r="C152">
            <v>2.6494042163153</v>
          </cell>
          <cell r="D152">
            <v>7.1</v>
          </cell>
        </row>
        <row r="153">
          <cell r="C153">
            <v>3.17186067827681</v>
          </cell>
          <cell r="D153">
            <v>14.45</v>
          </cell>
        </row>
        <row r="165">
          <cell r="C165">
            <v>0.54464285714285698</v>
          </cell>
          <cell r="D165">
            <v>0.85496183206106802</v>
          </cell>
          <cell r="E165">
            <v>3.1749999999999998</v>
          </cell>
          <cell r="F165">
            <v>9.75</v>
          </cell>
        </row>
        <row r="166">
          <cell r="C166">
            <v>1.0803571428571399</v>
          </cell>
          <cell r="D166">
            <v>1.89312977099236</v>
          </cell>
          <cell r="E166">
            <v>3.6850000000000001</v>
          </cell>
          <cell r="F166">
            <v>4.3499999999999996</v>
          </cell>
        </row>
        <row r="167">
          <cell r="C167">
            <v>1.6026785714285701</v>
          </cell>
          <cell r="D167">
            <v>3.2977099236641201</v>
          </cell>
          <cell r="E167">
            <v>4.1964285714285703</v>
          </cell>
          <cell r="F167">
            <v>1.925</v>
          </cell>
        </row>
        <row r="168">
          <cell r="C168">
            <v>2.1294642857142798</v>
          </cell>
          <cell r="D168">
            <v>4.8244274809160297</v>
          </cell>
          <cell r="E168">
            <v>4.6950000000000003</v>
          </cell>
          <cell r="F168">
            <v>1.45</v>
          </cell>
        </row>
        <row r="169">
          <cell r="C169">
            <v>2.6428571428571401</v>
          </cell>
          <cell r="D169">
            <v>15.5114503816793</v>
          </cell>
          <cell r="E169">
            <v>5.2050000000000001</v>
          </cell>
          <cell r="F169">
            <v>0.977099236641221</v>
          </cell>
        </row>
        <row r="182">
          <cell r="C182">
            <v>0.540946314831665</v>
          </cell>
          <cell r="D182">
            <v>0.89922480620154999</v>
          </cell>
          <cell r="E182">
            <v>2.1151046405823402</v>
          </cell>
          <cell r="F182">
            <v>18.325581395348799</v>
          </cell>
        </row>
        <row r="183">
          <cell r="C183">
            <v>1.07779799818016</v>
          </cell>
          <cell r="D183">
            <v>1.86046511627906</v>
          </cell>
          <cell r="E183">
            <v>2.6428571428571401</v>
          </cell>
          <cell r="F183">
            <v>11.968992248061999</v>
          </cell>
        </row>
        <row r="184">
          <cell r="C184">
            <v>1.60555050045495</v>
          </cell>
          <cell r="D184">
            <v>4.3720930232558102</v>
          </cell>
          <cell r="E184">
            <v>3.1706096451319299</v>
          </cell>
          <cell r="F184">
            <v>7.8449612403100701</v>
          </cell>
        </row>
        <row r="185">
          <cell r="C185">
            <v>2.1242038216560499</v>
          </cell>
          <cell r="D185">
            <v>14.4806201550387</v>
          </cell>
          <cell r="E185">
            <v>3.6892629663330299</v>
          </cell>
          <cell r="F185">
            <v>4.8372093023255802</v>
          </cell>
        </row>
        <row r="186">
          <cell r="E186">
            <v>4.1897179253867103</v>
          </cell>
          <cell r="F186">
            <v>3.0077519379844899</v>
          </cell>
        </row>
        <row r="187">
          <cell r="E187">
            <v>4.69472247497725</v>
          </cell>
          <cell r="F187">
            <v>2.5116279069767402</v>
          </cell>
        </row>
        <row r="188">
          <cell r="E188">
            <v>5.19972702456778</v>
          </cell>
          <cell r="F188">
            <v>1.5813953488371999</v>
          </cell>
        </row>
        <row r="199">
          <cell r="C199">
            <v>0.53623188405797095</v>
          </cell>
          <cell r="D199">
            <v>0.893682588597842</v>
          </cell>
          <cell r="E199">
            <v>3.1721014492753601</v>
          </cell>
          <cell r="F199">
            <v>15.7</v>
          </cell>
        </row>
        <row r="200">
          <cell r="C200">
            <v>1.07518115942029</v>
          </cell>
          <cell r="D200">
            <v>1.8798151001540799</v>
          </cell>
          <cell r="E200">
            <v>3.6884057971014399</v>
          </cell>
          <cell r="F200">
            <v>10.1078582434514</v>
          </cell>
        </row>
        <row r="201">
          <cell r="C201">
            <v>1.60507246376811</v>
          </cell>
          <cell r="D201">
            <v>2.86594761171032</v>
          </cell>
          <cell r="E201">
            <v>4.7</v>
          </cell>
          <cell r="F201">
            <v>3.45</v>
          </cell>
        </row>
        <row r="202">
          <cell r="C202">
            <v>2.13043478260869</v>
          </cell>
          <cell r="D202">
            <v>3.2973805855161702</v>
          </cell>
          <cell r="E202">
            <v>5.2050000000000001</v>
          </cell>
          <cell r="F202">
            <v>1.95</v>
          </cell>
        </row>
        <row r="203">
          <cell r="C203">
            <v>2.65</v>
          </cell>
          <cell r="D203">
            <v>4.77657935285053</v>
          </cell>
        </row>
        <row r="204">
          <cell r="C204">
            <v>3.1749999999999998</v>
          </cell>
          <cell r="D204">
            <v>10.292758089368199</v>
          </cell>
        </row>
        <row r="205">
          <cell r="C205">
            <v>3.6884057971014399</v>
          </cell>
          <cell r="D205">
            <v>18.151001540831999</v>
          </cell>
        </row>
        <row r="216">
          <cell r="C216">
            <v>0.54</v>
          </cell>
          <cell r="D216">
            <v>0.97331240188382995</v>
          </cell>
          <cell r="E216">
            <v>4.6950321987120498</v>
          </cell>
          <cell r="F216">
            <v>15.395</v>
          </cell>
        </row>
        <row r="217">
          <cell r="C217">
            <v>1.08</v>
          </cell>
          <cell r="D217">
            <v>1.9780219780219701</v>
          </cell>
          <cell r="E217">
            <v>5.2</v>
          </cell>
          <cell r="F217">
            <v>5.4003139717425404</v>
          </cell>
        </row>
        <row r="218">
          <cell r="C218">
            <v>1.61</v>
          </cell>
          <cell r="D218">
            <v>2.4803767660910498</v>
          </cell>
        </row>
        <row r="219">
          <cell r="C219">
            <v>2.13</v>
          </cell>
          <cell r="D219">
            <v>2.9513343799057998</v>
          </cell>
        </row>
        <row r="220">
          <cell r="C220">
            <v>2.6549999999999998</v>
          </cell>
          <cell r="D220">
            <v>3.95604395604395</v>
          </cell>
        </row>
        <row r="221">
          <cell r="C221">
            <v>3.1749999999999998</v>
          </cell>
          <cell r="D221">
            <v>4.3328100470957596</v>
          </cell>
        </row>
        <row r="222">
          <cell r="C222">
            <v>3.69</v>
          </cell>
          <cell r="D222">
            <v>7.9120879120879097</v>
          </cell>
        </row>
        <row r="223">
          <cell r="C223">
            <v>4.1982520699172001</v>
          </cell>
          <cell r="D223">
            <v>7.2841444270015696</v>
          </cell>
        </row>
        <row r="224">
          <cell r="C224">
            <v>4.6950000000000003</v>
          </cell>
          <cell r="D224">
            <v>9.6075353218210306</v>
          </cell>
        </row>
        <row r="225">
          <cell r="C225">
            <v>5.2</v>
          </cell>
          <cell r="D225">
            <v>15.2276295133437</v>
          </cell>
        </row>
        <row r="233">
          <cell r="C233">
            <v>0.53693444136657398</v>
          </cell>
          <cell r="D233">
            <v>2.3861852433281001</v>
          </cell>
          <cell r="E233">
            <v>3.1731301939058101</v>
          </cell>
          <cell r="F233">
            <v>12.2448979591836</v>
          </cell>
        </row>
        <row r="234">
          <cell r="C234">
            <v>1.07710064635272</v>
          </cell>
          <cell r="D234">
            <v>2.9513343799057998</v>
          </cell>
          <cell r="E234">
            <v>3.69482917820867</v>
          </cell>
          <cell r="F234">
            <v>5.4317111459968599</v>
          </cell>
        </row>
        <row r="235">
          <cell r="C235">
            <v>1.5987996306555801</v>
          </cell>
          <cell r="D235">
            <v>5.2747252747252702</v>
          </cell>
          <cell r="E235">
            <v>4.19806094182825</v>
          </cell>
          <cell r="F235">
            <v>2.9513343799057998</v>
          </cell>
        </row>
        <row r="236">
          <cell r="C236">
            <v>2.1297322253000899</v>
          </cell>
          <cell r="D236">
            <v>7.3155416012558803</v>
          </cell>
          <cell r="E236">
            <v>4.6966759002770004</v>
          </cell>
          <cell r="F236">
            <v>2.5117739403453601</v>
          </cell>
        </row>
        <row r="237">
          <cell r="C237">
            <v>2.64681440443213</v>
          </cell>
          <cell r="D237">
            <v>13.5007849293563</v>
          </cell>
          <cell r="E237">
            <v>5.1952908587257598</v>
          </cell>
          <cell r="F237">
            <v>2.0408163265306101</v>
          </cell>
        </row>
        <row r="238">
          <cell r="C238">
            <v>3.1685133887349899</v>
          </cell>
          <cell r="D238">
            <v>20</v>
          </cell>
        </row>
        <row r="250">
          <cell r="C250">
            <v>0.54317789291882501</v>
          </cell>
          <cell r="D250">
            <v>2.9411764705882302</v>
          </cell>
          <cell r="E250">
            <v>2.6502590673575099</v>
          </cell>
          <cell r="F250">
            <v>6.3235294117647003</v>
          </cell>
        </row>
        <row r="251">
          <cell r="C251">
            <v>1.0785837651122601</v>
          </cell>
          <cell r="D251">
            <v>3.8235294117646998</v>
          </cell>
          <cell r="E251">
            <v>3.1727115716753</v>
          </cell>
          <cell r="F251">
            <v>3.8823529411764701</v>
          </cell>
        </row>
        <row r="252">
          <cell r="C252">
            <v>1.6053540587219299</v>
          </cell>
          <cell r="D252">
            <v>5.8823529411764701</v>
          </cell>
          <cell r="E252">
            <v>3.6908462867012002</v>
          </cell>
          <cell r="F252">
            <v>1.97058823529411</v>
          </cell>
        </row>
        <row r="253">
          <cell r="C253">
            <v>2.1278065630397198</v>
          </cell>
          <cell r="D253">
            <v>16.029411764705799</v>
          </cell>
          <cell r="E253">
            <v>4.1960276338514602</v>
          </cell>
          <cell r="F253">
            <v>1.47058823529411</v>
          </cell>
        </row>
        <row r="254">
          <cell r="E254">
            <v>4.6925734024179597</v>
          </cell>
          <cell r="F254">
            <v>1</v>
          </cell>
        </row>
        <row r="255">
          <cell r="E255">
            <v>5.2063903281519801</v>
          </cell>
          <cell r="F255">
            <v>2.94117647058823E-2</v>
          </cell>
        </row>
        <row r="267">
          <cell r="C267">
            <v>0.54946043165467595</v>
          </cell>
          <cell r="D267">
            <v>1.99692780337941</v>
          </cell>
          <cell r="E267">
            <v>3.6879496402877598</v>
          </cell>
          <cell r="F267">
            <v>11.029185867895499</v>
          </cell>
        </row>
        <row r="268">
          <cell r="C268">
            <v>1.08453237410071</v>
          </cell>
          <cell r="D268">
            <v>3.4408602150537599</v>
          </cell>
          <cell r="E268">
            <v>4.1915467625899199</v>
          </cell>
          <cell r="F268">
            <v>7.3732718894009199</v>
          </cell>
        </row>
        <row r="269">
          <cell r="C269">
            <v>1.6106115107913599</v>
          </cell>
          <cell r="D269">
            <v>3.4101382488479199</v>
          </cell>
          <cell r="E269">
            <v>4.6951438848920803</v>
          </cell>
          <cell r="F269">
            <v>4.8540706605222699</v>
          </cell>
        </row>
        <row r="270">
          <cell r="C270">
            <v>2.1321942446043098</v>
          </cell>
          <cell r="D270">
            <v>4.8540706605222699</v>
          </cell>
          <cell r="E270">
            <v>5.1987410071942399</v>
          </cell>
          <cell r="F270">
            <v>2.9800307219661999</v>
          </cell>
        </row>
        <row r="271">
          <cell r="C271">
            <v>2.6582733812949599</v>
          </cell>
          <cell r="D271">
            <v>4.7926267281105899</v>
          </cell>
        </row>
        <row r="272">
          <cell r="C272">
            <v>3.1798561151079099</v>
          </cell>
          <cell r="D272">
            <v>8.8786482334869401</v>
          </cell>
        </row>
        <row r="273">
          <cell r="C273">
            <v>3.6879496402877598</v>
          </cell>
          <cell r="D273">
            <v>14.009216589861699</v>
          </cell>
        </row>
        <row r="274">
          <cell r="C274">
            <v>4.1915467625899199</v>
          </cell>
          <cell r="D274">
            <v>17.235023041474602</v>
          </cell>
        </row>
        <row r="284">
          <cell r="C284">
            <v>0.54440497335701599</v>
          </cell>
          <cell r="D284">
            <v>2.39393939393939</v>
          </cell>
          <cell r="E284">
            <v>4.6918294849022999</v>
          </cell>
          <cell r="F284">
            <v>13.1818181818181</v>
          </cell>
        </row>
        <row r="285">
          <cell r="C285">
            <v>1.0817051509769</v>
          </cell>
          <cell r="D285">
            <v>3.3636363636363602</v>
          </cell>
          <cell r="E285">
            <v>5.1980461811722902</v>
          </cell>
          <cell r="F285">
            <v>5.39393939393939</v>
          </cell>
        </row>
        <row r="286">
          <cell r="C286">
            <v>1.6101243339253899</v>
          </cell>
          <cell r="D286">
            <v>2.87878787878787</v>
          </cell>
        </row>
        <row r="287">
          <cell r="C287">
            <v>2.13854351687388</v>
          </cell>
          <cell r="D287">
            <v>4.39393939393939</v>
          </cell>
        </row>
        <row r="288">
          <cell r="C288">
            <v>2.6580817051509702</v>
          </cell>
          <cell r="D288">
            <v>5.8484848484848397</v>
          </cell>
        </row>
        <row r="289">
          <cell r="C289">
            <v>3.1776198934280599</v>
          </cell>
          <cell r="D289">
            <v>6.1818181818181799</v>
          </cell>
        </row>
        <row r="290">
          <cell r="C290">
            <v>3.69271758436944</v>
          </cell>
          <cell r="D290">
            <v>9.3333333333333304</v>
          </cell>
        </row>
        <row r="291">
          <cell r="C291">
            <v>4.1989342806394303</v>
          </cell>
          <cell r="D291">
            <v>15.5757575757575</v>
          </cell>
        </row>
        <row r="301">
          <cell r="C301">
            <v>0.54432624113475103</v>
          </cell>
          <cell r="D301">
            <v>2.43161094224924</v>
          </cell>
          <cell r="E301">
            <v>3.1684397163120499</v>
          </cell>
          <cell r="F301">
            <v>15.319148936170199</v>
          </cell>
        </row>
        <row r="302">
          <cell r="C302">
            <v>1.08067375886524</v>
          </cell>
          <cell r="D302">
            <v>3.3434650455927</v>
          </cell>
          <cell r="E302">
            <v>4.19237588652482</v>
          </cell>
          <cell r="F302">
            <v>6.3221884498480199</v>
          </cell>
        </row>
        <row r="303">
          <cell r="C303">
            <v>1.6081560283687899</v>
          </cell>
          <cell r="D303">
            <v>4.8936170212765902</v>
          </cell>
          <cell r="E303">
            <v>4.6950000000000003</v>
          </cell>
          <cell r="F303">
            <v>4.8024316109422402</v>
          </cell>
        </row>
        <row r="304">
          <cell r="C304">
            <v>2.1356382978723398</v>
          </cell>
          <cell r="D304">
            <v>5.25835866261398</v>
          </cell>
          <cell r="E304">
            <v>5.2</v>
          </cell>
          <cell r="F304">
            <v>3.93</v>
          </cell>
        </row>
        <row r="305">
          <cell r="C305">
            <v>2.65868794326241</v>
          </cell>
          <cell r="D305">
            <v>7.2948328267477196</v>
          </cell>
        </row>
        <row r="306">
          <cell r="C306">
            <v>3.1773049645390001</v>
          </cell>
          <cell r="D306">
            <v>10.455927051671701</v>
          </cell>
        </row>
        <row r="307">
          <cell r="C307">
            <v>3.68</v>
          </cell>
          <cell r="D307">
            <v>17.72</v>
          </cell>
        </row>
        <row r="318">
          <cell r="C318">
            <v>0.53978779840848801</v>
          </cell>
          <cell r="D318">
            <v>1.90620272314674</v>
          </cell>
          <cell r="E318">
            <v>2.65</v>
          </cell>
          <cell r="F318">
            <v>11.649016639999999</v>
          </cell>
        </row>
        <row r="319">
          <cell r="C319">
            <v>1.07471264367816</v>
          </cell>
          <cell r="D319">
            <v>4.3570347957639903</v>
          </cell>
          <cell r="E319">
            <v>3.1702033599999999</v>
          </cell>
          <cell r="F319">
            <v>6.8381240539999997</v>
          </cell>
        </row>
        <row r="320">
          <cell r="C320">
            <v>1.60079575596816</v>
          </cell>
          <cell r="D320">
            <v>6.4145234493192103</v>
          </cell>
          <cell r="E320">
            <v>3.69</v>
          </cell>
          <cell r="F320">
            <v>3.963691377</v>
          </cell>
        </row>
        <row r="321">
          <cell r="C321">
            <v>2.1268788682581699</v>
          </cell>
          <cell r="D321">
            <v>9.7730711043872898</v>
          </cell>
          <cell r="E321">
            <v>4.2</v>
          </cell>
          <cell r="F321">
            <v>1.55</v>
          </cell>
        </row>
        <row r="322">
          <cell r="C322">
            <v>2.6485411140583501</v>
          </cell>
          <cell r="D322">
            <v>15.9757942511346</v>
          </cell>
          <cell r="E322">
            <v>4.7</v>
          </cell>
          <cell r="F322">
            <v>1.04</v>
          </cell>
        </row>
        <row r="323">
          <cell r="E323">
            <v>5.21</v>
          </cell>
          <cell r="F323">
            <v>0.64</v>
          </cell>
        </row>
        <row r="335">
          <cell r="C335">
            <v>0.54113345521023704</v>
          </cell>
          <cell r="D335">
            <v>3.8940809968847301</v>
          </cell>
          <cell r="E335">
            <v>2.65</v>
          </cell>
          <cell r="F335">
            <v>10.031152647975</v>
          </cell>
        </row>
        <row r="336">
          <cell r="C336">
            <v>1.0758683729433201</v>
          </cell>
          <cell r="D336">
            <v>4.4859813084112101</v>
          </cell>
          <cell r="E336">
            <v>3.1736745886654401</v>
          </cell>
          <cell r="F336">
            <v>5.0778816199376902</v>
          </cell>
        </row>
        <row r="337">
          <cell r="C337">
            <v>1.6014625228519099</v>
          </cell>
          <cell r="D337">
            <v>6.5109034267912698</v>
          </cell>
          <cell r="E337">
            <v>4.1900000000000004</v>
          </cell>
          <cell r="F337">
            <v>2.5545171339563799</v>
          </cell>
        </row>
        <row r="338">
          <cell r="C338">
            <v>2.1316270566727602</v>
          </cell>
          <cell r="D338">
            <v>12.056074766355099</v>
          </cell>
          <cell r="E338">
            <v>4.6900000000000004</v>
          </cell>
          <cell r="F338">
            <v>1.5264797507788099</v>
          </cell>
        </row>
        <row r="339">
          <cell r="E339">
            <v>5.2</v>
          </cell>
          <cell r="F339">
            <v>0.49844236760124599</v>
          </cell>
        </row>
        <row r="352">
          <cell r="C352">
            <v>0.53</v>
          </cell>
          <cell r="D352">
            <v>1.28</v>
          </cell>
          <cell r="E352">
            <v>2.12</v>
          </cell>
          <cell r="F352">
            <v>18.11</v>
          </cell>
        </row>
        <row r="353">
          <cell r="C353">
            <v>1.0649999999999999</v>
          </cell>
          <cell r="D353">
            <v>1.9578313253012001</v>
          </cell>
          <cell r="E353">
            <v>2.64</v>
          </cell>
          <cell r="F353">
            <v>5.89</v>
          </cell>
        </row>
        <row r="354">
          <cell r="C354">
            <v>1.60424028268551</v>
          </cell>
          <cell r="D354">
            <v>7.0783132530120403</v>
          </cell>
          <cell r="E354">
            <v>3.17</v>
          </cell>
          <cell r="F354">
            <v>3.3</v>
          </cell>
        </row>
        <row r="355">
          <cell r="C355">
            <v>2.12</v>
          </cell>
          <cell r="D355">
            <v>15.5722891566265</v>
          </cell>
          <cell r="E355">
            <v>3.6934628975265</v>
          </cell>
          <cell r="F355">
            <v>1.2951807228915599</v>
          </cell>
        </row>
        <row r="356">
          <cell r="E356">
            <v>4.20141342756183</v>
          </cell>
          <cell r="F356">
            <v>0.66265060240963802</v>
          </cell>
        </row>
        <row r="357">
          <cell r="E357">
            <v>4.7</v>
          </cell>
          <cell r="F357">
            <v>0.68</v>
          </cell>
        </row>
        <row r="358">
          <cell r="E358">
            <v>5.2040636042402797</v>
          </cell>
          <cell r="F358">
            <v>0.1</v>
          </cell>
        </row>
        <row r="369">
          <cell r="C369">
            <v>0.54587155963302703</v>
          </cell>
          <cell r="D369">
            <v>2.0124804992199601</v>
          </cell>
          <cell r="E369">
            <v>2.1284403669724701</v>
          </cell>
          <cell r="F369">
            <v>29.719188767550701</v>
          </cell>
        </row>
        <row r="370">
          <cell r="C370">
            <v>1.08</v>
          </cell>
          <cell r="D370">
            <v>7.95</v>
          </cell>
          <cell r="E370">
            <v>2.6467889908256801</v>
          </cell>
          <cell r="F370">
            <v>15.7254290171606</v>
          </cell>
        </row>
        <row r="371">
          <cell r="C371">
            <v>1.6055045871559599</v>
          </cell>
          <cell r="D371">
            <v>13.806552262090401</v>
          </cell>
          <cell r="E371">
            <v>3.1697247706421998</v>
          </cell>
          <cell r="F371">
            <v>9.7815912636505402</v>
          </cell>
        </row>
        <row r="372">
          <cell r="C372">
            <v>2.1330275229357798</v>
          </cell>
          <cell r="D372">
            <v>27.659906396255799</v>
          </cell>
          <cell r="E372">
            <v>3.6972477064220102</v>
          </cell>
          <cell r="F372">
            <v>6.0374414976599002</v>
          </cell>
        </row>
        <row r="373">
          <cell r="E373">
            <v>4.1972477064220097</v>
          </cell>
          <cell r="F373">
            <v>5.8970358814352499</v>
          </cell>
        </row>
        <row r="374">
          <cell r="E374">
            <v>4.7018348623853203</v>
          </cell>
          <cell r="F374">
            <v>2.1528861154446099</v>
          </cell>
        </row>
        <row r="375">
          <cell r="E375">
            <v>5.2064220183486203</v>
          </cell>
          <cell r="F375">
            <v>2.1060842433697302</v>
          </cell>
        </row>
        <row r="386">
          <cell r="C386">
            <v>0.53558718861209897</v>
          </cell>
          <cell r="D386">
            <v>0.88145896656534894</v>
          </cell>
          <cell r="E386">
            <v>4.6814946619217004</v>
          </cell>
          <cell r="F386">
            <v>11.3981762917933</v>
          </cell>
        </row>
        <row r="387">
          <cell r="C387">
            <v>1.0738434163701001</v>
          </cell>
          <cell r="D387">
            <v>2.4620060790273501</v>
          </cell>
          <cell r="E387">
            <v>5.1975088967971503</v>
          </cell>
          <cell r="F387">
            <v>5.8662613981762899</v>
          </cell>
        </row>
        <row r="388">
          <cell r="C388">
            <v>1.6032028469750801</v>
          </cell>
          <cell r="D388">
            <v>2.88753799392097</v>
          </cell>
        </row>
        <row r="389">
          <cell r="C389">
            <v>2.1281138790035499</v>
          </cell>
          <cell r="D389">
            <v>4.3161094224924001</v>
          </cell>
        </row>
        <row r="390">
          <cell r="C390">
            <v>2.6530249110320199</v>
          </cell>
          <cell r="D390">
            <v>5.18</v>
          </cell>
        </row>
        <row r="391">
          <cell r="C391">
            <v>3.1645907473309598</v>
          </cell>
          <cell r="D391">
            <v>6.2917933130699</v>
          </cell>
        </row>
        <row r="392">
          <cell r="C392">
            <v>3.6895017793594298</v>
          </cell>
          <cell r="D392">
            <v>7.9939209726443696</v>
          </cell>
        </row>
        <row r="393">
          <cell r="C393">
            <v>4.1877224199288197</v>
          </cell>
          <cell r="D393">
            <v>9.3920972644376892</v>
          </cell>
        </row>
        <row r="394">
          <cell r="C394">
            <v>4.6859430604982197</v>
          </cell>
          <cell r="D394">
            <v>14.285714285714199</v>
          </cell>
        </row>
        <row r="403">
          <cell r="C403">
            <v>0.54520795660036103</v>
          </cell>
          <cell r="D403">
            <v>2.37</v>
          </cell>
          <cell r="E403">
            <v>3.1749999999999998</v>
          </cell>
          <cell r="F403">
            <v>17.100000000000001</v>
          </cell>
        </row>
        <row r="404">
          <cell r="C404">
            <v>1.08318264014466</v>
          </cell>
          <cell r="D404">
            <v>3.9</v>
          </cell>
          <cell r="E404">
            <v>3.6909999999999998</v>
          </cell>
          <cell r="F404">
            <v>9.6199999999999992</v>
          </cell>
        </row>
        <row r="405">
          <cell r="C405">
            <v>1.62</v>
          </cell>
          <cell r="D405">
            <v>5.31</v>
          </cell>
          <cell r="E405">
            <v>4.2</v>
          </cell>
          <cell r="F405">
            <v>4.8499999999999996</v>
          </cell>
        </row>
        <row r="406">
          <cell r="C406">
            <v>2.14</v>
          </cell>
          <cell r="D406">
            <v>7.15</v>
          </cell>
          <cell r="E406">
            <v>4.7</v>
          </cell>
          <cell r="F406">
            <v>3.9</v>
          </cell>
        </row>
        <row r="407">
          <cell r="C407">
            <v>2.66</v>
          </cell>
          <cell r="D407">
            <v>10.4923076923076</v>
          </cell>
          <cell r="E407">
            <v>5.2050000000000001</v>
          </cell>
          <cell r="F407">
            <v>2.4</v>
          </cell>
        </row>
        <row r="408">
          <cell r="C408">
            <v>3.18</v>
          </cell>
          <cell r="D408">
            <v>13.7846153846153</v>
          </cell>
        </row>
        <row r="409">
          <cell r="C409">
            <v>3.6949999999999998</v>
          </cell>
          <cell r="D409">
            <v>18.315000000000001</v>
          </cell>
        </row>
        <row r="420">
          <cell r="C420">
            <v>0.53533568904593598</v>
          </cell>
          <cell r="D420">
            <v>4.7297297297297298</v>
          </cell>
          <cell r="E420">
            <v>2.64664310954063</v>
          </cell>
          <cell r="F420">
            <v>16.936936936936899</v>
          </cell>
        </row>
        <row r="421">
          <cell r="C421">
            <v>1.0786219081271999</v>
          </cell>
          <cell r="D421">
            <v>5.6306306306306304</v>
          </cell>
          <cell r="E421">
            <v>3.1678445229681902</v>
          </cell>
          <cell r="F421">
            <v>8.7837837837837807</v>
          </cell>
        </row>
        <row r="422">
          <cell r="C422">
            <v>1.5998233215547699</v>
          </cell>
          <cell r="D422">
            <v>9.6846846846846795</v>
          </cell>
          <cell r="E422">
            <v>3.6846289752650101</v>
          </cell>
          <cell r="F422">
            <v>4.7297297297297298</v>
          </cell>
        </row>
        <row r="423">
          <cell r="C423">
            <v>2.1342756183745499</v>
          </cell>
          <cell r="D423">
            <v>10.495495495495399</v>
          </cell>
          <cell r="E423">
            <v>4.1925795053003503</v>
          </cell>
          <cell r="F423">
            <v>3.91891891891891</v>
          </cell>
        </row>
        <row r="424">
          <cell r="C424">
            <v>2.6554770318021199</v>
          </cell>
          <cell r="D424">
            <v>15</v>
          </cell>
          <cell r="E424">
            <v>4.6916961130742001</v>
          </cell>
          <cell r="F424">
            <v>1.9819819819819799</v>
          </cell>
        </row>
        <row r="425">
          <cell r="C425">
            <v>3.1678445229681902</v>
          </cell>
          <cell r="D425">
            <v>25.270270270270199</v>
          </cell>
          <cell r="E425">
            <v>5.1952296819787902</v>
          </cell>
          <cell r="F425">
            <v>2.07207207207207</v>
          </cell>
        </row>
        <row r="437">
          <cell r="C437">
            <v>0.531222123104371</v>
          </cell>
          <cell r="D437">
            <v>9.6347031963470293</v>
          </cell>
          <cell r="E437">
            <v>2.65</v>
          </cell>
          <cell r="F437">
            <v>17.350000000000001</v>
          </cell>
        </row>
        <row r="438">
          <cell r="C438">
            <v>1.07091882247992</v>
          </cell>
          <cell r="D438">
            <v>11.324200913242001</v>
          </cell>
          <cell r="E438">
            <v>3.1749999999999998</v>
          </cell>
          <cell r="F438">
            <v>11.5</v>
          </cell>
        </row>
        <row r="439">
          <cell r="C439">
            <v>1.59277430865298</v>
          </cell>
          <cell r="D439">
            <v>15.570776255707701</v>
          </cell>
          <cell r="E439">
            <v>3.6891168599464699</v>
          </cell>
          <cell r="F439">
            <v>7.6255707762557003</v>
          </cell>
        </row>
        <row r="440">
          <cell r="C440">
            <v>2.1235504014272899</v>
          </cell>
          <cell r="D440">
            <v>19.1324200913242</v>
          </cell>
          <cell r="E440">
            <v>4.1931311329170304</v>
          </cell>
          <cell r="F440">
            <v>5.93607305936073</v>
          </cell>
        </row>
        <row r="441">
          <cell r="E441">
            <v>4.6882247992863499</v>
          </cell>
          <cell r="F441">
            <v>4.0639269406392602</v>
          </cell>
        </row>
        <row r="442">
          <cell r="E442">
            <v>5.2011596788581604</v>
          </cell>
          <cell r="F442">
            <v>2.1461187214611801</v>
          </cell>
        </row>
        <row r="454">
          <cell r="C454">
            <v>0.53913043478260803</v>
          </cell>
          <cell r="D454">
            <v>5.7566765578635</v>
          </cell>
          <cell r="E454">
            <v>1.07391304347826</v>
          </cell>
          <cell r="F454">
            <v>8.1008902077151301</v>
          </cell>
        </row>
        <row r="455">
          <cell r="C455">
            <v>1.0782608695652101</v>
          </cell>
          <cell r="D455">
            <v>7.1513353115726996</v>
          </cell>
          <cell r="E455">
            <v>1.6</v>
          </cell>
          <cell r="F455">
            <v>5.8160237388724001</v>
          </cell>
        </row>
        <row r="456">
          <cell r="C456">
            <v>1.6</v>
          </cell>
          <cell r="D456">
            <v>11.1275964391691</v>
          </cell>
          <cell r="E456">
            <v>2.1217391304347801</v>
          </cell>
          <cell r="F456">
            <v>3.7388724035608298</v>
          </cell>
        </row>
        <row r="457">
          <cell r="E457">
            <v>2.64782608695652</v>
          </cell>
          <cell r="F457">
            <v>3.79821958456973</v>
          </cell>
        </row>
        <row r="458">
          <cell r="E458">
            <v>3.1739130434782599</v>
          </cell>
          <cell r="F458">
            <v>1.5133531157269999</v>
          </cell>
        </row>
        <row r="459">
          <cell r="E459">
            <v>3.6956521739130399</v>
          </cell>
          <cell r="F459">
            <v>0.53412462908011804</v>
          </cell>
        </row>
        <row r="460">
          <cell r="E460">
            <v>4.2</v>
          </cell>
          <cell r="F460">
            <v>0.53412462908011804</v>
          </cell>
        </row>
        <row r="461">
          <cell r="E461">
            <v>4.6956521739130404</v>
          </cell>
          <cell r="F461">
            <v>0.56379821958456899</v>
          </cell>
        </row>
        <row r="462">
          <cell r="E462">
            <v>5.2043478260869502</v>
          </cell>
          <cell r="F462">
            <v>0</v>
          </cell>
        </row>
      </sheetData>
      <sheetData sheetId="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B50ED3-1190-49B5-A12F-B17884641E91}" name="Table17" displayName="Table17" ref="A1:F20" totalsRowShown="0" headerRowDxfId="9" headerRowBorderDxfId="7" tableBorderDxfId="8" totalsRowBorderDxfId="6">
  <autoFilter ref="A1:F20" xr:uid="{CB1424FC-215E-4C96-985D-54B8757C10AC}"/>
  <tableColumns count="6">
    <tableColumn id="1" xr3:uid="{C90EB825-7A49-4723-83AF-CE9B17097000}" name="Year" dataDxfId="5"/>
    <tableColumn id="2" xr3:uid="{54F34657-A5E9-4C33-A982-1475651BDE8B}" name="Type" dataDxfId="4"/>
    <tableColumn id="3" xr3:uid="{25A24A7C-F639-4709-9E18-68CC1568275B}" name="Core Floof Sample" dataDxfId="3"/>
    <tableColumn id="4" xr3:uid="{AB6812AB-7FF1-4367-84AC-1DE4BCFFF6C0}" name="Alkali Type &amp; Concentration  " dataDxfId="2"/>
    <tableColumn id="5" xr3:uid="{67E52D84-0AF8-47C5-80D7-FFC0468386C7}" name="Surfactant Type &amp; Concentration" dataDxfId="1"/>
    <tableColumn id="6" xr3:uid="{4A9EE795-4191-4835-BEDC-E7587690B761}" name="Polymer Type &amp; Concentration  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4F1ED4-8CE4-4E56-8799-D46B6554EF66}" name="Table14" displayName="Table14" ref="A1:F33" totalsRowShown="0" headerRowDxfId="45" dataDxfId="44">
  <autoFilter ref="A1:F33" xr:uid="{E77BBFFB-03B5-4522-8DE0-2911D7FE18B3}"/>
  <tableColumns count="6">
    <tableColumn id="1" xr3:uid="{FE3FD289-90A8-4141-8F57-D00D65524C2F}" name="Sample No " dataDxfId="43"/>
    <tableColumn id="2" xr3:uid="{9DE1D98E-58D0-41CC-8EE5-88E1545C1EE6}" name="Year " dataDxfId="42"/>
    <tableColumn id="3" xr3:uid="{0664F6E6-2F40-4EEF-BF87-A7ACF413A33D}" name="Field " dataDxfId="41"/>
    <tableColumn id="4" xr3:uid="{D6BEE65D-CDB0-49C3-AB3B-D9DB10E62FB3}" name="Surfactant " dataDxfId="40"/>
    <tableColumn id="5" xr3:uid="{137E0FF6-B974-458B-B498-26BAD6F32A95}" name="Days " dataDxfId="39"/>
    <tableColumn id="6" xr3:uid="{DB8728A6-EA53-4BDB-81FC-CEDFB36EFD8E}" name="Adsorption c/cO" dataDxfId="38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5DA6C7-FF37-4B83-A871-E9EE7A1F353B}" name="Table13" displayName="Table13" ref="A1:U20" totalsRowShown="0" headerRowDxfId="68" dataDxfId="67">
  <autoFilter ref="A1:U20" xr:uid="{C458934B-71B6-4782-9990-7FDC0CF47CCC}"/>
  <tableColumns count="21">
    <tableColumn id="1" xr3:uid="{5BC668F4-15E0-41A5-94CB-222D33D97805}" name="Core sample" dataDxfId="66"/>
    <tableColumn id="2" xr3:uid="{D46B6B64-7FAA-4F09-9DEB-7158099B0A29}" name="Year" dataDxfId="65"/>
    <tableColumn id="3" xr3:uid="{925908AB-0CB5-4752-805E-F95E7B7F1996}" name="Initial Oil Saturation, Soi  (OOIP % PV) " dataDxfId="64"/>
    <tableColumn id="4" xr3:uid="{000050D7-0A4E-446E-B199-B9935D545AD3}" name="Initial Water  Saturation, Swi,% PV" dataDxfId="63"/>
    <tableColumn id="5" xr3:uid="{789780FA-317C-4322-AB90-35FD7CBFBB53}" name="Water Flood Recovery, % OOIP " dataDxfId="62"/>
    <tableColumn id="6" xr3:uid="{92F0B1D1-0002-4E2B-AEF5-B687625EF517}" name="Water Flood Recovery, % PV " dataDxfId="61"/>
    <tableColumn id="7" xr3:uid="{0DDC3E19-25DD-4226-A293-6ABEC54F883C}" name="Residual Oil Saturation after WF , Sorw, % OOIP" dataDxfId="60"/>
    <tableColumn id="8" xr3:uid="{681EC11B-F212-4D12-8190-6AA52B22D3A1}" name="Residual Oil Saturation after WF , Sorw, % PV" dataDxfId="59"/>
    <tableColumn id="9" xr3:uid="{C337445F-84C3-42B5-A650-1E1B0690B9A3}" name="Alkaline- Surfactant (AS) Recovery, % OOIP " dataDxfId="58"/>
    <tableColumn id="10" xr3:uid="{B5B8F6AE-7D7C-4853-999B-DC5AF91FD8E9}" name="Alkaline- Surfactant (AS) Recovery , % PV" dataDxfId="57"/>
    <tableColumn id="11" xr3:uid="{EB6DF9AC-147E-432C-B19B-7DE77F3C697C}" name="Residual Oil Saturation after AS , Sorc (AS), % OOIP" dataDxfId="56"/>
    <tableColumn id="12" xr3:uid="{27E5456E-14FE-4947-BAC7-897D78FC09AB}" name="Residual Oil Saturation after AS , Sorc (AS), % PV" dataDxfId="55"/>
    <tableColumn id="13" xr3:uid="{1243F82C-C896-4D57-BA78-01BEB4110737}" name="Recovery Factor (AS)= Soi-Sorc/Soi, %" dataDxfId="54"/>
    <tableColumn id="14" xr3:uid="{BF0B77F5-C18B-4B6A-8462-B492A825477A}" name="% Sor Reduction (AS) = Sorw- Sorc / Sorw, %" dataDxfId="53"/>
    <tableColumn id="15" xr3:uid="{2DC921A9-A096-4A08-88A9-675B0E5D4794}" name="Polymer (P) Recovery, % OOIP " dataDxfId="52"/>
    <tableColumn id="16" xr3:uid="{E23CC6FC-DD99-4750-8BF9-65A056A332CA}" name="Polymer (P) Recovery, % PV " dataDxfId="51"/>
    <tableColumn id="17" xr3:uid="{DC99F77D-8F05-4BF6-908B-7807CCB57DD8}" name="Residual Oil Saturation after Polymer Recovery, Sorp (P), % OOIP" dataDxfId="50"/>
    <tableColumn id="18" xr3:uid="{8736D09C-6C84-472E-951E-2B741438CDD1}" name="Residual Oil Saturation after Polymer Recovery, Sorp (P), % PV" dataDxfId="49"/>
    <tableColumn id="19" xr3:uid="{33269629-051C-4ABB-8C64-9815183BC9FF}" name="Recovery Factor (AS,P)= Soi-Sorp/Soi, %" dataDxfId="48"/>
    <tableColumn id="20" xr3:uid="{0D39E6D8-5433-4A26-8CCC-996B90036682}" name="% Sor Reduction (AS,P) = Sorw- Sorp / Sorw, %" dataDxfId="47"/>
    <tableColumn id="21" xr3:uid="{DB8D4029-C389-499C-B309-4938A689E02E}" name="% Sor Reduction (SP) = Sorw- Sorp / Sorw" dataDxfId="46"/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37640F-B8B3-4057-98B9-3D972754A0A4}" name="Table1" displayName="Table1" ref="A1:E20" totalsRowShown="0" headerRowDxfId="75" dataDxfId="74">
  <autoFilter ref="A1:E20" xr:uid="{DC554C49-C245-4873-8E1E-4E84CEBD48CD}"/>
  <tableColumns count="5">
    <tableColumn id="1" xr3:uid="{C7E6B523-C39B-4A59-ACE7-C5EFE1C08EF6}" name="Core sample" dataDxfId="73"/>
    <tableColumn id="2" xr3:uid="{6272395E-C26B-49E6-AC64-48CC29B6EFAF}" name="Year" dataDxfId="72"/>
    <tableColumn id="3" xr3:uid="{623BBF9A-D011-46E9-8156-21EB4B742C23}" name="% Sor Reduction (AS) = Sorw- Sorc / Sorw, %" dataDxfId="71"/>
    <tableColumn id="4" xr3:uid="{0E17B0FC-A040-4857-B37B-C441878600FC}" name="% Sor Reduction (AS,P) = Sorw- Sorp / Sorw, %" dataDxfId="70"/>
    <tableColumn id="5" xr3:uid="{3F840E2E-003E-4057-BF4A-8A1E385CE89E}" name="% Sor Reduction (SP) = Sorw- Sorp / Sorw" dataDxfId="69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573D0A-53F5-4882-BA08-C000671FF694}" name="Table15" displayName="Table15" ref="A1:P38" totalsRowShown="0" headerRowDxfId="37">
  <autoFilter ref="A1:P38" xr:uid="{0E012D16-7F87-4BE1-A295-532C9567048D}"/>
  <tableColumns count="16">
    <tableColumn id="1" xr3:uid="{1143CFE9-C742-4E45-A46C-D088AF3F2067}" name="Field"/>
    <tableColumn id="2" xr3:uid="{C9984ADE-99EB-40E4-B56F-7DDC460153D3}" name="Reservoir"/>
    <tableColumn id="3" xr3:uid="{7D1422FA-CA30-4531-94D4-524AB057FF5E}" name="STOIIP (MMSTB)" dataDxfId="36"/>
    <tableColumn id="4" xr3:uid="{5D5D63A6-EC67-4BC2-8D49-37E449FDE252}" name="Recovery_Factor_pct"/>
    <tableColumn id="5" xr3:uid="{752D45AE-872D-4055-ACF8-DAD12DD66C5F}" name="Present_EUR_MMSTB"/>
    <tableColumn id="6" xr3:uid="{817ADDC0-89E3-4FA3-B774-33CBAB980EB7}" name="Avg_Porosity_pct"/>
    <tableColumn id="7" xr3:uid="{88E3C336-D623-4BEF-913A-66FA297538D4}" name="Initial_Oil_Sat_pct"/>
    <tableColumn id="8" xr3:uid="{AEB9CB2C-DDB2-4A2A-BD1B-2723FEC5319E}" name="Current_Oil_Sat_pct"/>
    <tableColumn id="9" xr3:uid="{FFDBCAB0-FC02-47F3-9505-9C5FE31C9CD1}" name="Initial_Reservoir_Pressure_kPa"/>
    <tableColumn id="10" xr3:uid="{259734BA-E56A-4075-9233-1A73BD6780C9}" name="Current_Reservoir_Pressure_kPa"/>
    <tableColumn id="11" xr3:uid="{F507E6C9-97F5-490D-A5C2-9E1EA8FF5E50}" name="Fracture_Pressure_kPa"/>
    <tableColumn id="12" xr3:uid="{3AC8F8AB-1546-47EA-9DCF-0A6B24A8EB34}" name="Reservoir_Temperature_C"/>
    <tableColumn id="13" xr3:uid="{51881183-6A2A-4EB8-AA74-90C6C6117464}" name="MOST SUITABLE PROCESS"/>
    <tableColumn id="14" xr3:uid="{CB25A57A-9A30-4D11-9004-1E3F65C74BC1}" name="OTHERS PASS METHOD"/>
    <tableColumn id="15" xr3:uid="{471377EF-A19B-4609-B4DD-840DC7F3B270}" name="INCREMENTAL EUR (%OOIP)"/>
    <tableColumn id="16" xr3:uid="{690F7AEF-E034-4CB6-830F-8D141B01D619}" name="INCREMENTAL EUR (MMSTB)" dataDxfId="35">
      <calculatedColumnFormula>O2*C2/100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5EAA82-5130-4164-81A6-9C0F884EEA38}" name="Table3" displayName="Table3" ref="A1:F23" totalsRowShown="0" headerRowDxfId="34" headerRowBorderDxfId="32" tableBorderDxfId="33">
  <autoFilter ref="A1:F23" xr:uid="{3994E82A-395F-445C-9BDD-CA6363D1A92B}"/>
  <sortState xmlns:xlrd2="http://schemas.microsoft.com/office/spreadsheetml/2017/richdata2" ref="A2:F23">
    <sortCondition ref="B1:B23"/>
  </sortState>
  <tableColumns count="6">
    <tableColumn id="1" xr3:uid="{B30BC76F-730D-46DE-B672-4ACAA7B554BC}" name="Field"/>
    <tableColumn id="2" xr3:uid="{B6B82C69-9BDC-4DDA-A614-427A05735480}" name="Reservoir"/>
    <tableColumn id="3" xr3:uid="{732DC21A-E55E-43F3-BF03-7C2696525750}" name="STOIIP_MMSTB"/>
    <tableColumn id="4" xr3:uid="{E4FB3357-4F73-47B5-AC26-4B4F6D69783D}" name="Most_Suitable_Process"/>
    <tableColumn id="5" xr3:uid="{A4EE3F15-02E3-4E3D-8043-D6ED89D50EC2}" name="Incremental_EUR_pct_OOIP"/>
    <tableColumn id="6" xr3:uid="{0C991173-3861-4AD4-9E95-82A3A4D9A4F7}" name="Incremental_EUR_MMSTB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B310-BC94-44C2-A2D4-D611AFA123D1}">
  <dimension ref="A1:F20"/>
  <sheetViews>
    <sheetView tabSelected="1" workbookViewId="0">
      <selection activeCell="D13" sqref="D13"/>
    </sheetView>
  </sheetViews>
  <sheetFormatPr defaultRowHeight="14"/>
  <cols>
    <col min="1" max="2" width="8.6640625" style="38"/>
    <col min="3" max="3" width="24.5" style="38" customWidth="1"/>
    <col min="4" max="4" width="25.75" style="38" customWidth="1"/>
    <col min="5" max="5" width="31.08203125" style="38" customWidth="1"/>
    <col min="6" max="6" width="30.33203125" style="38" customWidth="1"/>
    <col min="7" max="16384" width="8.6640625" style="38"/>
  </cols>
  <sheetData>
    <row r="1" spans="1:6">
      <c r="A1" s="299" t="s">
        <v>255</v>
      </c>
      <c r="B1" s="300" t="s">
        <v>362</v>
      </c>
      <c r="C1" s="301" t="s">
        <v>1081</v>
      </c>
      <c r="D1" s="302" t="s">
        <v>1082</v>
      </c>
      <c r="E1" s="302" t="s">
        <v>1083</v>
      </c>
      <c r="F1" s="303" t="s">
        <v>1084</v>
      </c>
    </row>
    <row r="2" spans="1:6">
      <c r="A2" s="304">
        <v>2013</v>
      </c>
      <c r="B2" s="305" t="s">
        <v>101</v>
      </c>
      <c r="C2" s="306" t="s">
        <v>537</v>
      </c>
      <c r="D2" s="307" t="s">
        <v>1085</v>
      </c>
      <c r="E2" s="307" t="s">
        <v>1086</v>
      </c>
      <c r="F2" s="308" t="s">
        <v>1087</v>
      </c>
    </row>
    <row r="3" spans="1:6">
      <c r="A3" s="304">
        <v>2013</v>
      </c>
      <c r="B3" s="305" t="s">
        <v>101</v>
      </c>
      <c r="C3" s="309" t="s">
        <v>538</v>
      </c>
      <c r="D3" s="307" t="s">
        <v>1088</v>
      </c>
      <c r="E3" s="307" t="s">
        <v>1086</v>
      </c>
      <c r="F3" s="308" t="s">
        <v>1087</v>
      </c>
    </row>
    <row r="4" spans="1:6">
      <c r="A4" s="304">
        <v>2013</v>
      </c>
      <c r="B4" s="305" t="s">
        <v>101</v>
      </c>
      <c r="C4" s="306" t="s">
        <v>539</v>
      </c>
      <c r="D4" s="307" t="s">
        <v>1085</v>
      </c>
      <c r="E4" s="307" t="s">
        <v>1086</v>
      </c>
      <c r="F4" s="308" t="s">
        <v>1087</v>
      </c>
    </row>
    <row r="5" spans="1:6">
      <c r="A5" s="304">
        <v>2013</v>
      </c>
      <c r="B5" s="305" t="s">
        <v>101</v>
      </c>
      <c r="C5" s="310" t="s">
        <v>540</v>
      </c>
      <c r="D5" s="307" t="s">
        <v>1088</v>
      </c>
      <c r="E5" s="307" t="s">
        <v>1086</v>
      </c>
      <c r="F5" s="308" t="s">
        <v>1087</v>
      </c>
    </row>
    <row r="6" spans="1:6">
      <c r="A6" s="304">
        <v>2013</v>
      </c>
      <c r="B6" s="305" t="s">
        <v>101</v>
      </c>
      <c r="C6" s="306" t="s">
        <v>541</v>
      </c>
      <c r="D6" s="307" t="s">
        <v>1085</v>
      </c>
      <c r="E6" s="307" t="s">
        <v>1086</v>
      </c>
      <c r="F6" s="308" t="s">
        <v>1087</v>
      </c>
    </row>
    <row r="7" spans="1:6">
      <c r="A7" s="304">
        <v>2003</v>
      </c>
      <c r="B7" s="305" t="s">
        <v>101</v>
      </c>
      <c r="C7" s="306" t="s">
        <v>542</v>
      </c>
      <c r="D7" s="311" t="s">
        <v>1089</v>
      </c>
      <c r="E7" s="311" t="s">
        <v>1090</v>
      </c>
      <c r="F7" s="312" t="s">
        <v>1091</v>
      </c>
    </row>
    <row r="8" spans="1:6">
      <c r="A8" s="304">
        <v>2003</v>
      </c>
      <c r="B8" s="305" t="s">
        <v>101</v>
      </c>
      <c r="C8" s="306" t="s">
        <v>543</v>
      </c>
      <c r="D8" s="311" t="s">
        <v>1092</v>
      </c>
      <c r="E8" s="313" t="s">
        <v>1093</v>
      </c>
      <c r="F8" s="312" t="s">
        <v>1094</v>
      </c>
    </row>
    <row r="9" spans="1:6">
      <c r="A9" s="304">
        <v>2003</v>
      </c>
      <c r="B9" s="305" t="s">
        <v>100</v>
      </c>
      <c r="C9" s="306" t="s">
        <v>544</v>
      </c>
      <c r="D9" s="311" t="s">
        <v>472</v>
      </c>
      <c r="E9" s="313" t="s">
        <v>1095</v>
      </c>
      <c r="F9" s="312" t="s">
        <v>1096</v>
      </c>
    </row>
    <row r="10" spans="1:6">
      <c r="A10" s="304">
        <v>2003</v>
      </c>
      <c r="B10" s="305" t="s">
        <v>101</v>
      </c>
      <c r="C10" s="306" t="s">
        <v>545</v>
      </c>
      <c r="D10" s="311" t="s">
        <v>472</v>
      </c>
      <c r="E10" s="313" t="s">
        <v>1093</v>
      </c>
      <c r="F10" s="312" t="s">
        <v>1097</v>
      </c>
    </row>
    <row r="11" spans="1:6">
      <c r="A11" s="304">
        <v>2003</v>
      </c>
      <c r="B11" s="305" t="s">
        <v>1098</v>
      </c>
      <c r="C11" s="306" t="s">
        <v>546</v>
      </c>
      <c r="D11" s="314" t="s">
        <v>472</v>
      </c>
      <c r="E11" s="314" t="s">
        <v>1099</v>
      </c>
      <c r="F11" s="315" t="s">
        <v>472</v>
      </c>
    </row>
    <row r="12" spans="1:6">
      <c r="A12" s="304">
        <v>2003</v>
      </c>
      <c r="B12" s="305" t="s">
        <v>1100</v>
      </c>
      <c r="C12" s="306" t="s">
        <v>547</v>
      </c>
      <c r="D12" s="314" t="s">
        <v>1101</v>
      </c>
      <c r="E12" s="314" t="s">
        <v>1102</v>
      </c>
      <c r="F12" s="315" t="s">
        <v>472</v>
      </c>
    </row>
    <row r="13" spans="1:6">
      <c r="A13" s="304">
        <v>2003</v>
      </c>
      <c r="B13" s="305" t="s">
        <v>100</v>
      </c>
      <c r="C13" s="306" t="s">
        <v>548</v>
      </c>
      <c r="D13" s="314" t="s">
        <v>472</v>
      </c>
      <c r="E13" s="314" t="s">
        <v>1103</v>
      </c>
      <c r="F13" s="315" t="s">
        <v>1104</v>
      </c>
    </row>
    <row r="14" spans="1:6">
      <c r="A14" s="304">
        <v>2003</v>
      </c>
      <c r="B14" s="305" t="s">
        <v>101</v>
      </c>
      <c r="C14" s="306" t="s">
        <v>549</v>
      </c>
      <c r="D14" s="314" t="s">
        <v>1085</v>
      </c>
      <c r="E14" s="314" t="s">
        <v>1105</v>
      </c>
      <c r="F14" s="315" t="s">
        <v>1106</v>
      </c>
    </row>
    <row r="15" spans="1:6">
      <c r="A15" s="304">
        <v>2003</v>
      </c>
      <c r="B15" s="305" t="s">
        <v>101</v>
      </c>
      <c r="C15" s="306" t="s">
        <v>550</v>
      </c>
      <c r="D15" s="314" t="s">
        <v>1085</v>
      </c>
      <c r="E15" s="314" t="s">
        <v>1105</v>
      </c>
      <c r="F15" s="315" t="s">
        <v>1107</v>
      </c>
    </row>
    <row r="16" spans="1:6">
      <c r="A16" s="304">
        <v>2003</v>
      </c>
      <c r="B16" s="305" t="s">
        <v>1100</v>
      </c>
      <c r="C16" s="306" t="s">
        <v>551</v>
      </c>
      <c r="D16" s="314" t="s">
        <v>1085</v>
      </c>
      <c r="E16" s="314" t="s">
        <v>1105</v>
      </c>
      <c r="F16" s="315" t="s">
        <v>472</v>
      </c>
    </row>
    <row r="17" spans="1:6">
      <c r="A17" s="304">
        <v>2003</v>
      </c>
      <c r="B17" s="305" t="s">
        <v>101</v>
      </c>
      <c r="C17" s="306" t="s">
        <v>552</v>
      </c>
      <c r="D17" s="314" t="s">
        <v>1108</v>
      </c>
      <c r="E17" s="314" t="s">
        <v>1109</v>
      </c>
      <c r="F17" s="315" t="s">
        <v>1106</v>
      </c>
    </row>
    <row r="18" spans="1:6">
      <c r="A18" s="304">
        <v>2003</v>
      </c>
      <c r="B18" s="305" t="s">
        <v>1110</v>
      </c>
      <c r="C18" s="306" t="s">
        <v>553</v>
      </c>
      <c r="D18" s="314" t="s">
        <v>1111</v>
      </c>
      <c r="E18" s="314" t="s">
        <v>1112</v>
      </c>
      <c r="F18" s="315" t="s">
        <v>1106</v>
      </c>
    </row>
    <row r="19" spans="1:6">
      <c r="A19" s="304">
        <v>2003</v>
      </c>
      <c r="B19" s="305" t="s">
        <v>101</v>
      </c>
      <c r="C19" s="306" t="s">
        <v>554</v>
      </c>
      <c r="D19" s="314" t="s">
        <v>1085</v>
      </c>
      <c r="E19" s="314" t="s">
        <v>1105</v>
      </c>
      <c r="F19" s="315" t="s">
        <v>1106</v>
      </c>
    </row>
    <row r="20" spans="1:6">
      <c r="A20" s="316">
        <v>2003</v>
      </c>
      <c r="B20" s="317" t="s">
        <v>1100</v>
      </c>
      <c r="C20" s="318" t="s">
        <v>555</v>
      </c>
      <c r="D20" s="319" t="s">
        <v>1085</v>
      </c>
      <c r="E20" s="319" t="s">
        <v>1105</v>
      </c>
      <c r="F20" s="320" t="s">
        <v>472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4F5BA-AEB5-4D5C-937D-3114DC6B264A}">
  <dimension ref="A1:J39"/>
  <sheetViews>
    <sheetView workbookViewId="0">
      <selection sqref="A1:G39"/>
    </sheetView>
  </sheetViews>
  <sheetFormatPr defaultRowHeight="16.75" customHeight="1"/>
  <cols>
    <col min="1" max="1" width="8.6640625" style="38"/>
    <col min="2" max="2" width="17.4140625" style="38" customWidth="1"/>
    <col min="3" max="3" width="26.58203125" style="38" customWidth="1"/>
    <col min="4" max="4" width="8.6640625" style="38"/>
    <col min="5" max="5" width="15.33203125" style="38" customWidth="1"/>
    <col min="6" max="16384" width="8.6640625" style="38"/>
  </cols>
  <sheetData>
    <row r="1" spans="1:10" ht="16.75" customHeight="1">
      <c r="A1" s="38" t="s">
        <v>460</v>
      </c>
      <c r="B1" s="38" t="s">
        <v>370</v>
      </c>
      <c r="C1" s="38" t="s">
        <v>1045</v>
      </c>
      <c r="D1" s="38" t="s">
        <v>606</v>
      </c>
      <c r="E1" s="38" t="s">
        <v>1046</v>
      </c>
      <c r="F1" s="38" t="s">
        <v>1047</v>
      </c>
      <c r="G1" s="38" t="s">
        <v>1048</v>
      </c>
    </row>
    <row r="2" spans="1:10" ht="16.75" customHeight="1">
      <c r="A2" s="38">
        <v>1</v>
      </c>
      <c r="B2" s="38" t="s">
        <v>646</v>
      </c>
      <c r="C2" s="38" t="s">
        <v>1049</v>
      </c>
      <c r="D2" s="38">
        <v>2003</v>
      </c>
      <c r="E2" s="38" t="s">
        <v>1050</v>
      </c>
      <c r="F2" s="38">
        <v>5.1844400000000004</v>
      </c>
      <c r="G2" s="38">
        <v>104.72278</v>
      </c>
    </row>
    <row r="3" spans="1:10" ht="16.75" customHeight="1">
      <c r="A3" s="38">
        <v>2</v>
      </c>
      <c r="B3" s="38" t="s">
        <v>584</v>
      </c>
      <c r="C3" s="38" t="s">
        <v>1051</v>
      </c>
      <c r="D3" s="38">
        <v>2007</v>
      </c>
      <c r="E3" s="38" t="s">
        <v>1052</v>
      </c>
      <c r="F3" s="38">
        <v>5.1844400000000004</v>
      </c>
      <c r="G3" s="38">
        <v>104.72278</v>
      </c>
    </row>
    <row r="4" spans="1:10" ht="16.75" customHeight="1">
      <c r="A4" s="38">
        <v>3</v>
      </c>
      <c r="B4" s="38" t="s">
        <v>584</v>
      </c>
      <c r="C4" s="38" t="s">
        <v>1053</v>
      </c>
      <c r="D4" s="38">
        <v>2011</v>
      </c>
      <c r="E4" s="38" t="s">
        <v>1054</v>
      </c>
      <c r="F4" s="38">
        <v>5.1844400000000004</v>
      </c>
      <c r="G4" s="38">
        <v>104.72278</v>
      </c>
    </row>
    <row r="5" spans="1:10" ht="16.75" customHeight="1">
      <c r="A5" s="38">
        <v>4</v>
      </c>
      <c r="B5" s="38" t="s">
        <v>584</v>
      </c>
      <c r="C5" s="38" t="s">
        <v>1049</v>
      </c>
      <c r="D5" s="38">
        <v>2013</v>
      </c>
      <c r="E5" s="38" t="s">
        <v>1050</v>
      </c>
      <c r="F5" s="38">
        <v>5.1844400000000004</v>
      </c>
      <c r="G5" s="38">
        <v>104.72278</v>
      </c>
    </row>
    <row r="6" spans="1:10" ht="16.75" customHeight="1">
      <c r="A6" s="38">
        <v>5</v>
      </c>
      <c r="B6" s="38" t="s">
        <v>646</v>
      </c>
      <c r="C6" s="38" t="s">
        <v>1055</v>
      </c>
      <c r="D6" s="38">
        <v>2014</v>
      </c>
      <c r="E6" s="38" t="s">
        <v>1054</v>
      </c>
      <c r="F6" s="38">
        <v>5.1844400000000004</v>
      </c>
      <c r="G6" s="38">
        <v>104.72278</v>
      </c>
    </row>
    <row r="7" spans="1:10" ht="16.75" customHeight="1">
      <c r="A7" s="38">
        <v>6</v>
      </c>
      <c r="B7" s="38" t="s">
        <v>646</v>
      </c>
      <c r="C7" s="38" t="s">
        <v>1049</v>
      </c>
      <c r="D7" s="38">
        <v>2018</v>
      </c>
      <c r="E7" s="38" t="s">
        <v>1056</v>
      </c>
      <c r="F7" s="38">
        <v>5.1844400000000004</v>
      </c>
      <c r="G7" s="38">
        <v>104.72278</v>
      </c>
    </row>
    <row r="8" spans="1:10" ht="16.75" customHeight="1">
      <c r="A8" s="38">
        <v>7</v>
      </c>
      <c r="B8" s="38" t="s">
        <v>646</v>
      </c>
      <c r="C8" s="38" t="s">
        <v>1057</v>
      </c>
      <c r="D8" s="38">
        <v>2025</v>
      </c>
      <c r="E8" s="38" t="s">
        <v>1058</v>
      </c>
      <c r="F8" s="38">
        <v>5.1844400000000004</v>
      </c>
      <c r="G8" s="38">
        <v>104.72278</v>
      </c>
    </row>
    <row r="9" spans="1:10" ht="16.75" customHeight="1">
      <c r="A9" s="38">
        <v>8</v>
      </c>
      <c r="B9" s="38" t="s">
        <v>696</v>
      </c>
      <c r="C9" s="38" t="s">
        <v>1059</v>
      </c>
      <c r="D9" s="38">
        <v>2005</v>
      </c>
      <c r="E9" s="38" t="s">
        <v>1060</v>
      </c>
      <c r="F9" s="38">
        <v>5.8436399999999997</v>
      </c>
      <c r="G9" s="38">
        <v>104.136</v>
      </c>
    </row>
    <row r="10" spans="1:10" ht="16.75" customHeight="1">
      <c r="A10" s="38">
        <v>9</v>
      </c>
      <c r="B10" s="38" t="s">
        <v>696</v>
      </c>
      <c r="C10" s="38" t="s">
        <v>1059</v>
      </c>
      <c r="D10" s="38">
        <v>2014</v>
      </c>
      <c r="E10" s="38" t="s">
        <v>1050</v>
      </c>
      <c r="F10" s="38">
        <v>5.8436399999999997</v>
      </c>
      <c r="G10" s="38">
        <v>104.136</v>
      </c>
    </row>
    <row r="11" spans="1:10" ht="16.75" customHeight="1">
      <c r="A11" s="38">
        <v>10</v>
      </c>
      <c r="B11" s="38" t="s">
        <v>688</v>
      </c>
      <c r="C11" s="38" t="s">
        <v>1061</v>
      </c>
      <c r="D11" s="38">
        <v>2004</v>
      </c>
      <c r="E11" s="38" t="s">
        <v>1060</v>
      </c>
      <c r="F11" s="38">
        <v>5.8436399999999997</v>
      </c>
      <c r="G11" s="38">
        <v>104.136</v>
      </c>
    </row>
    <row r="12" spans="1:10" ht="16.75" customHeight="1">
      <c r="A12" s="38">
        <v>11</v>
      </c>
      <c r="B12" s="38" t="s">
        <v>688</v>
      </c>
      <c r="C12" s="38" t="s">
        <v>1062</v>
      </c>
      <c r="D12" s="38">
        <v>2005</v>
      </c>
      <c r="E12" s="38" t="s">
        <v>1056</v>
      </c>
      <c r="F12" s="38">
        <v>5.8436399999999997</v>
      </c>
      <c r="G12" s="38">
        <v>104.136</v>
      </c>
    </row>
    <row r="13" spans="1:10" ht="16.75" customHeight="1">
      <c r="A13" s="38">
        <v>12</v>
      </c>
      <c r="B13" s="38" t="s">
        <v>688</v>
      </c>
      <c r="C13" s="38" t="s">
        <v>1063</v>
      </c>
      <c r="D13" s="38">
        <v>2014</v>
      </c>
      <c r="E13" s="38" t="s">
        <v>1060</v>
      </c>
      <c r="F13" s="38">
        <v>5.8436399999999997</v>
      </c>
      <c r="G13" s="38">
        <v>104.136</v>
      </c>
    </row>
    <row r="14" spans="1:10" ht="16.75" customHeight="1">
      <c r="A14" s="38">
        <v>13</v>
      </c>
      <c r="B14" s="38" t="s">
        <v>696</v>
      </c>
      <c r="C14" s="38" t="s">
        <v>1064</v>
      </c>
      <c r="D14" s="38">
        <v>2017</v>
      </c>
      <c r="E14" s="38" t="s">
        <v>1060</v>
      </c>
      <c r="F14" s="38">
        <v>5.8436399999999997</v>
      </c>
      <c r="G14" s="38">
        <v>104.136</v>
      </c>
      <c r="J14" s="298"/>
    </row>
    <row r="15" spans="1:10" ht="16.75" customHeight="1">
      <c r="A15" s="38">
        <v>14</v>
      </c>
      <c r="B15" s="38" t="s">
        <v>696</v>
      </c>
      <c r="C15" s="38" t="s">
        <v>1065</v>
      </c>
      <c r="D15" s="38">
        <v>2024</v>
      </c>
      <c r="E15" s="38" t="s">
        <v>1060</v>
      </c>
      <c r="F15" s="38">
        <v>5.8436399999999997</v>
      </c>
      <c r="G15" s="38">
        <v>104.136</v>
      </c>
      <c r="J15" s="298"/>
    </row>
    <row r="16" spans="1:10" ht="16.75" customHeight="1">
      <c r="A16" s="38">
        <v>15</v>
      </c>
      <c r="B16" s="38" t="s">
        <v>1066</v>
      </c>
      <c r="C16" s="38" t="s">
        <v>1062</v>
      </c>
      <c r="D16" s="38">
        <v>2014</v>
      </c>
      <c r="E16" s="38" t="s">
        <v>1050</v>
      </c>
      <c r="F16" s="38">
        <v>4.7394999999999996</v>
      </c>
      <c r="G16" s="38">
        <v>113.7406</v>
      </c>
      <c r="J16" s="298"/>
    </row>
    <row r="17" spans="1:7" ht="16.75" customHeight="1">
      <c r="A17" s="38">
        <v>16</v>
      </c>
      <c r="B17" s="38" t="s">
        <v>1066</v>
      </c>
      <c r="C17" s="38" t="s">
        <v>1067</v>
      </c>
      <c r="D17" s="38">
        <v>2015</v>
      </c>
      <c r="E17" s="38" t="s">
        <v>1050</v>
      </c>
      <c r="F17" s="38">
        <v>4.7394999999999996</v>
      </c>
      <c r="G17" s="38">
        <v>113.7406</v>
      </c>
    </row>
    <row r="18" spans="1:7" ht="16.75" customHeight="1">
      <c r="A18" s="38">
        <v>17</v>
      </c>
      <c r="B18" s="38" t="s">
        <v>1068</v>
      </c>
      <c r="C18" s="38" t="s">
        <v>1069</v>
      </c>
      <c r="D18" s="38">
        <v>2010</v>
      </c>
      <c r="E18" s="38" t="s">
        <v>1070</v>
      </c>
      <c r="F18" s="38">
        <v>4.7394999999999996</v>
      </c>
      <c r="G18" s="38">
        <v>113.7406</v>
      </c>
    </row>
    <row r="19" spans="1:7" ht="16.75" customHeight="1">
      <c r="A19" s="38">
        <v>18</v>
      </c>
      <c r="B19" s="38" t="s">
        <v>1068</v>
      </c>
      <c r="C19" s="38" t="s">
        <v>1067</v>
      </c>
      <c r="D19" s="38">
        <v>2013</v>
      </c>
      <c r="E19" s="38" t="s">
        <v>1060</v>
      </c>
      <c r="F19" s="38">
        <v>4.7394999999999996</v>
      </c>
      <c r="G19" s="38">
        <v>113.7406</v>
      </c>
    </row>
    <row r="20" spans="1:7" ht="16.75" customHeight="1">
      <c r="A20" s="38">
        <v>19</v>
      </c>
      <c r="B20" s="38" t="s">
        <v>1068</v>
      </c>
      <c r="C20" s="38" t="s">
        <v>1063</v>
      </c>
      <c r="D20" s="38">
        <v>2018</v>
      </c>
      <c r="E20" s="38" t="s">
        <v>1050</v>
      </c>
      <c r="F20" s="38">
        <v>4.7394999999999996</v>
      </c>
      <c r="G20" s="38">
        <v>113.7406</v>
      </c>
    </row>
    <row r="21" spans="1:7" ht="16.75" customHeight="1">
      <c r="A21" s="38">
        <v>20</v>
      </c>
      <c r="B21" s="38" t="s">
        <v>1071</v>
      </c>
      <c r="C21" s="38" t="s">
        <v>1067</v>
      </c>
      <c r="D21" s="38">
        <v>2013</v>
      </c>
      <c r="E21" s="38" t="s">
        <v>1060</v>
      </c>
      <c r="F21" s="38" t="s">
        <v>1072</v>
      </c>
      <c r="G21" s="38">
        <v>113.64317</v>
      </c>
    </row>
    <row r="22" spans="1:7" ht="16.75" customHeight="1">
      <c r="A22" s="38">
        <v>21</v>
      </c>
      <c r="B22" s="38" t="s">
        <v>1073</v>
      </c>
      <c r="C22" s="38" t="s">
        <v>1061</v>
      </c>
      <c r="D22" s="38">
        <v>1998</v>
      </c>
      <c r="E22" s="38" t="s">
        <v>1060</v>
      </c>
      <c r="F22" s="38">
        <v>4.55</v>
      </c>
      <c r="G22" s="38">
        <v>113.624</v>
      </c>
    </row>
    <row r="23" spans="1:7" ht="16.75" customHeight="1">
      <c r="A23" s="38">
        <v>22</v>
      </c>
      <c r="B23" s="38" t="s">
        <v>1073</v>
      </c>
      <c r="C23" s="38" t="s">
        <v>1061</v>
      </c>
      <c r="D23" s="38">
        <v>2000</v>
      </c>
      <c r="E23" s="38" t="s">
        <v>1050</v>
      </c>
      <c r="F23" s="38">
        <v>4.55</v>
      </c>
      <c r="G23" s="38">
        <v>113.624</v>
      </c>
    </row>
    <row r="24" spans="1:7" ht="16.75" customHeight="1">
      <c r="A24" s="38">
        <v>23</v>
      </c>
      <c r="B24" s="38" t="s">
        <v>1073</v>
      </c>
      <c r="C24" s="38" t="s">
        <v>1067</v>
      </c>
      <c r="D24" s="38">
        <v>2012</v>
      </c>
      <c r="E24" s="38" t="s">
        <v>1050</v>
      </c>
      <c r="F24" s="38">
        <v>4.55</v>
      </c>
      <c r="G24" s="38">
        <v>113.624</v>
      </c>
    </row>
    <row r="25" spans="1:7" ht="16.75" customHeight="1">
      <c r="A25" s="38">
        <v>24</v>
      </c>
      <c r="B25" s="38" t="s">
        <v>1073</v>
      </c>
      <c r="C25" s="38" t="s">
        <v>1062</v>
      </c>
      <c r="D25" s="38">
        <v>2015</v>
      </c>
      <c r="E25" s="38" t="s">
        <v>1060</v>
      </c>
      <c r="F25" s="38">
        <v>4.55</v>
      </c>
      <c r="G25" s="38">
        <v>113.624</v>
      </c>
    </row>
    <row r="26" spans="1:7" ht="16.75" customHeight="1">
      <c r="A26" s="38">
        <v>25</v>
      </c>
      <c r="B26" s="38" t="s">
        <v>774</v>
      </c>
      <c r="C26" s="38" t="s">
        <v>1067</v>
      </c>
      <c r="D26" s="38">
        <v>2014</v>
      </c>
      <c r="E26" s="38" t="s">
        <v>1060</v>
      </c>
      <c r="F26" s="38">
        <v>5.6429999999999998</v>
      </c>
      <c r="G26" s="38">
        <v>105.044</v>
      </c>
    </row>
    <row r="27" spans="1:7" ht="16.75" customHeight="1">
      <c r="A27" s="38">
        <v>26</v>
      </c>
      <c r="B27" s="38" t="s">
        <v>774</v>
      </c>
      <c r="C27" s="38" t="s">
        <v>1062</v>
      </c>
      <c r="D27" s="38">
        <v>2014</v>
      </c>
      <c r="E27" s="38" t="s">
        <v>1060</v>
      </c>
      <c r="F27" s="38">
        <v>5.6429999999999998</v>
      </c>
      <c r="G27" s="38">
        <v>105.044</v>
      </c>
    </row>
    <row r="28" spans="1:7" ht="16.75" customHeight="1">
      <c r="A28" s="38">
        <v>27</v>
      </c>
      <c r="B28" s="38" t="s">
        <v>1074</v>
      </c>
      <c r="C28" s="38" t="s">
        <v>1075</v>
      </c>
      <c r="D28" s="38">
        <v>2012</v>
      </c>
      <c r="E28" s="38" t="s">
        <v>1060</v>
      </c>
      <c r="F28" s="38">
        <v>5.6180000000000003</v>
      </c>
      <c r="G28" s="38">
        <v>114.89</v>
      </c>
    </row>
    <row r="29" spans="1:7" ht="16.75" customHeight="1">
      <c r="A29" s="38">
        <v>28</v>
      </c>
      <c r="B29" s="38" t="s">
        <v>1074</v>
      </c>
      <c r="C29" s="38" t="s">
        <v>1062</v>
      </c>
      <c r="D29" s="38">
        <v>2014</v>
      </c>
      <c r="E29" s="38" t="s">
        <v>1060</v>
      </c>
      <c r="F29" s="38">
        <v>5.6180000000000003</v>
      </c>
      <c r="G29" s="38">
        <v>114.89</v>
      </c>
    </row>
    <row r="30" spans="1:7" ht="16.75" customHeight="1">
      <c r="A30" s="38">
        <v>29</v>
      </c>
      <c r="B30" s="38" t="s">
        <v>1076</v>
      </c>
      <c r="C30" s="38" t="s">
        <v>1049</v>
      </c>
      <c r="D30" s="38">
        <v>2016</v>
      </c>
      <c r="E30" s="38" t="s">
        <v>1060</v>
      </c>
      <c r="F30" s="38">
        <v>6.7805499999999999</v>
      </c>
      <c r="G30" s="38">
        <v>116.20833</v>
      </c>
    </row>
    <row r="31" spans="1:7" ht="16.75" customHeight="1">
      <c r="A31" s="38">
        <v>30</v>
      </c>
      <c r="B31" s="38" t="s">
        <v>1077</v>
      </c>
      <c r="C31" s="38" t="s">
        <v>1049</v>
      </c>
      <c r="D31" s="38">
        <v>2016</v>
      </c>
      <c r="E31" s="38" t="s">
        <v>1060</v>
      </c>
      <c r="F31" s="38">
        <v>6.8333300000000001</v>
      </c>
      <c r="G31" s="38">
        <v>116.33333</v>
      </c>
    </row>
    <row r="32" spans="1:7" ht="16.75" customHeight="1">
      <c r="A32" s="38">
        <v>31</v>
      </c>
      <c r="B32" s="38" t="s">
        <v>1076</v>
      </c>
      <c r="C32" s="38" t="s">
        <v>1049</v>
      </c>
      <c r="D32" s="38">
        <v>2017</v>
      </c>
      <c r="E32" s="38" t="s">
        <v>1060</v>
      </c>
      <c r="F32" s="38">
        <v>6.7805499999999999</v>
      </c>
      <c r="G32" s="38">
        <v>116.20833</v>
      </c>
    </row>
    <row r="33" spans="1:7" ht="16.75" customHeight="1">
      <c r="A33" s="38">
        <v>32</v>
      </c>
      <c r="B33" s="38" t="s">
        <v>1078</v>
      </c>
      <c r="C33" s="38" t="s">
        <v>1049</v>
      </c>
      <c r="D33" s="38">
        <v>2014</v>
      </c>
      <c r="E33" s="38" t="s">
        <v>1050</v>
      </c>
      <c r="F33" s="38">
        <v>6.6333299999999999</v>
      </c>
      <c r="G33" s="38">
        <v>116.1375</v>
      </c>
    </row>
    <row r="34" spans="1:7" ht="16.75" customHeight="1">
      <c r="A34" s="38">
        <v>33</v>
      </c>
      <c r="B34" s="38" t="s">
        <v>1079</v>
      </c>
      <c r="C34" s="38" t="s">
        <v>1069</v>
      </c>
      <c r="D34" s="38">
        <v>2012</v>
      </c>
      <c r="E34" s="38" t="s">
        <v>1060</v>
      </c>
      <c r="F34" s="38">
        <v>5.3780000000000001</v>
      </c>
      <c r="G34" s="38">
        <v>111.867</v>
      </c>
    </row>
    <row r="35" spans="1:7" ht="16.75" customHeight="1">
      <c r="A35" s="38">
        <v>34</v>
      </c>
      <c r="B35" s="38" t="s">
        <v>1079</v>
      </c>
      <c r="C35" s="38" t="s">
        <v>1065</v>
      </c>
      <c r="D35" s="38">
        <v>2025</v>
      </c>
      <c r="E35" s="38" t="s">
        <v>1060</v>
      </c>
      <c r="F35" s="38">
        <v>5.3780000000000001</v>
      </c>
      <c r="G35" s="38">
        <v>111.867</v>
      </c>
    </row>
    <row r="36" spans="1:7" ht="16.75" customHeight="1">
      <c r="A36" s="38">
        <v>35</v>
      </c>
      <c r="B36" s="38" t="s">
        <v>730</v>
      </c>
      <c r="C36" s="38" t="s">
        <v>1067</v>
      </c>
      <c r="D36" s="38">
        <v>2014</v>
      </c>
      <c r="E36" s="38" t="s">
        <v>1060</v>
      </c>
      <c r="F36" s="38">
        <v>5.5083000000000002</v>
      </c>
      <c r="G36" s="38">
        <v>104.9893</v>
      </c>
    </row>
    <row r="37" spans="1:7" ht="16.75" customHeight="1">
      <c r="A37" s="38">
        <v>36</v>
      </c>
      <c r="B37" s="38" t="s">
        <v>730</v>
      </c>
      <c r="C37" s="38" t="s">
        <v>1062</v>
      </c>
      <c r="D37" s="38">
        <v>2014</v>
      </c>
      <c r="E37" s="38" t="s">
        <v>1060</v>
      </c>
      <c r="F37" s="38">
        <v>5.5083000000000002</v>
      </c>
      <c r="G37" s="38">
        <v>104.9893</v>
      </c>
    </row>
    <row r="38" spans="1:7" ht="16.75" customHeight="1">
      <c r="A38" s="38">
        <v>37</v>
      </c>
      <c r="B38" s="38" t="s">
        <v>1080</v>
      </c>
      <c r="C38" s="38" t="s">
        <v>1067</v>
      </c>
      <c r="D38" s="38">
        <v>2014</v>
      </c>
      <c r="E38" s="38" t="s">
        <v>1060</v>
      </c>
      <c r="F38" s="38">
        <v>4.4824999999999999</v>
      </c>
      <c r="G38" s="38">
        <v>113.9961</v>
      </c>
    </row>
    <row r="39" spans="1:7" ht="16.75" customHeight="1">
      <c r="A39" s="38">
        <v>38</v>
      </c>
      <c r="B39" s="38" t="s">
        <v>1080</v>
      </c>
      <c r="C39" s="38" t="s">
        <v>1062</v>
      </c>
      <c r="D39" s="38">
        <v>2014</v>
      </c>
      <c r="E39" s="38" t="s">
        <v>1060</v>
      </c>
      <c r="F39" s="38">
        <v>4.4824999999999999</v>
      </c>
      <c r="G39" s="38">
        <v>113.9961</v>
      </c>
    </row>
  </sheetData>
  <autoFilter ref="A1:G39" xr:uid="{126AF6FC-887F-414C-8276-6AC57CA4478D}"/>
  <pageMargins left="0.7" right="0.7" top="0.75" bottom="0.75" header="0.3" footer="0.3"/>
  <headerFooter>
    <oddHeader>&amp;C&amp;"Aptos"&amp;10&amp;K0078D7 [Open]&amp;1#_x000D_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D734B-AB21-4350-93FD-694091B303B6}">
  <dimension ref="A1:F33"/>
  <sheetViews>
    <sheetView workbookViewId="0">
      <selection sqref="A1:F33"/>
    </sheetView>
  </sheetViews>
  <sheetFormatPr defaultRowHeight="14"/>
  <cols>
    <col min="1" max="1" width="11.1640625" style="38" customWidth="1"/>
    <col min="2" max="3" width="8.6640625" style="38"/>
    <col min="4" max="4" width="10.83203125" style="38" customWidth="1"/>
    <col min="5" max="5" width="8.6640625" style="38"/>
    <col min="6" max="6" width="15" style="38" customWidth="1"/>
    <col min="7" max="16384" width="8.6640625" style="38"/>
  </cols>
  <sheetData>
    <row r="1" spans="1:6" ht="14.5">
      <c r="A1" s="117" t="s">
        <v>605</v>
      </c>
      <c r="B1" s="117" t="s">
        <v>606</v>
      </c>
      <c r="C1" s="117" t="s">
        <v>370</v>
      </c>
      <c r="D1" s="117" t="s">
        <v>607</v>
      </c>
      <c r="E1" s="117" t="s">
        <v>608</v>
      </c>
      <c r="F1" s="117" t="s">
        <v>609</v>
      </c>
    </row>
    <row r="2" spans="1:6" ht="14.5">
      <c r="A2" s="118">
        <v>1</v>
      </c>
      <c r="B2" s="118">
        <v>2003</v>
      </c>
      <c r="C2" s="117" t="s">
        <v>584</v>
      </c>
      <c r="D2" s="117" t="s">
        <v>610</v>
      </c>
      <c r="E2" s="118">
        <v>-1</v>
      </c>
      <c r="F2" s="117">
        <v>1</v>
      </c>
    </row>
    <row r="3" spans="1:6" ht="14.5">
      <c r="A3" s="118">
        <v>1</v>
      </c>
      <c r="B3" s="118">
        <v>2003</v>
      </c>
      <c r="C3" s="117" t="s">
        <v>584</v>
      </c>
      <c r="D3" s="117" t="s">
        <v>610</v>
      </c>
      <c r="E3" s="118">
        <v>0</v>
      </c>
      <c r="F3" s="117">
        <v>0.19</v>
      </c>
    </row>
    <row r="4" spans="1:6" ht="14.5">
      <c r="A4" s="118">
        <v>1</v>
      </c>
      <c r="B4" s="118">
        <v>2003</v>
      </c>
      <c r="C4" s="117" t="s">
        <v>584</v>
      </c>
      <c r="D4" s="117" t="s">
        <v>610</v>
      </c>
      <c r="E4" s="118">
        <v>1</v>
      </c>
      <c r="F4" s="117">
        <v>0.19</v>
      </c>
    </row>
    <row r="5" spans="1:6" ht="14.5">
      <c r="A5" s="118">
        <v>1</v>
      </c>
      <c r="B5" s="118">
        <v>2003</v>
      </c>
      <c r="C5" s="117" t="s">
        <v>584</v>
      </c>
      <c r="D5" s="117" t="s">
        <v>610</v>
      </c>
      <c r="E5" s="118">
        <v>5</v>
      </c>
      <c r="F5" s="117">
        <v>0.18</v>
      </c>
    </row>
    <row r="6" spans="1:6" ht="14.5">
      <c r="A6" s="118">
        <v>1</v>
      </c>
      <c r="B6" s="118">
        <v>2003</v>
      </c>
      <c r="C6" s="117" t="s">
        <v>584</v>
      </c>
      <c r="D6" s="117" t="s">
        <v>610</v>
      </c>
      <c r="E6" s="118">
        <v>8</v>
      </c>
      <c r="F6" s="117">
        <v>0.17</v>
      </c>
    </row>
    <row r="7" spans="1:6" ht="14.5">
      <c r="A7" s="118">
        <v>1</v>
      </c>
      <c r="B7" s="118">
        <v>2003</v>
      </c>
      <c r="C7" s="117" t="s">
        <v>584</v>
      </c>
      <c r="D7" s="117" t="s">
        <v>610</v>
      </c>
      <c r="E7" s="118">
        <v>11</v>
      </c>
      <c r="F7" s="117">
        <v>0.16</v>
      </c>
    </row>
    <row r="8" spans="1:6" ht="14.5">
      <c r="A8" s="118">
        <v>1</v>
      </c>
      <c r="B8" s="118">
        <v>2003</v>
      </c>
      <c r="C8" s="117" t="s">
        <v>584</v>
      </c>
      <c r="D8" s="117" t="s">
        <v>610</v>
      </c>
      <c r="E8" s="118">
        <v>19</v>
      </c>
      <c r="F8" s="117">
        <v>0.15</v>
      </c>
    </row>
    <row r="9" spans="1:6" ht="14.5">
      <c r="A9" s="118">
        <v>2</v>
      </c>
      <c r="B9" s="118">
        <v>2003</v>
      </c>
      <c r="C9" s="117" t="s">
        <v>584</v>
      </c>
      <c r="D9" s="117" t="s">
        <v>611</v>
      </c>
      <c r="E9" s="118">
        <v>-1</v>
      </c>
      <c r="F9" s="117">
        <v>1</v>
      </c>
    </row>
    <row r="10" spans="1:6" ht="14.5">
      <c r="A10" s="118">
        <v>2</v>
      </c>
      <c r="B10" s="118">
        <v>2003</v>
      </c>
      <c r="C10" s="117" t="s">
        <v>584</v>
      </c>
      <c r="D10" s="117" t="s">
        <v>611</v>
      </c>
      <c r="E10" s="118">
        <v>0</v>
      </c>
      <c r="F10" s="117">
        <v>0.9</v>
      </c>
    </row>
    <row r="11" spans="1:6" ht="14.5">
      <c r="A11" s="118">
        <v>2</v>
      </c>
      <c r="B11" s="118">
        <v>2003</v>
      </c>
      <c r="C11" s="117" t="s">
        <v>584</v>
      </c>
      <c r="D11" s="117" t="s">
        <v>611</v>
      </c>
      <c r="E11" s="118">
        <v>1</v>
      </c>
      <c r="F11" s="117">
        <v>0.8</v>
      </c>
    </row>
    <row r="12" spans="1:6" ht="14.5">
      <c r="A12" s="118">
        <v>2</v>
      </c>
      <c r="B12" s="118">
        <v>2003</v>
      </c>
      <c r="C12" s="117" t="s">
        <v>584</v>
      </c>
      <c r="D12" s="117" t="s">
        <v>611</v>
      </c>
      <c r="E12" s="118">
        <v>5</v>
      </c>
      <c r="F12" s="117">
        <v>0.57999999999999996</v>
      </c>
    </row>
    <row r="13" spans="1:6" ht="14.5">
      <c r="A13" s="118">
        <v>2</v>
      </c>
      <c r="B13" s="118">
        <v>2003</v>
      </c>
      <c r="C13" s="117" t="s">
        <v>584</v>
      </c>
      <c r="D13" s="117" t="s">
        <v>611</v>
      </c>
      <c r="E13" s="118">
        <v>8</v>
      </c>
      <c r="F13" s="117">
        <v>0.38</v>
      </c>
    </row>
    <row r="14" spans="1:6" ht="14.5">
      <c r="A14" s="118">
        <v>2</v>
      </c>
      <c r="B14" s="118">
        <v>2003</v>
      </c>
      <c r="C14" s="117" t="s">
        <v>584</v>
      </c>
      <c r="D14" s="117" t="s">
        <v>611</v>
      </c>
      <c r="E14" s="118">
        <v>11</v>
      </c>
      <c r="F14" s="117">
        <v>0.2</v>
      </c>
    </row>
    <row r="15" spans="1:6" ht="14.5">
      <c r="A15" s="118">
        <v>2</v>
      </c>
      <c r="B15" s="118">
        <v>2003</v>
      </c>
      <c r="C15" s="117" t="s">
        <v>584</v>
      </c>
      <c r="D15" s="117" t="s">
        <v>611</v>
      </c>
      <c r="E15" s="118">
        <v>19</v>
      </c>
      <c r="F15" s="117">
        <v>0.1</v>
      </c>
    </row>
    <row r="16" spans="1:6" ht="14.5">
      <c r="A16" s="118">
        <v>3</v>
      </c>
      <c r="B16" s="118">
        <v>2003</v>
      </c>
      <c r="C16" s="117" t="s">
        <v>584</v>
      </c>
      <c r="D16" s="117" t="s">
        <v>612</v>
      </c>
      <c r="E16" s="118">
        <v>-1</v>
      </c>
      <c r="F16" s="117">
        <v>1</v>
      </c>
    </row>
    <row r="17" spans="1:6" ht="14.5">
      <c r="A17" s="118">
        <v>3</v>
      </c>
      <c r="B17" s="118">
        <v>2003</v>
      </c>
      <c r="C17" s="117" t="s">
        <v>584</v>
      </c>
      <c r="D17" s="117" t="s">
        <v>612</v>
      </c>
      <c r="E17" s="118">
        <v>0</v>
      </c>
      <c r="F17" s="117">
        <v>0.1</v>
      </c>
    </row>
    <row r="18" spans="1:6" ht="14.5">
      <c r="A18" s="118">
        <v>3</v>
      </c>
      <c r="B18" s="118">
        <v>2003</v>
      </c>
      <c r="C18" s="117" t="s">
        <v>584</v>
      </c>
      <c r="D18" s="117" t="s">
        <v>612</v>
      </c>
      <c r="E18" s="118">
        <v>1</v>
      </c>
      <c r="F18" s="117">
        <v>0.3</v>
      </c>
    </row>
    <row r="19" spans="1:6" ht="14.5">
      <c r="A19" s="118">
        <v>3</v>
      </c>
      <c r="B19" s="118">
        <v>2003</v>
      </c>
      <c r="C19" s="117" t="s">
        <v>584</v>
      </c>
      <c r="D19" s="117" t="s">
        <v>612</v>
      </c>
      <c r="E19" s="118">
        <v>5</v>
      </c>
      <c r="F19" s="117">
        <v>0.28999999999999998</v>
      </c>
    </row>
    <row r="20" spans="1:6" ht="14.5">
      <c r="A20" s="118">
        <v>3</v>
      </c>
      <c r="B20" s="118">
        <v>2003</v>
      </c>
      <c r="C20" s="117" t="s">
        <v>584</v>
      </c>
      <c r="D20" s="117" t="s">
        <v>612</v>
      </c>
      <c r="E20" s="118">
        <v>8</v>
      </c>
      <c r="F20" s="117">
        <v>0.28000000000000003</v>
      </c>
    </row>
    <row r="21" spans="1:6" ht="14.5">
      <c r="A21" s="118">
        <v>3</v>
      </c>
      <c r="B21" s="118">
        <v>2003</v>
      </c>
      <c r="C21" s="117" t="s">
        <v>584</v>
      </c>
      <c r="D21" s="117" t="s">
        <v>612</v>
      </c>
      <c r="E21" s="118">
        <v>11</v>
      </c>
      <c r="F21" s="117">
        <v>0.27</v>
      </c>
    </row>
    <row r="22" spans="1:6" ht="14.5">
      <c r="A22" s="118">
        <v>4</v>
      </c>
      <c r="B22" s="118">
        <v>2003</v>
      </c>
      <c r="C22" s="117" t="s">
        <v>584</v>
      </c>
      <c r="D22" s="117" t="s">
        <v>613</v>
      </c>
      <c r="E22" s="118">
        <v>-1</v>
      </c>
      <c r="F22" s="117">
        <v>1</v>
      </c>
    </row>
    <row r="23" spans="1:6" ht="14.5">
      <c r="A23" s="118">
        <v>4</v>
      </c>
      <c r="B23" s="118">
        <v>2003</v>
      </c>
      <c r="C23" s="117" t="s">
        <v>584</v>
      </c>
      <c r="D23" s="117" t="s">
        <v>613</v>
      </c>
      <c r="E23" s="118">
        <v>0</v>
      </c>
      <c r="F23" s="117">
        <v>1</v>
      </c>
    </row>
    <row r="24" spans="1:6" ht="14.5">
      <c r="A24" s="118">
        <v>4</v>
      </c>
      <c r="B24" s="118">
        <v>2003</v>
      </c>
      <c r="C24" s="117" t="s">
        <v>584</v>
      </c>
      <c r="D24" s="117" t="s">
        <v>613</v>
      </c>
      <c r="E24" s="118">
        <v>1</v>
      </c>
      <c r="F24" s="117">
        <v>1.1000000000000001</v>
      </c>
    </row>
    <row r="25" spans="1:6" ht="14.5">
      <c r="A25" s="118">
        <v>4</v>
      </c>
      <c r="B25" s="118">
        <v>2003</v>
      </c>
      <c r="C25" s="117" t="s">
        <v>584</v>
      </c>
      <c r="D25" s="117" t="s">
        <v>613</v>
      </c>
      <c r="E25" s="118">
        <v>5</v>
      </c>
      <c r="F25" s="117">
        <v>1</v>
      </c>
    </row>
    <row r="26" spans="1:6" ht="14.5">
      <c r="A26" s="118">
        <v>4</v>
      </c>
      <c r="B26" s="118">
        <v>2003</v>
      </c>
      <c r="C26" s="117" t="s">
        <v>584</v>
      </c>
      <c r="D26" s="117" t="s">
        <v>613</v>
      </c>
      <c r="E26" s="118">
        <v>8</v>
      </c>
      <c r="F26" s="117">
        <v>0.98</v>
      </c>
    </row>
    <row r="27" spans="1:6" ht="14.5">
      <c r="A27" s="118">
        <v>4</v>
      </c>
      <c r="B27" s="118">
        <v>2003</v>
      </c>
      <c r="C27" s="117" t="s">
        <v>584</v>
      </c>
      <c r="D27" s="117" t="s">
        <v>613</v>
      </c>
      <c r="E27" s="118">
        <v>11</v>
      </c>
      <c r="F27" s="117">
        <v>0.8</v>
      </c>
    </row>
    <row r="28" spans="1:6" ht="14.5">
      <c r="A28" s="118">
        <v>5</v>
      </c>
      <c r="B28" s="118">
        <v>2013</v>
      </c>
      <c r="C28" s="117" t="s">
        <v>584</v>
      </c>
      <c r="D28" s="117" t="s">
        <v>614</v>
      </c>
      <c r="E28" s="118">
        <v>-1</v>
      </c>
      <c r="F28" s="117">
        <v>0.8</v>
      </c>
    </row>
    <row r="29" spans="1:6" ht="14.5">
      <c r="A29" s="118">
        <v>5</v>
      </c>
      <c r="B29" s="118">
        <v>2013</v>
      </c>
      <c r="C29" s="117" t="s">
        <v>584</v>
      </c>
      <c r="D29" s="117" t="s">
        <v>614</v>
      </c>
      <c r="E29" s="118">
        <v>14</v>
      </c>
      <c r="F29" s="117">
        <v>0.8</v>
      </c>
    </row>
    <row r="30" spans="1:6" ht="14.5">
      <c r="A30" s="118">
        <v>6</v>
      </c>
      <c r="B30" s="118">
        <v>2013</v>
      </c>
      <c r="C30" s="117" t="s">
        <v>584</v>
      </c>
      <c r="D30" s="117" t="s">
        <v>615</v>
      </c>
      <c r="E30" s="118">
        <v>-1</v>
      </c>
      <c r="F30" s="117">
        <v>0.83</v>
      </c>
    </row>
    <row r="31" spans="1:6" ht="14.5">
      <c r="A31" s="118">
        <v>6</v>
      </c>
      <c r="B31" s="118">
        <v>2013</v>
      </c>
      <c r="C31" s="117" t="s">
        <v>584</v>
      </c>
      <c r="D31" s="117" t="s">
        <v>615</v>
      </c>
      <c r="E31" s="118">
        <v>14</v>
      </c>
      <c r="F31" s="117">
        <v>0.83</v>
      </c>
    </row>
    <row r="32" spans="1:6" ht="14.5">
      <c r="A32" s="118">
        <v>7</v>
      </c>
      <c r="B32" s="118">
        <v>2013</v>
      </c>
      <c r="C32" s="117" t="s">
        <v>584</v>
      </c>
      <c r="D32" s="117" t="s">
        <v>616</v>
      </c>
      <c r="E32" s="118">
        <v>-1</v>
      </c>
      <c r="F32" s="117">
        <v>0.94</v>
      </c>
    </row>
    <row r="33" spans="1:6" ht="14.5">
      <c r="A33" s="118">
        <v>7</v>
      </c>
      <c r="B33" s="118">
        <v>2013</v>
      </c>
      <c r="C33" s="117" t="s">
        <v>584</v>
      </c>
      <c r="D33" s="117" t="s">
        <v>616</v>
      </c>
      <c r="E33" s="118">
        <v>14</v>
      </c>
      <c r="F33" s="117">
        <v>0.94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5"/>
  <sheetViews>
    <sheetView workbookViewId="0">
      <selection activeCell="A17" sqref="A17"/>
    </sheetView>
  </sheetViews>
  <sheetFormatPr defaultRowHeight="14"/>
  <cols>
    <col min="1" max="1" width="110" customWidth="1"/>
  </cols>
  <sheetData>
    <row r="1" spans="1:1" ht="18">
      <c r="A1" s="12" t="s">
        <v>346</v>
      </c>
    </row>
    <row r="2" spans="1:1">
      <c r="A2" s="4"/>
    </row>
    <row r="3" spans="1:1">
      <c r="A3" s="4" t="s">
        <v>347</v>
      </c>
    </row>
    <row r="4" spans="1:1">
      <c r="A4" s="4" t="s">
        <v>348</v>
      </c>
    </row>
    <row r="5" spans="1:1">
      <c r="A5" s="4" t="s">
        <v>349</v>
      </c>
    </row>
    <row r="6" spans="1:1">
      <c r="A6" s="4" t="s">
        <v>350</v>
      </c>
    </row>
    <row r="7" spans="1:1">
      <c r="A7" s="4" t="s">
        <v>351</v>
      </c>
    </row>
    <row r="8" spans="1:1">
      <c r="A8" s="4" t="s">
        <v>352</v>
      </c>
    </row>
    <row r="9" spans="1:1">
      <c r="A9" s="4" t="s">
        <v>353</v>
      </c>
    </row>
    <row r="11" spans="1:1">
      <c r="A11" t="s">
        <v>354</v>
      </c>
    </row>
    <row r="12" spans="1:1">
      <c r="A12" t="s">
        <v>355</v>
      </c>
    </row>
    <row r="13" spans="1:1">
      <c r="A13" t="s">
        <v>356</v>
      </c>
    </row>
    <row r="14" spans="1:1">
      <c r="A14" t="s">
        <v>357</v>
      </c>
    </row>
    <row r="15" spans="1:1">
      <c r="A15" t="s">
        <v>358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workbookViewId="0">
      <selection activeCell="C16" sqref="C16"/>
    </sheetView>
  </sheetViews>
  <sheetFormatPr defaultRowHeight="14"/>
  <cols>
    <col min="1" max="1" width="32" customWidth="1"/>
    <col min="2" max="2" width="18" customWidth="1"/>
    <col min="3" max="3" width="70" customWidth="1"/>
    <col min="5" max="10" width="18" customWidth="1"/>
  </cols>
  <sheetData>
    <row r="1" spans="1:10" ht="54">
      <c r="A1" s="14" t="s">
        <v>0</v>
      </c>
      <c r="B1" s="14"/>
      <c r="C1" s="14"/>
      <c r="D1" s="15"/>
      <c r="E1" s="15"/>
      <c r="F1" s="15"/>
      <c r="G1" s="15"/>
      <c r="H1" s="15"/>
      <c r="I1" s="15"/>
      <c r="J1" s="15"/>
    </row>
    <row r="3" spans="1:10" ht="28">
      <c r="A3" s="13" t="s">
        <v>1</v>
      </c>
      <c r="B3" s="13" t="s">
        <v>2</v>
      </c>
      <c r="C3" s="13" t="s">
        <v>3</v>
      </c>
      <c r="E3" s="16" t="s">
        <v>4</v>
      </c>
      <c r="F3" s="16"/>
      <c r="G3" s="16"/>
      <c r="H3" s="16"/>
      <c r="I3" s="16"/>
      <c r="J3" s="16"/>
    </row>
    <row r="4" spans="1:10">
      <c r="A4" s="5" t="s">
        <v>5</v>
      </c>
      <c r="B4" s="33"/>
      <c r="C4" s="4" t="s">
        <v>6</v>
      </c>
      <c r="E4" s="13" t="s">
        <v>7</v>
      </c>
      <c r="F4" s="13" t="s">
        <v>8</v>
      </c>
      <c r="G4" s="13" t="s">
        <v>9</v>
      </c>
      <c r="H4" s="13" t="s">
        <v>10</v>
      </c>
      <c r="I4" s="13" t="s">
        <v>11</v>
      </c>
      <c r="J4" s="13" t="s">
        <v>12</v>
      </c>
    </row>
    <row r="5" spans="1:10">
      <c r="A5" s="5" t="s">
        <v>13</v>
      </c>
      <c r="B5" s="33"/>
      <c r="C5" s="4" t="s">
        <v>14</v>
      </c>
      <c r="E5" t="str">
        <f>Screening!A2</f>
        <v>CO2 Miscible Flood</v>
      </c>
      <c r="F5" t="str">
        <f>Screening!E2</f>
        <v>FAIL (critical)</v>
      </c>
      <c r="G5" t="str">
        <f>Screening!F2</f>
        <v>Not suitable</v>
      </c>
      <c r="H5" s="7">
        <f>Screening!D2</f>
        <v>0</v>
      </c>
      <c r="I5" s="7" t="str">
        <f>Screening!G2</f>
        <v/>
      </c>
      <c r="J5" s="7" t="str">
        <f>RF_EUR_Ranges!I2</f>
        <v/>
      </c>
    </row>
    <row r="6" spans="1:10">
      <c r="A6" s="5" t="s">
        <v>15</v>
      </c>
      <c r="B6" s="33"/>
      <c r="C6" s="4" t="s">
        <v>16</v>
      </c>
      <c r="E6" t="str">
        <f>Screening!A3</f>
        <v>CO2 WAG</v>
      </c>
      <c r="F6" t="str">
        <f>Screening!E3</f>
        <v>FAIL (critical)</v>
      </c>
      <c r="G6" t="str">
        <f>Screening!F3</f>
        <v>Not suitable</v>
      </c>
      <c r="H6" s="7">
        <f>Screening!D3</f>
        <v>0</v>
      </c>
      <c r="I6" s="7" t="str">
        <f>Screening!G3</f>
        <v/>
      </c>
      <c r="J6" s="7" t="str">
        <f>RF_EUR_Ranges!I3</f>
        <v/>
      </c>
    </row>
    <row r="7" spans="1:10">
      <c r="A7" s="5" t="s">
        <v>17</v>
      </c>
      <c r="B7" s="33"/>
      <c r="C7" s="4" t="s">
        <v>18</v>
      </c>
      <c r="E7" t="str">
        <f>Screening!A4</f>
        <v>HC Gas Miscible Flood</v>
      </c>
      <c r="F7" t="str">
        <f>Screening!E4</f>
        <v>FAIL (critical)</v>
      </c>
      <c r="G7" t="str">
        <f>Screening!F4</f>
        <v>Not suitable</v>
      </c>
      <c r="H7" s="7">
        <f>Screening!D4</f>
        <v>0</v>
      </c>
      <c r="I7" s="7" t="str">
        <f>Screening!G4</f>
        <v/>
      </c>
      <c r="J7" s="7" t="str">
        <f>RF_EUR_Ranges!I4</f>
        <v/>
      </c>
    </row>
    <row r="8" spans="1:10">
      <c r="A8" s="5" t="s">
        <v>19</v>
      </c>
      <c r="B8" s="33"/>
      <c r="C8" s="4" t="s">
        <v>20</v>
      </c>
      <c r="E8" t="str">
        <f>Screening!A5</f>
        <v>HC Gas WAG</v>
      </c>
      <c r="F8" t="str">
        <f>Screening!E5</f>
        <v>FAIL (critical)</v>
      </c>
      <c r="G8" t="str">
        <f>Screening!F5</f>
        <v>Not suitable</v>
      </c>
      <c r="H8" s="7">
        <f>Screening!D5</f>
        <v>0</v>
      </c>
      <c r="I8" s="7" t="str">
        <f>Screening!G5</f>
        <v/>
      </c>
      <c r="J8" s="7" t="str">
        <f>RF_EUR_Ranges!I5</f>
        <v/>
      </c>
    </row>
    <row r="9" spans="1:10">
      <c r="A9" s="5" t="s">
        <v>21</v>
      </c>
      <c r="B9" s="33"/>
      <c r="C9" s="4" t="s">
        <v>22</v>
      </c>
      <c r="E9" t="str">
        <f>Screening!A6</f>
        <v>Immiscible Gas Flood</v>
      </c>
      <c r="F9" t="str">
        <f>Screening!E6</f>
        <v>FAIL (critical)</v>
      </c>
      <c r="G9" t="str">
        <f>Screening!F6</f>
        <v>Not suitable</v>
      </c>
      <c r="H9" s="7">
        <f>Screening!D6</f>
        <v>0</v>
      </c>
      <c r="I9" s="7" t="str">
        <f>Screening!G6</f>
        <v/>
      </c>
      <c r="J9" s="7" t="str">
        <f>RF_EUR_Ranges!I6</f>
        <v/>
      </c>
    </row>
    <row r="10" spans="1:10">
      <c r="A10" s="5" t="s">
        <v>23</v>
      </c>
      <c r="B10" s="33"/>
      <c r="C10" s="4" t="s">
        <v>24</v>
      </c>
      <c r="E10" t="str">
        <f>Screening!A7</f>
        <v>Immiscible Gas WAG</v>
      </c>
      <c r="F10" t="str">
        <f>Screening!E7</f>
        <v>FAIL (critical)</v>
      </c>
      <c r="G10" t="str">
        <f>Screening!F7</f>
        <v>Not suitable</v>
      </c>
      <c r="H10" s="7">
        <f>Screening!D7</f>
        <v>0</v>
      </c>
      <c r="I10" s="7" t="str">
        <f>Screening!G7</f>
        <v/>
      </c>
      <c r="J10" s="7" t="str">
        <f>RF_EUR_Ranges!I7</f>
        <v/>
      </c>
    </row>
    <row r="11" spans="1:10">
      <c r="A11" s="5" t="s">
        <v>25</v>
      </c>
      <c r="B11" s="33"/>
      <c r="C11" s="4" t="s">
        <v>26</v>
      </c>
      <c r="E11" t="str">
        <f>Screening!A8</f>
        <v>Polymer (HPAM)</v>
      </c>
      <c r="F11" t="str">
        <f>Screening!E8</f>
        <v>FAIL (critical)</v>
      </c>
      <c r="G11" t="str">
        <f>Screening!F8</f>
        <v>Not suitable</v>
      </c>
      <c r="H11" s="7">
        <f>Screening!D8</f>
        <v>0</v>
      </c>
      <c r="I11" s="7" t="str">
        <f>Screening!G8</f>
        <v/>
      </c>
      <c r="J11" s="7" t="str">
        <f>RF_EUR_Ranges!I8</f>
        <v/>
      </c>
    </row>
    <row r="12" spans="1:10">
      <c r="A12" s="5" t="s">
        <v>27</v>
      </c>
      <c r="B12" s="33"/>
      <c r="C12" s="4" t="s">
        <v>26</v>
      </c>
      <c r="E12" t="str">
        <f>Screening!A9</f>
        <v>Polymer (ATBS)</v>
      </c>
      <c r="F12" t="str">
        <f>Screening!E9</f>
        <v>FAIL (critical)</v>
      </c>
      <c r="G12" t="str">
        <f>Screening!F9</f>
        <v>Not suitable</v>
      </c>
      <c r="H12" s="7">
        <f>Screening!D9</f>
        <v>0</v>
      </c>
      <c r="I12" s="7" t="str">
        <f>Screening!G9</f>
        <v/>
      </c>
      <c r="J12" s="7" t="str">
        <f>RF_EUR_Ranges!I9</f>
        <v/>
      </c>
    </row>
    <row r="13" spans="1:10">
      <c r="A13" s="5" t="s">
        <v>28</v>
      </c>
      <c r="B13" s="6"/>
      <c r="C13" s="4" t="s">
        <v>29</v>
      </c>
      <c r="E13" t="str">
        <f>Screening!A10</f>
        <v>SP</v>
      </c>
      <c r="F13" t="str">
        <f>Screening!E10</f>
        <v>FAIL (critical)</v>
      </c>
      <c r="G13" t="str">
        <f>Screening!F10</f>
        <v>Not suitable</v>
      </c>
      <c r="H13" s="7">
        <f>Screening!D10</f>
        <v>0</v>
      </c>
      <c r="I13" s="7" t="str">
        <f>Screening!G10</f>
        <v/>
      </c>
      <c r="J13" s="7" t="str">
        <f>RF_EUR_Ranges!I10</f>
        <v/>
      </c>
    </row>
    <row r="14" spans="1:10">
      <c r="A14" s="5" t="s">
        <v>30</v>
      </c>
      <c r="B14" s="33"/>
      <c r="C14" s="4" t="s">
        <v>31</v>
      </c>
      <c r="E14" t="str">
        <f>Screening!A11</f>
        <v>ASP</v>
      </c>
      <c r="F14" t="str">
        <f>Screening!E11</f>
        <v>FAIL (critical)</v>
      </c>
      <c r="G14" t="str">
        <f>Screening!F11</f>
        <v>Not suitable</v>
      </c>
      <c r="H14" s="7">
        <f>Screening!D11</f>
        <v>0</v>
      </c>
      <c r="I14" s="7" t="str">
        <f>Screening!G11</f>
        <v/>
      </c>
      <c r="J14" s="7" t="str">
        <f>RF_EUR_Ranges!I11</f>
        <v/>
      </c>
    </row>
    <row r="15" spans="1:10">
      <c r="A15" s="5" t="s">
        <v>32</v>
      </c>
      <c r="B15" s="6"/>
      <c r="C15" s="4" t="s">
        <v>33</v>
      </c>
      <c r="E15" t="str">
        <f>Screening!A12</f>
        <v>CSS</v>
      </c>
      <c r="F15" t="str">
        <f>Screening!E12</f>
        <v>FAIL (critical)</v>
      </c>
      <c r="G15" t="str">
        <f>Screening!F12</f>
        <v>Not suitable</v>
      </c>
      <c r="H15" s="7">
        <f>Screening!D12</f>
        <v>0</v>
      </c>
      <c r="I15" s="7" t="str">
        <f>Screening!G12</f>
        <v/>
      </c>
      <c r="J15" s="7" t="str">
        <f>RF_EUR_Ranges!I12</f>
        <v/>
      </c>
    </row>
    <row r="16" spans="1:10">
      <c r="A16" s="5" t="s">
        <v>34</v>
      </c>
      <c r="B16" s="6"/>
      <c r="C16" s="4" t="s">
        <v>35</v>
      </c>
      <c r="E16" t="str">
        <f>Screening!A13</f>
        <v>Steam Flood</v>
      </c>
      <c r="F16" t="str">
        <f>Screening!E13</f>
        <v>FAIL (critical)</v>
      </c>
      <c r="G16" t="str">
        <f>Screening!F13</f>
        <v>Not suitable</v>
      </c>
      <c r="H16">
        <f>Screening!D13</f>
        <v>0</v>
      </c>
      <c r="I16" t="str">
        <f>Screening!G13</f>
        <v/>
      </c>
      <c r="J16" t="str">
        <f>RF_EUR_Ranges!I13</f>
        <v/>
      </c>
    </row>
    <row r="17" spans="1:10">
      <c r="A17" s="5" t="s">
        <v>36</v>
      </c>
      <c r="B17" s="6"/>
      <c r="C17" s="4" t="s">
        <v>37</v>
      </c>
      <c r="E17" s="3" t="str">
        <f>Screening!A14</f>
        <v>ISC</v>
      </c>
      <c r="F17" s="8" t="str">
        <f>Screening!E14</f>
        <v>FAIL (critical)</v>
      </c>
      <c r="G17" t="str">
        <f>Screening!F14</f>
        <v>Not suitable</v>
      </c>
      <c r="H17">
        <f>Screening!D14</f>
        <v>0</v>
      </c>
      <c r="I17" t="str">
        <f>Screening!G14</f>
        <v/>
      </c>
      <c r="J17" t="str">
        <f>RF_EUR_Ranges!I14</f>
        <v/>
      </c>
    </row>
    <row r="18" spans="1:10">
      <c r="A18" s="5" t="s">
        <v>38</v>
      </c>
      <c r="B18" s="6"/>
      <c r="C18" s="4" t="s">
        <v>39</v>
      </c>
      <c r="E18" s="3"/>
      <c r="F18" s="8"/>
    </row>
    <row r="19" spans="1:10">
      <c r="A19" s="5" t="s">
        <v>40</v>
      </c>
      <c r="B19" s="6"/>
      <c r="C19" s="4" t="s">
        <v>41</v>
      </c>
      <c r="E19" s="3" t="s">
        <v>42</v>
      </c>
      <c r="F19" s="8" t="str">
        <f>Summary!B3</f>
        <v>CO2 Miscible Flood</v>
      </c>
    </row>
    <row r="20" spans="1:10">
      <c r="A20" s="5"/>
      <c r="B20" s="6"/>
      <c r="C20" s="4"/>
      <c r="E20" s="3" t="s">
        <v>43</v>
      </c>
      <c r="F20" s="9" t="str">
        <f>Summary!B5</f>
        <v>FAIL (critical)</v>
      </c>
    </row>
    <row r="21" spans="1:10">
      <c r="A21" s="5" t="s">
        <v>44</v>
      </c>
      <c r="B21" s="6"/>
      <c r="C21" s="4" t="s">
        <v>45</v>
      </c>
      <c r="E21" t="s">
        <v>46</v>
      </c>
      <c r="F21" t="str">
        <f>Summary!B6</f>
        <v>Not suitable</v>
      </c>
    </row>
    <row r="22" spans="1:10">
      <c r="A22" s="5" t="s">
        <v>47</v>
      </c>
      <c r="B22" s="6"/>
      <c r="C22" s="4" t="s">
        <v>48</v>
      </c>
      <c r="E22" t="s">
        <v>49</v>
      </c>
      <c r="F22" t="str">
        <f>Summary!B31</f>
        <v/>
      </c>
    </row>
    <row r="23" spans="1:10">
      <c r="A23" s="5" t="s">
        <v>50</v>
      </c>
      <c r="B23" s="6"/>
      <c r="C23" s="4" t="s">
        <v>51</v>
      </c>
    </row>
    <row r="24" spans="1:10">
      <c r="A24" s="5" t="s">
        <v>52</v>
      </c>
      <c r="B24" s="6"/>
      <c r="C24" s="4" t="s">
        <v>53</v>
      </c>
    </row>
    <row r="25" spans="1:10">
      <c r="A25" s="5" t="s">
        <v>54</v>
      </c>
      <c r="B25" s="6"/>
      <c r="C25" s="4" t="s">
        <v>55</v>
      </c>
    </row>
    <row r="26" spans="1:10">
      <c r="A26" s="5" t="s">
        <v>56</v>
      </c>
      <c r="B26" s="6"/>
      <c r="C26" s="4" t="s">
        <v>57</v>
      </c>
    </row>
    <row r="27" spans="1:10">
      <c r="A27" s="5" t="s">
        <v>58</v>
      </c>
      <c r="B27" s="6"/>
      <c r="C27" s="4" t="s">
        <v>59</v>
      </c>
    </row>
    <row r="28" spans="1:10">
      <c r="A28" s="5" t="s">
        <v>60</v>
      </c>
      <c r="B28" s="6"/>
      <c r="C28" s="4" t="s">
        <v>48</v>
      </c>
    </row>
    <row r="29" spans="1:10">
      <c r="A29" s="5" t="s">
        <v>61</v>
      </c>
      <c r="B29" s="6"/>
      <c r="C29" s="4" t="s">
        <v>62</v>
      </c>
    </row>
    <row r="30" spans="1:10">
      <c r="A30" s="5" t="s">
        <v>63</v>
      </c>
      <c r="B30" s="6"/>
      <c r="C30" s="4" t="s">
        <v>64</v>
      </c>
    </row>
    <row r="31" spans="1:10" ht="28">
      <c r="A31" s="5" t="s">
        <v>65</v>
      </c>
      <c r="B31" s="6"/>
      <c r="C31" s="4" t="s">
        <v>64</v>
      </c>
    </row>
    <row r="32" spans="1:10">
      <c r="A32" s="5" t="s">
        <v>66</v>
      </c>
      <c r="B32" s="6"/>
      <c r="C32" s="4" t="s">
        <v>37</v>
      </c>
    </row>
    <row r="33" spans="1:3">
      <c r="A33" s="5" t="s">
        <v>67</v>
      </c>
      <c r="B33" s="6"/>
      <c r="C33" s="4" t="s">
        <v>68</v>
      </c>
    </row>
    <row r="34" spans="1:3">
      <c r="A34" s="5" t="s">
        <v>69</v>
      </c>
      <c r="B34" s="6"/>
      <c r="C34" s="4" t="s">
        <v>68</v>
      </c>
    </row>
    <row r="35" spans="1:3">
      <c r="A35" s="5" t="s">
        <v>70</v>
      </c>
      <c r="B35" s="6"/>
      <c r="C35" s="4" t="s">
        <v>71</v>
      </c>
    </row>
    <row r="36" spans="1:3">
      <c r="A36" s="5" t="s">
        <v>72</v>
      </c>
      <c r="B36" s="6"/>
      <c r="C36" s="4" t="s">
        <v>73</v>
      </c>
    </row>
    <row r="37" spans="1:3">
      <c r="A37" s="5" t="s">
        <v>74</v>
      </c>
      <c r="B37" s="6"/>
      <c r="C37" s="4" t="s">
        <v>73</v>
      </c>
    </row>
    <row r="38" spans="1:3">
      <c r="A38" s="5" t="s">
        <v>75</v>
      </c>
      <c r="B38" s="6"/>
      <c r="C38" s="4" t="s">
        <v>64</v>
      </c>
    </row>
    <row r="39" spans="1:3">
      <c r="A39" t="s">
        <v>76</v>
      </c>
      <c r="C39" t="s">
        <v>77</v>
      </c>
    </row>
    <row r="40" spans="1:3">
      <c r="A40" t="s">
        <v>78</v>
      </c>
      <c r="C40" t="s">
        <v>79</v>
      </c>
    </row>
    <row r="41" spans="1:3">
      <c r="A41" t="s">
        <v>80</v>
      </c>
      <c r="C41" t="s">
        <v>81</v>
      </c>
    </row>
    <row r="42" spans="1:3">
      <c r="A42" t="s">
        <v>82</v>
      </c>
      <c r="C42" t="s">
        <v>83</v>
      </c>
    </row>
    <row r="43" spans="1:3">
      <c r="A43" s="4" t="s">
        <v>84</v>
      </c>
      <c r="B43" s="4"/>
      <c r="C43" s="4" t="s">
        <v>85</v>
      </c>
    </row>
    <row r="44" spans="1:3">
      <c r="A44" s="4" t="s">
        <v>86</v>
      </c>
      <c r="B44" s="4"/>
      <c r="C44" s="4" t="s">
        <v>87</v>
      </c>
    </row>
  </sheetData>
  <pageMargins left="0.7" right="0.7" top="0.75" bottom="0.75" header="0.3" footer="0.3"/>
  <headerFooter>
    <oddHeader>&amp;C&amp;"Aptos"&amp;10&amp;K0078D7 [Open]&amp;1#_x000D_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xr:uid="{00000000-0002-0000-0000-000000000000}">
          <x14:formula1>
            <xm:f>Lists!$A$2:$A$3</xm:f>
          </x14:formula1>
          <xm:sqref>B13</xm:sqref>
        </x14:dataValidation>
        <x14:dataValidation type="list" xr:uid="{00000000-0002-0000-0000-000001000000}">
          <x14:formula1>
            <xm:f>Lists!$B$2:$B$4</xm:f>
          </x14:formula1>
          <xm:sqref>B15</xm:sqref>
        </x14:dataValidation>
        <x14:dataValidation type="list" xr:uid="{00000000-0002-0000-0000-000002000000}">
          <x14:formula1>
            <xm:f>Lists!$C$2:$C$3</xm:f>
          </x14:formula1>
          <xm:sqref>B39 B32:B34 B23:B25 B16:B17</xm:sqref>
        </x14:dataValidation>
        <x14:dataValidation type="list" xr:uid="{00000000-0002-0000-0000-000004000000}">
          <x14:formula1>
            <xm:f>Lists!$D$2:$D$9</xm:f>
          </x14:formula1>
          <xm:sqref>B21</xm:sqref>
        </x14:dataValidation>
        <x14:dataValidation type="list" xr:uid="{00000000-0002-0000-0000-000008000000}">
          <x14:formula1>
            <xm:f>Lists!$E$2:$E$4</xm:f>
          </x14:formula1>
          <xm:sqref>B27</xm:sqref>
        </x14:dataValidation>
        <x14:dataValidation type="list" xr:uid="{00000000-0002-0000-0000-000009000000}">
          <x14:formula1>
            <xm:f>Lists!$F$2:$F$4</xm:f>
          </x14:formula1>
          <xm:sqref>B29</xm:sqref>
        </x14:dataValidation>
        <x14:dataValidation type="list" xr:uid="{00000000-0002-0000-0000-00000A000000}">
          <x14:formula1>
            <xm:f>Lists!$G$2:$G$4</xm:f>
          </x14:formula1>
          <xm:sqref>B38 B30:B31</xm:sqref>
        </x14:dataValidation>
        <x14:dataValidation type="list" xr:uid="{00000000-0002-0000-0000-00000F000000}">
          <x14:formula1>
            <xm:f>Lists!$I$2:$I$5</xm:f>
          </x14:formula1>
          <xm:sqref>B35</xm:sqref>
        </x14:dataValidation>
        <x14:dataValidation type="list" xr:uid="{00000000-0002-0000-0000-000010000000}">
          <x14:formula1>
            <xm:f>Lists!$H$2:$H$4</xm:f>
          </x14:formula1>
          <xm:sqref>B36:B37</xm:sqref>
        </x14:dataValidation>
        <x14:dataValidation type="list" xr:uid="{00000000-0002-0000-0000-000014000000}">
          <x14:formula1>
            <xm:f>Lists!$J$2:$J$5</xm:f>
          </x14:formula1>
          <xm:sqref>B40</xm:sqref>
        </x14:dataValidation>
        <x14:dataValidation type="list" xr:uid="{00000000-0002-0000-0000-000015000000}">
          <x14:formula1>
            <xm:f>Lists!$K$2:$K$4</xm:f>
          </x14:formula1>
          <xm:sqref>B41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selection activeCell="G6" sqref="G6"/>
    </sheetView>
  </sheetViews>
  <sheetFormatPr defaultRowHeight="14"/>
  <cols>
    <col min="1" max="1" width="24" customWidth="1"/>
    <col min="2" max="2" width="16" customWidth="1"/>
    <col min="3" max="3" width="65" customWidth="1"/>
    <col min="4" max="4" width="12" customWidth="1"/>
    <col min="5" max="5" width="18" customWidth="1"/>
    <col min="6" max="6" width="20" customWidth="1"/>
    <col min="7" max="8" width="14" customWidth="1"/>
    <col min="9" max="9" width="16" customWidth="1"/>
  </cols>
  <sheetData>
    <row r="1" spans="1:9">
      <c r="A1" s="13" t="s">
        <v>7</v>
      </c>
      <c r="B1" s="13" t="s">
        <v>88</v>
      </c>
      <c r="C1" s="13" t="s">
        <v>89</v>
      </c>
      <c r="D1" s="13" t="s">
        <v>10</v>
      </c>
      <c r="E1" s="13" t="s">
        <v>8</v>
      </c>
      <c r="F1" s="13" t="s">
        <v>9</v>
      </c>
      <c r="G1" s="13" t="s">
        <v>11</v>
      </c>
      <c r="H1" s="13" t="s">
        <v>90</v>
      </c>
      <c r="I1" s="13" t="s">
        <v>91</v>
      </c>
    </row>
    <row r="2" spans="1:9">
      <c r="A2" s="4" t="s">
        <v>92</v>
      </c>
      <c r="B2" s="4" t="b">
        <f>OR(InputData!$B$8&lt;25,InputData!$B$7&gt;10,InputData!$B$4&lt;2500,NOT(OR(InputData!$B$23="Yes",InputData!$B$23="YES",InputData!$B$23="yes")),NOT(OR(InputData!$B$24="Yes",InputData!$B$24="YES",InputData!$B$24="yes")))</f>
        <v>1</v>
      </c>
      <c r="C2" s="4" t="str">
        <f>IF(InputData!$B$8&lt;25,"API &lt; 25°, ","")&amp;IF(InputData!$B$7&gt;10,"Viscosity &gt; 10 cP, ","")&amp;IF(InputData!$B$4&lt;2500,"Depth &lt; 2500 ft, ","")&amp;IF(NOT(OR(InputData!$B$23="Yes",InputData!$B$23="YES",InputData!$B$23="yes")),"CO2 unavailable, ","")&amp;IF(NOT(OR(InputData!$B$24="Yes",InputData!$B$24="YES",InputData!$B$24="yes")),"MMP not satisfied, ","")</f>
        <v xml:space="preserve">API &lt; 25°, Depth &lt; 2500 ft, CO2 unavailable, MMP not satisfied, </v>
      </c>
      <c r="D2" s="11">
        <f>IF(B2,0,(IF(InputData!$B$8&gt;=25,1,0)+IF(InputData!$B$7&lt;=10,1,0)+IF(InputData!$B$4&gt;=2500,1,0)+IF(OR(InputData!$B$23="Yes",InputData!$B$23="YES",InputData!$B$23="yes"),1,0)+IF(OR(InputData!$B$24="Yes",InputData!$B$24="YES",InputData!$B$24="yes"),1,0)+IF(OR(InputData!$B$25="Yes",InputData!$B$25="YES",InputData!$B$25="yes"),1,0)+IF(OR(InputData!$B$29="Favorable",InputData!$B$29="Neutral"),1,0))/7*100)</f>
        <v>0</v>
      </c>
      <c r="E2" s="11" t="str">
        <f t="shared" ref="E2:E14" si="0">IF(B2,"FAIL (critical)",IF(ISNUMBER(SEARCH("Conditional",C2)),"CONDITIONAL","PASS"))</f>
        <v>FAIL (critical)</v>
      </c>
      <c r="F2" s="11" t="str">
        <f t="shared" ref="F2:F14" si="1">IF(E2="FAIL (critical)","Not suitable",IF(E2="CONDITIONAL",IF(D2&gt;=50,"Potentially suitable","Marginal"),IF(D2&gt;=80,"Highly suitable",IF(D2&gt;=50,"Potentially suitable","Marginal"))))</f>
        <v>Not suitable</v>
      </c>
      <c r="G2" s="11" t="str">
        <f>IF(E2="FAIL (critical)","",D2/100*15*InputData!$B$22*InputData!$B$28)</f>
        <v/>
      </c>
      <c r="H2" s="11" t="str">
        <f>IF(G2="","",InputData!$B$19+G2)</f>
        <v/>
      </c>
      <c r="I2" s="11" t="str">
        <f>IF(H2="","",InputData!$B$18*H2/100)</f>
        <v/>
      </c>
    </row>
    <row r="3" spans="1:9" ht="28">
      <c r="A3" s="4" t="s">
        <v>93</v>
      </c>
      <c r="B3" s="4" t="b">
        <f>OR(InputData!$B$8&lt;25,InputData!$B$7&gt;10,NOT(OR(InputData!$B$23="Yes",InputData!$B$23="YES",InputData!$B$23="yes")),NOT(OR(InputData!$B$24="Yes",InputData!$B$24="YES",InputData!$B$24="yes")),NOT(OR(InputData!$B$33="Yes",InputData!$B$33="YES",InputData!$B$33="yes")),NOT(OR(InputData!$B$34="Yes",InputData!$B$34="YES",InputData!$B$34="yes")))</f>
        <v>1</v>
      </c>
      <c r="C3" s="4" t="str">
        <f>IF(InputData!$B$8&lt;25,"API &lt; 25°, ","")&amp;IF(InputData!$B$7&gt;10,"Viscosity &gt; 10 cP, ","")&amp;IF(NOT(OR(InputData!$B$23="Yes",InputData!$B$23="YES",InputData!$B$23="yes")),"CO2 unavailable, ","")&amp;IF(NOT(OR(InputData!$B$24="Yes",InputData!$B$24="YES",InputData!$B$24="yes")),"MMP not satisfied, ","")&amp;IF(NOT(OR(InputData!$B$33="Yes",InputData!$B$33="YES",InputData!$B$33="yes")),"Water injection facilities unavailable, ","")&amp;IF(NOT(OR(InputData!$B$34="Yes",InputData!$B$34="YES",InputData!$B$34="yes")),"Gas injection facilities unavailable, ","")&amp;IF(InputData!$B$38="High","Conditional: gravity override risk high, ","")</f>
        <v xml:space="preserve">API &lt; 25°, CO2 unavailable, MMP not satisfied, Water injection facilities unavailable, Gas injection facilities unavailable, </v>
      </c>
      <c r="D3" s="11">
        <f>IF(B3,0,(IF(InputData!$B$8&gt;=25,1,0)+IF(InputData!$B$7&lt;=10,1,0)+IF(OR(InputData!$B$23="Yes",InputData!$B$23="YES",InputData!$B$23="yes"),1,0)+IF(OR(InputData!$B$24="Yes",InputData!$B$24="YES",InputData!$B$24="yes"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)/10*100)</f>
        <v>0</v>
      </c>
      <c r="E3" s="11" t="str">
        <f t="shared" si="0"/>
        <v>FAIL (critical)</v>
      </c>
      <c r="F3" s="11" t="str">
        <f t="shared" si="1"/>
        <v>Not suitable</v>
      </c>
      <c r="G3" s="11" t="str">
        <f>IF(E3="FAIL (critical)","",D3/100*18*InputData!$B$22*InputData!$B$28)</f>
        <v/>
      </c>
      <c r="H3" s="11" t="str">
        <f>IF(G3="","",InputData!$B$19+G3)</f>
        <v/>
      </c>
      <c r="I3" s="11" t="str">
        <f>IF(H3="","",InputData!$B$18*H3/100)</f>
        <v/>
      </c>
    </row>
    <row r="4" spans="1:9">
      <c r="A4" s="4" t="s">
        <v>94</v>
      </c>
      <c r="B4" s="4" t="b">
        <f>OR(InputData!$B$8&lt;25,InputData!$B$7&gt;10,InputData!$B$4&lt;2500,NOT(OR(InputData!$B$24="Yes",InputData!$B$24="YES",InputData!$B$24="yes")),NOT(OR(InputData!$B$42="Available/Conditional",InputData!$B$42="Available",InputData!$B$39="Yes",InputData!$B$39="YES",InputData!$B$39="yes")))</f>
        <v>1</v>
      </c>
      <c r="C4" s="4" t="str">
        <f>IF(InputData!$B$8&lt;25,"API &lt; 25°, ","")&amp;IF(InputData!$B$7&gt;10,"Viscosity &gt; 10 cP, ","")&amp;IF(InputData!$B$4&lt;2500,"Depth &lt; 2500 ft, ","")&amp;IF(NOT(OR(InputData!$B$24="Yes",InputData!$B$24="YES",InputData!$B$24="yes")),"MMP not satisfied, ","")&amp;IF(NOT(OR(InputData!$B$42="Available/Conditional",InputData!$B$42="Available",InputData!$B$39="Yes",InputData!$B$39="YES",InputData!$B$39="yes")),"HC gas source unavailable, ","")&amp;IF(AND(NOT(OR(InputData!$B$39="Yes",InputData!$B$39="YES",InputData!$B$39="yes")),OR(InputData!$B$40="High",InputData!$B$40="Moderate",InputData!$B$44="High",InputData!$B$44="Moderate"),OR(InputData!$B$41="Yes",InputData!$B$41="YES",InputData!$B$41="yes")),"Conditional: produced GOR supports HC gas reinjection/recycling, ","")</f>
        <v xml:space="preserve">API &lt; 25°, Depth &lt; 2500 ft, MMP not satisfied, HC gas source unavailable, </v>
      </c>
      <c r="D4" s="11">
        <f>IF(B4,0,(IF(InputData!$B$8&gt;=25,1,0)+IF(InputData!$B$7&lt;=10,1,0)+IF(InputData!$B$4&gt;=2500,1,0)+IF(OR(InputData!$B$24="Yes",InputData!$B$24="YES",InputData!$B$24="yes"),1,0)+IF(OR(InputData!$B$42="Available/Conditional",InputData!$B$42="Available",InputData!$B$39="Yes",InputData!$B$39="YES",InputData!$B$39="yes"),1,0)+IF(OR(InputData!$B$25="Yes",InputData!$B$25="YES",InputData!$B$25="yes"),1,0)+IF(OR(InputData!$B$29="Favorable",InputData!$B$29="Neutral"),1,0)+IF(OR(InputData!$B$40="High",InputData!$B$44="High"),1,IF(OR(InputData!$B$40="Moderate",InputData!$B$44="Moderate"),0.5,0)))/8*100)</f>
        <v>0</v>
      </c>
      <c r="E4" s="11" t="str">
        <f t="shared" si="0"/>
        <v>FAIL (critical)</v>
      </c>
      <c r="F4" s="11" t="str">
        <f t="shared" si="1"/>
        <v>Not suitable</v>
      </c>
      <c r="G4" s="11" t="str">
        <f>IF(E4="FAIL (critical)","",D4/100*14*InputData!$B$22*InputData!$B$28)</f>
        <v/>
      </c>
      <c r="H4" s="11" t="str">
        <f>IF(G4="","",InputData!$B$19+G4)</f>
        <v/>
      </c>
      <c r="I4" s="11" t="str">
        <f>IF(H4="","",InputData!$B$18*H4/100)</f>
        <v/>
      </c>
    </row>
    <row r="5" spans="1:9" ht="28">
      <c r="A5" s="4" t="s">
        <v>95</v>
      </c>
      <c r="B5" s="4" t="b">
        <f>OR(InputData!$B$8&lt;25,InputData!$B$7&gt;10,NOT(OR(InputData!$B$24="Yes",InputData!$B$24="YES",InputData!$B$24="yes")),NOT(OR(InputData!$B$42="Available/Conditional",InputData!$B$42="Available",InputData!$B$39="Yes",InputData!$B$39="YES",InputData!$B$39="yes")),NOT(OR(InputData!$B$33="Yes",InputData!$B$33="YES",InputData!$B$33="yes")),NOT(OR(InputData!$B$34="Yes",InputData!$B$34="YES",InputData!$B$34="yes")))</f>
        <v>1</v>
      </c>
      <c r="C5" s="4" t="str">
        <f>IF(InputData!$B$8&lt;25,"API &lt; 25°, ","")&amp;IF(InputData!$B$7&gt;10,"Viscosity &gt; 10 cP, ","")&amp;IF(NOT(OR(InputData!$B$24="Yes",InputData!$B$24="YES",InputData!$B$24="yes")),"MMP not satisfied, ","")&amp;IF(NOT(OR(InputData!$B$42="Available/Conditional",InputData!$B$42="Available",InputData!$B$39="Yes",InputData!$B$39="YES",InputData!$B$39="yes")),"HC gas source unavailable, ","")&amp;IF(NOT(OR(InputData!$B$33="Yes",InputData!$B$33="YES",InputData!$B$33="yes")),"Water injection facilities unavailable, ","")&amp;IF(NOT(OR(InputData!$B$34="Yes",InputData!$B$34="YES",InputData!$B$34="yes")),"Gas injection facilities unavailable, ","")&amp;IF(AND(NOT(OR(InputData!$B$39="Yes",InputData!$B$39="YES",InputData!$B$39="yes")),OR(InputData!$B$40="High",InputData!$B$40="Moderate",InputData!$B$44="High",InputData!$B$44="Moderate"),OR(InputData!$B$41="Yes",InputData!$B$41="YES",InputData!$B$41="yes")),"Conditional: produced GOR supports HC gas reinjection/recycling, ","")&amp;IF(InputData!$B$38="High","Conditional: gravity override risk high, ","")</f>
        <v xml:space="preserve">API &lt; 25°, MMP not satisfied, HC gas source unavailable, Water injection facilities unavailable, Gas injection facilities unavailable, </v>
      </c>
      <c r="D5" s="11">
        <f>IF(B5,0,(IF(InputData!$B$8&gt;=25,1,0)+IF(InputData!$B$7&lt;=10,1,0)+IF(OR(InputData!$B$24="Yes",InputData!$B$24="YES",InputData!$B$24="yes"),1,0)+IF(OR(InputData!$B$42="Available/Conditional",InputData!$B$42="Available",InputData!$B$39="Yes",InputData!$B$39="YES",InputData!$B$39="yes"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+IF(OR(InputData!$B$40="High",InputData!$B$44="High"),1,IF(OR(InputData!$B$40="Moderate",InputData!$B$44="Moderate"),0.5,0)))/11*100)</f>
        <v>0</v>
      </c>
      <c r="E5" s="11" t="str">
        <f t="shared" si="0"/>
        <v>FAIL (critical)</v>
      </c>
      <c r="F5" s="11" t="str">
        <f t="shared" si="1"/>
        <v>Not suitable</v>
      </c>
      <c r="G5" s="11" t="str">
        <f>IF(E5="FAIL (critical)","",D5/100*17*InputData!$B$22*InputData!$B$28)</f>
        <v/>
      </c>
      <c r="H5" s="11" t="str">
        <f>IF(G5="","",InputData!$B$19+G5)</f>
        <v/>
      </c>
      <c r="I5" s="11" t="str">
        <f>IF(H5="","",InputData!$B$18*H5/100)</f>
        <v/>
      </c>
    </row>
    <row r="6" spans="1:9">
      <c r="A6" s="4" t="s">
        <v>96</v>
      </c>
      <c r="B6" s="4" t="b">
        <f>OR(InputData!$B$8&lt;15,InputData!$B$7&gt;35,NOT(OR(OR(InputData!$B$16="Yes",InputData!$B$16="YES",InputData!$B$16="yes"),OR(InputData!$B$42="Available/Conditional",InputData!$B$42="Available",InputData!$B$39="Yes",InputData!$B$39="YES",InputData!$B$39="yes"))))</f>
        <v>1</v>
      </c>
      <c r="C6" s="4" t="str">
        <f>IF(InputData!$B$8&lt;15,"API &lt; 15°, ","")&amp;IF(InputData!$B$7&gt;35,"Viscosity &gt; 35 cP, ","")&amp;IF(NOT(OR(OR(InputData!$B$16="Yes",InputData!$B$16="YES",InputData!$B$16="yes"),OR(InputData!$B$42="Available/Conditional",InputData!$B$42="Available",InputData!$B$39="Yes",InputData!$B$39="YES",InputData!$B$39="yes"))),"Injection gas source unavailable, ","")&amp;IF(AND(NOT(OR(InputData!$B$16="Yes",InputData!$B$16="YES",InputData!$B$16="yes")),AND(NOT(OR(InputData!$B$39="Yes",InputData!$B$39="YES",InputData!$B$39="yes")),OR(InputData!$B$40="High",InputData!$B$40="Moderate",InputData!$B$44="High",InputData!$B$44="Moderate"),OR(InputData!$B$41="Yes",InputData!$B$41="YES",InputData!$B$41="yes"))),"Conditional: produced GOR supports HC gas reinjection/recycling, ","")</f>
        <v xml:space="preserve">API &lt; 15°, Injection gas source unavailable, </v>
      </c>
      <c r="D6" s="11">
        <f>IF(B6,0,(IF(InputData!$B$8&gt;=15,1,0)+IF(InputData!$B$7&lt;=35,1,0)+IF(OR(OR(InputData!$B$16="Yes",InputData!$B$16="YES",InputData!$B$16="yes"),OR(InputData!$B$42="Available/Conditional",InputData!$B$42="Available",InputData!$B$39="Yes",InputData!$B$39="YES",InputData!$B$39="yes")),1,0)+IF(OR(InputData!$B$25="Yes",InputData!$B$25="YES",InputData!$B$25="yes"),1,0)+IF(OR(InputData!$B$29="Favorable",InputData!$B$29="Neutral"),1,0)+IF(OR(InputData!$B$40="High",InputData!$B$44="High"),1,IF(OR(InputData!$B$40="Moderate",InputData!$B$44="Moderate"),0.5,0)))/6*100)</f>
        <v>0</v>
      </c>
      <c r="E6" s="11" t="str">
        <f t="shared" si="0"/>
        <v>FAIL (critical)</v>
      </c>
      <c r="F6" s="11" t="str">
        <f t="shared" si="1"/>
        <v>Not suitable</v>
      </c>
      <c r="G6" s="11" t="str">
        <f>IF(E6="FAIL (critical)","",D6/100*8*InputData!$B$22*InputData!$B$28)</f>
        <v/>
      </c>
      <c r="H6" s="11" t="str">
        <f>IF(G6="","",InputData!$B$19+G6)</f>
        <v/>
      </c>
      <c r="I6" s="11" t="str">
        <f>IF(H6="","",InputData!$B$18*H6/100)</f>
        <v/>
      </c>
    </row>
    <row r="7" spans="1:9" ht="28">
      <c r="A7" s="4" t="s">
        <v>97</v>
      </c>
      <c r="B7" s="4" t="b">
        <f>OR(InputData!$B$8&lt;15,InputData!$B$7&gt;35,NOT(OR(OR(InputData!$B$16="Yes",InputData!$B$16="YES",InputData!$B$16="yes"),OR(InputData!$B$42="Available/Conditional",InputData!$B$42="Available",InputData!$B$39="Yes",InputData!$B$39="YES",InputData!$B$39="yes"))),NOT(OR(InputData!$B$33="Yes",InputData!$B$33="YES",InputData!$B$33="yes")),NOT(OR(InputData!$B$34="Yes",InputData!$B$34="YES",InputData!$B$34="yes")))</f>
        <v>1</v>
      </c>
      <c r="C7" s="4" t="str">
        <f>IF(InputData!$B$8&lt;15,"API &lt; 15°, ","")&amp;IF(InputData!$B$7&gt;35,"Viscosity &gt; 35 cP, ","")&amp;IF(NOT(OR(OR(InputData!$B$16="Yes",InputData!$B$16="YES",InputData!$B$16="yes"),OR(InputData!$B$42="Available/Conditional",InputData!$B$42="Available",InputData!$B$39="Yes",InputData!$B$39="YES",InputData!$B$39="yes"))),"Injection gas source unavailable, ","")&amp;IF(NOT(OR(InputData!$B$33="Yes",InputData!$B$33="YES",InputData!$B$33="yes")),"Water injection facilities unavailable, ","")&amp;IF(NOT(OR(InputData!$B$34="Yes",InputData!$B$34="YES",InputData!$B$34="yes")),"Gas injection facilities unavailable, ","")&amp;IF(AND(NOT(OR(InputData!$B$16="Yes",InputData!$B$16="YES",InputData!$B$16="yes")),AND(NOT(OR(InputData!$B$39="Yes",InputData!$B$39="YES",InputData!$B$39="yes")),OR(InputData!$B$40="High",InputData!$B$40="Moderate",InputData!$B$44="High",InputData!$B$44="Moderate"),OR(InputData!$B$41="Yes",InputData!$B$41="YES",InputData!$B$41="yes"))),"Conditional: produced GOR supports HC gas reinjection/recycling, ","")&amp;IF(InputData!$B$38="High","Conditional: gravity override risk high, ","")</f>
        <v xml:space="preserve">API &lt; 15°, Injection gas source unavailable, Water injection facilities unavailable, Gas injection facilities unavailable, </v>
      </c>
      <c r="D7" s="11">
        <f>IF(B7,0,(IF(InputData!$B$8&gt;=15,1,0)+IF(InputData!$B$7&lt;=35,1,0)+IF(OR(OR(InputData!$B$16="Yes",InputData!$B$16="YES",InputData!$B$16="yes"),OR(InputData!$B$42="Available/Conditional",InputData!$B$42="Available",InputData!$B$39="Yes",InputData!$B$39="YES",InputData!$B$39="yes")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+IF(OR(InputData!$B$40="High",InputData!$B$44="High"),1,IF(OR(InputData!$B$40="Moderate",InputData!$B$44="Moderate"),0.5,0)))/10*100)</f>
        <v>0</v>
      </c>
      <c r="E7" s="11" t="str">
        <f t="shared" si="0"/>
        <v>FAIL (critical)</v>
      </c>
      <c r="F7" s="11" t="str">
        <f t="shared" si="1"/>
        <v>Not suitable</v>
      </c>
      <c r="G7" s="11" t="str">
        <f>IF(E7="FAIL (critical)","",D7/100*12*InputData!$B$22*InputData!$B$28)</f>
        <v/>
      </c>
      <c r="H7" s="11" t="str">
        <f>IF(G7="","",InputData!$B$19+G7)</f>
        <v/>
      </c>
      <c r="I7" s="11" t="str">
        <f>IF(H7="","",InputData!$B$18*H7/100)</f>
        <v/>
      </c>
    </row>
    <row r="8" spans="1:9">
      <c r="A8" s="4" t="s">
        <v>98</v>
      </c>
      <c r="B8" s="4" t="b">
        <f>OR(InputData!$B$6&gt;70,InputData!$B$11&gt;70000,InputData!$B$12&gt;500,InputData!$B$9&lt;50,OR(InputData!$B$17="Yes",InputData!$B$17="YES",InputData!$B$17="yes"))</f>
        <v>1</v>
      </c>
      <c r="C8" s="4" t="str">
        <f>IF(InputData!$B$6&gt;70,"Temperature &gt; 70°C, ","")&amp;IF(InputData!$B$11&gt;70000,"TDS &gt; 70,000 ppm, ","")&amp;IF(InputData!$B$12&gt;500,"Hardness &gt; 500 ppm, ","")&amp;IF(InputData!$B$9&lt;50,"Permeability &lt; 50 mD, ","")&amp;IF(OR(InputData!$B$17="Yes",InputData!$B$17="YES",InputData!$B$17="yes"),"Oxygen control required, ","")</f>
        <v xml:space="preserve">Permeability &lt; 50 mD, </v>
      </c>
      <c r="D8" s="11">
        <f>IF(B8,0,(IF(InputData!$B$6&lt;=70,1,0)+IF(InputData!$B$11&lt;=70000,1,0)+IF(InputData!$B$12&lt;=500,1,0)+IF(InputData!$B$9&gt;=50,1,0)+IF(NOT(OR(InputData!$B$17="Yes",InputData!$B$17="YES",InputData!$B$17="yes")),1,0)+IF(InputData!$B$26&gt;=50,1,0)+IF(OR(InputData!$B$29="Favorable",InputData!$B$29="Neutral"),1,0))/7*100)</f>
        <v>0</v>
      </c>
      <c r="E8" s="11" t="str">
        <f t="shared" si="0"/>
        <v>FAIL (critical)</v>
      </c>
      <c r="F8" s="11" t="str">
        <f t="shared" si="1"/>
        <v>Not suitable</v>
      </c>
      <c r="G8" s="11" t="str">
        <f>IF(E8="FAIL (critical)","",D8/100*10*InputData!$B$22*InputData!$B$28)</f>
        <v/>
      </c>
      <c r="H8" s="11" t="str">
        <f>IF(G8="","",InputData!$B$19+G8)</f>
        <v/>
      </c>
      <c r="I8" s="11" t="str">
        <f>IF(H8="","",InputData!$B$18*H8/100)</f>
        <v/>
      </c>
    </row>
    <row r="9" spans="1:9">
      <c r="A9" s="4" t="s">
        <v>99</v>
      </c>
      <c r="B9" s="4" t="b">
        <f>OR(InputData!$B$6&gt;120,InputData!$B$11&gt;250000,InputData!$B$12&gt;5000,InputData!$B$9&lt;30,OR(InputData!$B$17="Yes",InputData!$B$17="YES",InputData!$B$17="yes"))</f>
        <v>1</v>
      </c>
      <c r="C9" s="4" t="str">
        <f>IF(InputData!$B$6&gt;120,"Temperature &gt; 120°C, ","")&amp;IF(InputData!$B$11&gt;250000,"TDS &gt; 250,000 ppm, ","")&amp;IF(InputData!$B$12&gt;5000,"Hardness &gt; 5,000 ppm, ","")&amp;IF(InputData!$B$9&lt;30,"Permeability &lt; 30 mD, ","")&amp;IF(OR(InputData!$B$17="Yes",InputData!$B$17="YES",InputData!$B$17="yes"),"Oxygen control required, ","")</f>
        <v xml:space="preserve">Permeability &lt; 30 mD, </v>
      </c>
      <c r="D9" s="11">
        <f>IF(B9,0,(IF(InputData!$B$6&lt;=120,1,0)+IF(InputData!$B$11&lt;=250000,1,0)+IF(InputData!$B$12&lt;=5000,1,0)+IF(InputData!$B$9&gt;=30,1,0)+IF(NOT(OR(InputData!$B$17="Yes",InputData!$B$17="YES",InputData!$B$17="yes")),1,0)+IF(InputData!$B$26&gt;=50,1,0)+IF(OR(InputData!$B$29="Favorable",InputData!$B$29="Neutral"),1,0))/7*100)</f>
        <v>0</v>
      </c>
      <c r="E9" s="11" t="str">
        <f t="shared" si="0"/>
        <v>FAIL (critical)</v>
      </c>
      <c r="F9" s="11" t="str">
        <f t="shared" si="1"/>
        <v>Not suitable</v>
      </c>
      <c r="G9" s="11" t="str">
        <f>IF(E9="FAIL (critical)","",D9/100*12*InputData!$B$22*InputData!$B$28)</f>
        <v/>
      </c>
      <c r="H9" s="11" t="str">
        <f>IF(G9="","",InputData!$B$19+G9)</f>
        <v/>
      </c>
      <c r="I9" s="11" t="str">
        <f>IF(H9="","",InputData!$B$18*H9/100)</f>
        <v/>
      </c>
    </row>
    <row r="10" spans="1:9">
      <c r="A10" s="4" t="s">
        <v>100</v>
      </c>
      <c r="B10" s="4" t="b">
        <f>OR(InputData!$B$8&lt;20,InputData!$B$7&gt;35,InputData!$B$6&gt;100,InputData!$B$11&gt;100000,InputData!$B$30="High",InputData!$B$31="High")</f>
        <v>1</v>
      </c>
      <c r="C10" s="4" t="str">
        <f>IF(InputData!$B$8&lt;20,"API &lt; 20°, ","")&amp;IF(InputData!$B$7&gt;35,"Viscosity &gt; 35 cP, ","")&amp;IF(InputData!$B$6&gt;100,"Temperature &gt; 100°C, ","")&amp;IF(InputData!$B$11&gt;100000,"TDS &gt; 100,000 ppm, ","")&amp;IF(InputData!$B$30="High","Adsorption risk high, ","")&amp;IF(InputData!$B$31="High","Produced-water handling high, ","")</f>
        <v xml:space="preserve">API &lt; 20°, </v>
      </c>
      <c r="D10" s="11">
        <f>IF(B10,0,(IF(InputData!$B$8&gt;=20,1,0)+IF(InputData!$B$7&lt;=35,1,0)+IF(InputData!$B$6&lt;=100,1,0)+IF(InputData!$B$11&lt;=100000,1,0)+IF(OR(InputData!$B$30="Low",InputData!$B$30="Medium"),1,0)+IF(OR(InputData!$B$31="Low",InputData!$B$31="Medium"),1,0)+IF(OR(InputData!$B$13="Sandstone",InputData!$B$13="Carbonate"),1,0)+IF(InputData!$B$26&gt;=50,1,0))/8*100)</f>
        <v>0</v>
      </c>
      <c r="E10" s="11" t="str">
        <f t="shared" si="0"/>
        <v>FAIL (critical)</v>
      </c>
      <c r="F10" s="11" t="str">
        <f t="shared" si="1"/>
        <v>Not suitable</v>
      </c>
      <c r="G10" s="11" t="str">
        <f>IF(E10="FAIL (critical)","",D10/100*15*InputData!$B$22*InputData!$B$28)</f>
        <v/>
      </c>
      <c r="H10" s="11" t="str">
        <f>IF(G10="","",InputData!$B$19+G10)</f>
        <v/>
      </c>
      <c r="I10" s="11" t="str">
        <f>IF(H10="","",InputData!$B$18*H10/100)</f>
        <v/>
      </c>
    </row>
    <row r="11" spans="1:9">
      <c r="A11" s="4" t="s">
        <v>101</v>
      </c>
      <c r="B11" s="4" t="b">
        <f>OR(InputData!$B$8&lt;22,InputData!$B$7&gt;30,InputData!$B$6&gt;90,InputData!$B$11&gt;10000,InputData!$B$12&gt;50,NOT(OR(InputData!$B$13="Sandstone",InputData!$B$13="sandstone")))</f>
        <v>1</v>
      </c>
      <c r="C11" s="4" t="str">
        <f>IF(InputData!$B$8&lt;22,"API &lt; 22°, ","")&amp;IF(InputData!$B$7&gt;30,"Viscosity &gt; 30 cP, ","")&amp;IF(InputData!$B$6&gt;90,"Temperature &gt; 90°C, ","")&amp;IF(InputData!$B$11&gt;10000,"TDS &gt; 10,000 ppm, ","")&amp;IF(InputData!$B$12&gt;50,"Hardness &gt; 50 ppm, ","")&amp;IF(NOT(OR(InputData!$B$13="Sandstone",InputData!$B$13="sandstone")),"Requires sandstone, ","")</f>
        <v xml:space="preserve">API &lt; 22°, Requires sandstone, </v>
      </c>
      <c r="D11" s="11">
        <f>IF(B11,0,(IF(InputData!$B$8&gt;=22,1,0)+IF(InputData!$B$7&lt;=30,1,0)+IF(InputData!$B$6&lt;=90,1,0)+IF(InputData!$B$11&lt;=10000,1,0)+IF(InputData!$B$12&lt;=50,1,0)+IF(OR(InputData!$B$13="Sandstone",InputData!$B$13="sandstone"),1,0)+IF(OR(InputData!$B$31="Low",InputData!$B$31="Medium"),1,0)+IF(InputData!$B$26&gt;=50,1,0))/8*100)</f>
        <v>0</v>
      </c>
      <c r="E11" s="11" t="str">
        <f t="shared" si="0"/>
        <v>FAIL (critical)</v>
      </c>
      <c r="F11" s="11" t="str">
        <f t="shared" si="1"/>
        <v>Not suitable</v>
      </c>
      <c r="G11" s="11" t="str">
        <f>IF(E11="FAIL (critical)","",D11/100*20*InputData!$B$22*InputData!$B$28)</f>
        <v/>
      </c>
      <c r="H11" s="11" t="str">
        <f>IF(G11="","",InputData!$B$19+G11)</f>
        <v/>
      </c>
      <c r="I11" s="11" t="str">
        <f>IF(H11="","",InputData!$B$18*H11/100)</f>
        <v/>
      </c>
    </row>
    <row r="12" spans="1:9">
      <c r="A12" s="4" t="s">
        <v>102</v>
      </c>
      <c r="B12" s="4" t="b">
        <f>OR(InputData!$B$7&lt;100,InputData!$B$4&gt;3000,InputData!$B$9&lt;500)</f>
        <v>1</v>
      </c>
      <c r="C12" s="4" t="str">
        <f>IF(InputData!$B$7&lt;100,"Viscosity &lt; 100 cP, ","")&amp;IF(InputData!$B$4&gt;3000,"Depth &gt; 3000 ft, ","")&amp;IF(InputData!$B$9&lt;500,"Permeability &lt; 500 mD, ","")</f>
        <v xml:space="preserve">Viscosity &lt; 100 cP, Permeability &lt; 500 mD, </v>
      </c>
      <c r="D12" s="11">
        <f>IF(B12,0,(IF(InputData!$B$7&gt;=100,1,0)+IF(InputData!$B$4&lt;=3000,1,0)+IF(InputData!$B$9&gt;=500,1,0)+IF(OR(InputData!$B$32="No",InputData!$B$32="NO",InputData!$B$32="no"),1,0))/4*100)</f>
        <v>0</v>
      </c>
      <c r="E12" s="11" t="str">
        <f t="shared" si="0"/>
        <v>FAIL (critical)</v>
      </c>
      <c r="F12" s="11" t="str">
        <f t="shared" si="1"/>
        <v>Not suitable</v>
      </c>
      <c r="G12" s="11" t="str">
        <f>IF(E12="FAIL (critical)","",D12/100*15*InputData!$B$22*InputData!$B$28)</f>
        <v/>
      </c>
      <c r="H12" s="11" t="str">
        <f>IF(G12="","",InputData!$B$19+G12)</f>
        <v/>
      </c>
      <c r="I12" s="11" t="str">
        <f>IF(H12="","",InputData!$B$18*H12/100)</f>
        <v/>
      </c>
    </row>
    <row r="13" spans="1:9">
      <c r="A13" t="s">
        <v>103</v>
      </c>
      <c r="B13" t="b">
        <f>OR(InputData!$B$7&lt;100,InputData!$B$4&gt;3000,InputData!$B$9&lt;1000)</f>
        <v>1</v>
      </c>
      <c r="C13" t="str">
        <f>IF(InputData!$B$7&lt;100,"Viscosity &lt; 100 cP, ","")&amp;IF(InputData!$B$4&gt;3000,"Depth &gt; 3000 ft, ","")&amp;IF(InputData!$B$9&lt;1000,"Permeability &lt; 1000 mD, ","")</f>
        <v xml:space="preserve">Viscosity &lt; 100 cP, Permeability &lt; 1000 mD, </v>
      </c>
      <c r="D13" s="7">
        <f>IF(B13,0,(IF(InputData!$B$7&gt;=100,1,0)+IF(InputData!$B$4&lt;=3000,1,0)+IF(InputData!$B$9&gt;=1000,1,0)+IF(OR(InputData!$B$32="No",InputData!$B$32="NO",InputData!$B$32="no"),1,0))/4*100)</f>
        <v>0</v>
      </c>
      <c r="E13" t="str">
        <f t="shared" si="0"/>
        <v>FAIL (critical)</v>
      </c>
      <c r="F13" t="str">
        <f t="shared" si="1"/>
        <v>Not suitable</v>
      </c>
      <c r="G13" s="7" t="str">
        <f>IF(E13="FAIL (critical)","",D13/100*18*InputData!$B$22*InputData!$B$28)</f>
        <v/>
      </c>
      <c r="H13" s="7" t="str">
        <f>IF(G13="","",InputData!$B$19+G13)</f>
        <v/>
      </c>
      <c r="I13" s="7" t="str">
        <f>IF(H13="","",InputData!$B$18*H13/100)</f>
        <v/>
      </c>
    </row>
    <row r="14" spans="1:9">
      <c r="A14" t="s">
        <v>104</v>
      </c>
      <c r="B14" t="b">
        <f>OR(InputData!$B$7&lt;10,InputData!$B$7&gt;200,InputData!$B$9&lt;200)</f>
        <v>1</v>
      </c>
      <c r="C14" t="str">
        <f>IF(InputData!$B$7&lt;10,"Viscosity &lt; 10 cP, ","")&amp;IF(InputData!$B$7&gt;200,"Viscosity &gt; 200 cP, ","")&amp;IF(InputData!$B$9&lt;200,"Permeability &lt; 200 mD, ","")</f>
        <v xml:space="preserve">Viscosity &lt; 10 cP, Permeability &lt; 200 mD, </v>
      </c>
      <c r="D14" s="7">
        <f>IF(B14,0,(IF(AND(InputData!$B$7&gt;=10,InputData!$B$7&lt;=200),1,0)+IF(InputData!$B$9&gt;=200,1,0)+IF(OR(InputData!$B$32="No",InputData!$B$32="NO",InputData!$B$32="no"),1,0))/3*100)</f>
        <v>0</v>
      </c>
      <c r="E14" t="str">
        <f t="shared" si="0"/>
        <v>FAIL (critical)</v>
      </c>
      <c r="F14" t="str">
        <f t="shared" si="1"/>
        <v>Not suitable</v>
      </c>
      <c r="G14" s="7" t="str">
        <f>IF(E14="FAIL (critical)","",D14/100*10*InputData!$B$22*InputData!$B$28)</f>
        <v/>
      </c>
      <c r="H14" s="7" t="str">
        <f>IF(G14="","",InputData!$B$19+G14)</f>
        <v/>
      </c>
      <c r="I14" s="7" t="str">
        <f>IF(H14="","",InputData!$B$18*H14/100)</f>
        <v/>
      </c>
    </row>
  </sheetData>
  <conditionalFormatting sqref="E2:E12">
    <cfRule type="expression" dxfId="31" priority="1">
      <formula>E2="PASS"</formula>
    </cfRule>
    <cfRule type="expression" dxfId="30" priority="2">
      <formula>E2="FAIL (critical)"</formula>
    </cfRule>
  </conditionalFormatting>
  <conditionalFormatting sqref="E2:E14">
    <cfRule type="expression" dxfId="29" priority="6">
      <formula>EXACT(E2,"PASS")</formula>
    </cfRule>
    <cfRule type="expression" dxfId="28" priority="7">
      <formula>EXACT(E2,"CONDITIONAL")</formula>
    </cfRule>
    <cfRule type="expression" dxfId="27" priority="8">
      <formula>ISNUMBER(SEARCH("FAIL",E2))</formula>
    </cfRule>
  </conditionalFormatting>
  <conditionalFormatting sqref="F2:F12">
    <cfRule type="expression" dxfId="26" priority="3">
      <formula>F2="Highly suitable"</formula>
    </cfRule>
    <cfRule type="expression" dxfId="25" priority="4">
      <formula>OR(F2="Potentially suitable",F2="Marginal")</formula>
    </cfRule>
    <cfRule type="expression" dxfId="24" priority="5">
      <formula>F2="Not suitable"</formula>
    </cfRule>
  </conditionalFormatting>
  <conditionalFormatting sqref="F2:F14">
    <cfRule type="expression" dxfId="23" priority="9">
      <formula>EXACT(F2,"Highly suitable")</formula>
    </cfRule>
    <cfRule type="expression" dxfId="22" priority="10">
      <formula>OR(EXACT(F2,"Potentially suitable"),EXACT(F2,"Marginal"))</formula>
    </cfRule>
    <cfRule type="expression" dxfId="21" priority="11">
      <formula>EXACT(F2,"Not suitable")</formula>
    </cfRule>
  </conditionalFormatting>
  <pageMargins left="0.7" right="0.7" top="0.75" bottom="0.75" header="0.3" footer="0.3"/>
  <headerFooter>
    <oddHeader>&amp;C&amp;"Aptos"&amp;10&amp;K0078D7 [Open]&amp;1#_x000D_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workbookViewId="0">
      <selection activeCell="C2" sqref="C2"/>
    </sheetView>
  </sheetViews>
  <sheetFormatPr defaultRowHeight="14"/>
  <cols>
    <col min="1" max="1" width="8" customWidth="1"/>
    <col min="2" max="2" width="26" customWidth="1"/>
    <col min="3" max="3" width="12" customWidth="1"/>
    <col min="4" max="4" width="18" customWidth="1"/>
    <col min="5" max="5" width="20" customWidth="1"/>
  </cols>
  <sheetData>
    <row r="1" spans="1:5">
      <c r="A1" s="13" t="s">
        <v>105</v>
      </c>
      <c r="B1" s="13" t="s">
        <v>7</v>
      </c>
      <c r="C1" s="13" t="s">
        <v>10</v>
      </c>
      <c r="D1" s="13" t="s">
        <v>8</v>
      </c>
      <c r="E1" s="13" t="s">
        <v>9</v>
      </c>
    </row>
    <row r="2" spans="1:5">
      <c r="A2">
        <v>1</v>
      </c>
      <c r="B2" t="str">
        <f>INDEX(Screening!$A$2:$A$14,MATCH(C2,Screening!$D$2:$D$14,0))</f>
        <v>CO2 Miscible Flood</v>
      </c>
      <c r="C2" s="7">
        <f>LARGE(Screening!$D$2:$D$14,A2)</f>
        <v>0</v>
      </c>
      <c r="D2" t="str">
        <f>INDEX(Screening!$E$2:$E$14,MATCH(B2,Screening!$A$2:$A$14,0))</f>
        <v>FAIL (critical)</v>
      </c>
      <c r="E2" t="str">
        <f>INDEX(Screening!$F$2:$F$14,MATCH(B2,Screening!$A$2:$A$14,0))</f>
        <v>Not suitable</v>
      </c>
    </row>
    <row r="3" spans="1:5">
      <c r="A3">
        <v>2</v>
      </c>
      <c r="B3" t="str">
        <f>INDEX(Screening!$A$2:$A$14,MATCH(C3,Screening!$D$2:$D$14,0))</f>
        <v>CO2 Miscible Flood</v>
      </c>
      <c r="C3" s="7">
        <f>LARGE(Screening!$D$2:$D$14,A3)</f>
        <v>0</v>
      </c>
      <c r="D3" t="str">
        <f>INDEX(Screening!$E$2:$E$14,MATCH(B3,Screening!$A$2:$A$14,0))</f>
        <v>FAIL (critical)</v>
      </c>
      <c r="E3" t="str">
        <f>INDEX(Screening!$F$2:$F$14,MATCH(B3,Screening!$A$2:$A$14,0))</f>
        <v>Not suitable</v>
      </c>
    </row>
    <row r="4" spans="1:5">
      <c r="A4">
        <v>3</v>
      </c>
      <c r="B4" t="str">
        <f>INDEX(Screening!$A$2:$A$14,MATCH(C4,Screening!$D$2:$D$14,0))</f>
        <v>CO2 Miscible Flood</v>
      </c>
      <c r="C4" s="7">
        <f>LARGE(Screening!$D$2:$D$14,A4)</f>
        <v>0</v>
      </c>
      <c r="D4" t="str">
        <f>INDEX(Screening!$E$2:$E$14,MATCH(B4,Screening!$A$2:$A$14,0))</f>
        <v>FAIL (critical)</v>
      </c>
      <c r="E4" t="str">
        <f>INDEX(Screening!$F$2:$F$14,MATCH(B4,Screening!$A$2:$A$14,0))</f>
        <v>Not suitable</v>
      </c>
    </row>
    <row r="5" spans="1:5">
      <c r="A5">
        <v>4</v>
      </c>
      <c r="B5" t="str">
        <f>INDEX(Screening!$A$2:$A$14,MATCH(C5,Screening!$D$2:$D$14,0))</f>
        <v>CO2 Miscible Flood</v>
      </c>
      <c r="C5" s="7">
        <f>LARGE(Screening!$D$2:$D$14,A5)</f>
        <v>0</v>
      </c>
      <c r="D5" t="str">
        <f>INDEX(Screening!$E$2:$E$14,MATCH(B5,Screening!$A$2:$A$14,0))</f>
        <v>FAIL (critical)</v>
      </c>
      <c r="E5" t="str">
        <f>INDEX(Screening!$F$2:$F$14,MATCH(B5,Screening!$A$2:$A$14,0))</f>
        <v>Not suitable</v>
      </c>
    </row>
    <row r="6" spans="1:5">
      <c r="A6">
        <v>5</v>
      </c>
      <c r="B6" t="str">
        <f>INDEX(Screening!$A$2:$A$14,MATCH(C6,Screening!$D$2:$D$14,0))</f>
        <v>CO2 Miscible Flood</v>
      </c>
      <c r="C6" s="7">
        <f>LARGE(Screening!$D$2:$D$14,A6)</f>
        <v>0</v>
      </c>
      <c r="D6" t="str">
        <f>INDEX(Screening!$E$2:$E$14,MATCH(B6,Screening!$A$2:$A$14,0))</f>
        <v>FAIL (critical)</v>
      </c>
      <c r="E6" t="str">
        <f>INDEX(Screening!$F$2:$F$14,MATCH(B6,Screening!$A$2:$A$14,0))</f>
        <v>Not suitable</v>
      </c>
    </row>
    <row r="7" spans="1:5">
      <c r="A7">
        <v>6</v>
      </c>
      <c r="B7" t="str">
        <f>INDEX(Screening!$A$2:$A$14,MATCH(C7,Screening!$D$2:$D$14,0))</f>
        <v>CO2 Miscible Flood</v>
      </c>
      <c r="C7" s="7">
        <f>LARGE(Screening!$D$2:$D$14,A7)</f>
        <v>0</v>
      </c>
      <c r="D7" t="str">
        <f>INDEX(Screening!$E$2:$E$14,MATCH(B7,Screening!$A$2:$A$14,0))</f>
        <v>FAIL (critical)</v>
      </c>
      <c r="E7" t="str">
        <f>INDEX(Screening!$F$2:$F$14,MATCH(B7,Screening!$A$2:$A$14,0))</f>
        <v>Not suitable</v>
      </c>
    </row>
    <row r="8" spans="1:5">
      <c r="A8">
        <v>7</v>
      </c>
      <c r="B8" t="str">
        <f>INDEX(Screening!$A$2:$A$14,MATCH(C8,Screening!$D$2:$D$14,0))</f>
        <v>CO2 Miscible Flood</v>
      </c>
      <c r="C8" s="7">
        <f>LARGE(Screening!$D$2:$D$14,A8)</f>
        <v>0</v>
      </c>
      <c r="D8" t="str">
        <f>INDEX(Screening!$E$2:$E$14,MATCH(B8,Screening!$A$2:$A$14,0))</f>
        <v>FAIL (critical)</v>
      </c>
      <c r="E8" t="str">
        <f>INDEX(Screening!$F$2:$F$14,MATCH(B8,Screening!$A$2:$A$14,0))</f>
        <v>Not suitable</v>
      </c>
    </row>
    <row r="9" spans="1:5">
      <c r="A9">
        <v>8</v>
      </c>
      <c r="B9" t="str">
        <f>INDEX(Screening!$A$2:$A$14,MATCH(C9,Screening!$D$2:$D$14,0))</f>
        <v>CO2 Miscible Flood</v>
      </c>
      <c r="C9" s="7">
        <f>LARGE(Screening!$D$2:$D$14,A9)</f>
        <v>0</v>
      </c>
      <c r="D9" t="str">
        <f>INDEX(Screening!$E$2:$E$14,MATCH(B9,Screening!$A$2:$A$14,0))</f>
        <v>FAIL (critical)</v>
      </c>
      <c r="E9" t="str">
        <f>INDEX(Screening!$F$2:$F$14,MATCH(B9,Screening!$A$2:$A$14,0))</f>
        <v>Not suitable</v>
      </c>
    </row>
    <row r="10" spans="1:5">
      <c r="A10">
        <v>9</v>
      </c>
      <c r="B10" t="str">
        <f>INDEX(Screening!$A$2:$A$14,MATCH(C10,Screening!$D$2:$D$14,0))</f>
        <v>CO2 Miscible Flood</v>
      </c>
      <c r="C10" s="7">
        <f>LARGE(Screening!$D$2:$D$14,A10)</f>
        <v>0</v>
      </c>
      <c r="D10" t="str">
        <f>INDEX(Screening!$E$2:$E$14,MATCH(B10,Screening!$A$2:$A$14,0))</f>
        <v>FAIL (critical)</v>
      </c>
      <c r="E10" t="str">
        <f>INDEX(Screening!$F$2:$F$14,MATCH(B10,Screening!$A$2:$A$14,0))</f>
        <v>Not suitable</v>
      </c>
    </row>
    <row r="11" spans="1:5">
      <c r="A11">
        <v>10</v>
      </c>
      <c r="B11" t="str">
        <f>INDEX(Screening!$A$2:$A$14,MATCH(C11,Screening!$D$2:$D$14,0))</f>
        <v>CO2 Miscible Flood</v>
      </c>
      <c r="C11" s="7">
        <f>LARGE(Screening!$D$2:$D$14,A11)</f>
        <v>0</v>
      </c>
      <c r="D11" t="str">
        <f>INDEX(Screening!$E$2:$E$14,MATCH(B11,Screening!$A$2:$A$14,0))</f>
        <v>FAIL (critical)</v>
      </c>
      <c r="E11" t="str">
        <f>INDEX(Screening!$F$2:$F$14,MATCH(B11,Screening!$A$2:$A$14,0))</f>
        <v>Not suitable</v>
      </c>
    </row>
    <row r="12" spans="1:5">
      <c r="A12">
        <v>11</v>
      </c>
      <c r="B12" t="str">
        <f>INDEX(Screening!$A$2:$A$14,MATCH(C12,Screening!$D$2:$D$14,0))</f>
        <v>CO2 Miscible Flood</v>
      </c>
      <c r="C12" s="7">
        <f>LARGE(Screening!$D$2:$D$14,A12)</f>
        <v>0</v>
      </c>
      <c r="D12" t="str">
        <f>INDEX(Screening!$E$2:$E$14,MATCH(B12,Screening!$A$2:$A$14,0))</f>
        <v>FAIL (critical)</v>
      </c>
      <c r="E12" t="str">
        <f>INDEX(Screening!$F$2:$F$14,MATCH(B12,Screening!$A$2:$A$14,0))</f>
        <v>Not suitable</v>
      </c>
    </row>
    <row r="13" spans="1:5">
      <c r="A13">
        <v>12</v>
      </c>
      <c r="B13" t="str">
        <f>INDEX(Screening!$A$2:$A$14,MATCH(C13,Screening!$D$2:$D$14,0))</f>
        <v>CO2 Miscible Flood</v>
      </c>
      <c r="C13">
        <f>LARGE(Screening!$D$2:$D$14,A13)</f>
        <v>0</v>
      </c>
      <c r="D13" t="str">
        <f>INDEX(Screening!$E$2:$E$14,MATCH(B13,Screening!$A$2:$A$14,0))</f>
        <v>FAIL (critical)</v>
      </c>
      <c r="E13" t="str">
        <f>INDEX(Screening!$F$2:$F$14,MATCH(B13,Screening!$A$2:$A$14,0))</f>
        <v>Not suitable</v>
      </c>
    </row>
    <row r="14" spans="1:5">
      <c r="A14">
        <v>13</v>
      </c>
      <c r="B14" t="str">
        <f>INDEX(Screening!$A$2:$A$14,MATCH(C14,Screening!$D$2:$D$14,0))</f>
        <v>CO2 Miscible Flood</v>
      </c>
      <c r="C14">
        <f>LARGE(Screening!$D$2:$D$14,A14)</f>
        <v>0</v>
      </c>
      <c r="D14" t="str">
        <f>INDEX(Screening!$E$2:$E$14,MATCH(B14,Screening!$A$2:$A$14,0))</f>
        <v>FAIL (critical)</v>
      </c>
      <c r="E14" t="str">
        <f>INDEX(Screening!$F$2:$F$14,MATCH(B14,Screening!$A$2:$A$14,0))</f>
        <v>Not suitable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"/>
  <sheetViews>
    <sheetView workbookViewId="0">
      <selection activeCell="A9" sqref="A9"/>
    </sheetView>
  </sheetViews>
  <sheetFormatPr defaultRowHeight="14"/>
  <cols>
    <col min="1" max="1" width="24" customWidth="1"/>
    <col min="2" max="2" width="18" customWidth="1"/>
    <col min="3" max="3" width="20" customWidth="1"/>
    <col min="4" max="4" width="14" customWidth="1"/>
    <col min="5" max="5" width="15" customWidth="1"/>
    <col min="6" max="6" width="16" customWidth="1"/>
    <col min="7" max="7" width="14" customWidth="1"/>
    <col min="8" max="8" width="15" customWidth="1"/>
    <col min="9" max="9" width="16" customWidth="1"/>
    <col min="10" max="10" width="14" customWidth="1"/>
    <col min="11" max="11" width="15" customWidth="1"/>
    <col min="12" max="12" width="16" customWidth="1"/>
  </cols>
  <sheetData>
    <row r="1" spans="1:12">
      <c r="A1" s="13" t="s">
        <v>7</v>
      </c>
      <c r="B1" s="13" t="s">
        <v>8</v>
      </c>
      <c r="C1" s="13" t="s">
        <v>9</v>
      </c>
      <c r="D1" s="13" t="s">
        <v>106</v>
      </c>
      <c r="E1" s="13" t="s">
        <v>107</v>
      </c>
      <c r="F1" s="13" t="s">
        <v>108</v>
      </c>
      <c r="G1" s="13" t="s">
        <v>109</v>
      </c>
      <c r="H1" s="13" t="s">
        <v>110</v>
      </c>
      <c r="I1" s="13" t="s">
        <v>12</v>
      </c>
      <c r="J1" s="13" t="s">
        <v>111</v>
      </c>
      <c r="K1" s="13" t="s">
        <v>112</v>
      </c>
      <c r="L1" s="13" t="s">
        <v>113</v>
      </c>
    </row>
    <row r="2" spans="1:12">
      <c r="A2" t="str">
        <f>Screening!A2</f>
        <v>CO2 Miscible Flood</v>
      </c>
      <c r="B2" s="8" t="str">
        <f>Screening!E2</f>
        <v>FAIL (critical)</v>
      </c>
      <c r="C2" s="8" t="str">
        <f>Screening!F2</f>
        <v>Not suitable</v>
      </c>
      <c r="D2" s="7" t="str">
        <f>IF(Screening!G2="","",Screening!G2*ScenarioControls!$B$3)</f>
        <v/>
      </c>
      <c r="E2" s="7" t="str">
        <f>IF(D2="","",InputData!$B$19+D2)</f>
        <v/>
      </c>
      <c r="F2" s="7" t="str">
        <f>IF(E2="","",InputData!$B$18*E2/100)</f>
        <v/>
      </c>
      <c r="G2" s="7" t="str">
        <f>IF(Screening!G2="","",Screening!G2*ScenarioControls!$B$4)</f>
        <v/>
      </c>
      <c r="H2" s="7" t="str">
        <f>IF(G2="","",InputData!$B$19+G2)</f>
        <v/>
      </c>
      <c r="I2" s="7" t="str">
        <f>IF(H2="","",InputData!$B$18*H2/100)</f>
        <v/>
      </c>
      <c r="J2" s="7" t="str">
        <f>IF(Screening!G2="","",Screening!G2*ScenarioControls!$B$5)</f>
        <v/>
      </c>
      <c r="K2" s="7" t="str">
        <f>IF(J2="","",InputData!$B$19+J2)</f>
        <v/>
      </c>
      <c r="L2" s="7" t="str">
        <f>IF(K2="","",InputData!$B$18*K2/100)</f>
        <v/>
      </c>
    </row>
    <row r="3" spans="1:12">
      <c r="A3" t="str">
        <f>Screening!A3</f>
        <v>CO2 WAG</v>
      </c>
      <c r="B3" s="8" t="str">
        <f>Screening!E3</f>
        <v>FAIL (critical)</v>
      </c>
      <c r="C3" s="8" t="str">
        <f>Screening!F3</f>
        <v>Not suitable</v>
      </c>
      <c r="D3" s="7" t="str">
        <f>IF(Screening!G3="","",Screening!G3*ScenarioControls!$B$3)</f>
        <v/>
      </c>
      <c r="E3" s="7" t="str">
        <f>IF(D3="","",InputData!$B$19+D3)</f>
        <v/>
      </c>
      <c r="F3" s="7" t="str">
        <f>IF(E3="","",InputData!$B$18*E3/100)</f>
        <v/>
      </c>
      <c r="G3" s="7" t="str">
        <f>IF(Screening!G3="","",Screening!G3*ScenarioControls!$B$4)</f>
        <v/>
      </c>
      <c r="H3" s="7" t="str">
        <f>IF(G3="","",InputData!$B$19+G3)</f>
        <v/>
      </c>
      <c r="I3" s="7" t="str">
        <f>IF(H3="","",InputData!$B$18*H3/100)</f>
        <v/>
      </c>
      <c r="J3" s="7" t="str">
        <f>IF(Screening!G3="","",Screening!G3*ScenarioControls!$B$5)</f>
        <v/>
      </c>
      <c r="K3" s="7" t="str">
        <f>IF(J3="","",InputData!$B$19+J3)</f>
        <v/>
      </c>
      <c r="L3" s="7" t="str">
        <f>IF(K3="","",InputData!$B$18*K3/100)</f>
        <v/>
      </c>
    </row>
    <row r="4" spans="1:12">
      <c r="A4" t="str">
        <f>Screening!A4</f>
        <v>HC Gas Miscible Flood</v>
      </c>
      <c r="B4" s="8" t="str">
        <f>Screening!E4</f>
        <v>FAIL (critical)</v>
      </c>
      <c r="C4" s="8" t="str">
        <f>Screening!F4</f>
        <v>Not suitable</v>
      </c>
      <c r="D4" s="7" t="str">
        <f>IF(Screening!G4="","",Screening!G4*ScenarioControls!$B$3)</f>
        <v/>
      </c>
      <c r="E4" s="7" t="str">
        <f>IF(D4="","",InputData!$B$19+D4)</f>
        <v/>
      </c>
      <c r="F4" s="7" t="str">
        <f>IF(E4="","",InputData!$B$18*E4/100)</f>
        <v/>
      </c>
      <c r="G4" s="7" t="str">
        <f>IF(Screening!G4="","",Screening!G4*ScenarioControls!$B$4)</f>
        <v/>
      </c>
      <c r="H4" s="7" t="str">
        <f>IF(G4="","",InputData!$B$19+G4)</f>
        <v/>
      </c>
      <c r="I4" s="7" t="str">
        <f>IF(H4="","",InputData!$B$18*H4/100)</f>
        <v/>
      </c>
      <c r="J4" s="7" t="str">
        <f>IF(Screening!G4="","",Screening!G4*ScenarioControls!$B$5)</f>
        <v/>
      </c>
      <c r="K4" s="7" t="str">
        <f>IF(J4="","",InputData!$B$19+J4)</f>
        <v/>
      </c>
      <c r="L4" s="7" t="str">
        <f>IF(K4="","",InputData!$B$18*K4/100)</f>
        <v/>
      </c>
    </row>
    <row r="5" spans="1:12">
      <c r="A5" t="str">
        <f>Screening!A5</f>
        <v>HC Gas WAG</v>
      </c>
      <c r="B5" s="8" t="str">
        <f>Screening!E5</f>
        <v>FAIL (critical)</v>
      </c>
      <c r="C5" s="8" t="str">
        <f>Screening!F5</f>
        <v>Not suitable</v>
      </c>
      <c r="D5" s="7" t="str">
        <f>IF(Screening!G5="","",Screening!G5*ScenarioControls!$B$3)</f>
        <v/>
      </c>
      <c r="E5" s="7" t="str">
        <f>IF(D5="","",InputData!$B$19+D5)</f>
        <v/>
      </c>
      <c r="F5" s="7" t="str">
        <f>IF(E5="","",InputData!$B$18*E5/100)</f>
        <v/>
      </c>
      <c r="G5" s="7" t="str">
        <f>IF(Screening!G5="","",Screening!G5*ScenarioControls!$B$4)</f>
        <v/>
      </c>
      <c r="H5" s="7" t="str">
        <f>IF(G5="","",InputData!$B$19+G5)</f>
        <v/>
      </c>
      <c r="I5" s="7" t="str">
        <f>IF(H5="","",InputData!$B$18*H5/100)</f>
        <v/>
      </c>
      <c r="J5" s="7" t="str">
        <f>IF(Screening!G5="","",Screening!G5*ScenarioControls!$B$5)</f>
        <v/>
      </c>
      <c r="K5" s="7" t="str">
        <f>IF(J5="","",InputData!$B$19+J5)</f>
        <v/>
      </c>
      <c r="L5" s="7" t="str">
        <f>IF(K5="","",InputData!$B$18*K5/100)</f>
        <v/>
      </c>
    </row>
    <row r="6" spans="1:12">
      <c r="A6" t="str">
        <f>Screening!A6</f>
        <v>Immiscible Gas Flood</v>
      </c>
      <c r="B6" s="8" t="str">
        <f>Screening!E6</f>
        <v>FAIL (critical)</v>
      </c>
      <c r="C6" s="8" t="str">
        <f>Screening!F6</f>
        <v>Not suitable</v>
      </c>
      <c r="D6" s="7" t="str">
        <f>IF(Screening!G6="","",Screening!G6*ScenarioControls!$B$3)</f>
        <v/>
      </c>
      <c r="E6" s="7" t="str">
        <f>IF(D6="","",InputData!$B$19+D6)</f>
        <v/>
      </c>
      <c r="F6" s="7" t="str">
        <f>IF(E6="","",InputData!$B$18*E6/100)</f>
        <v/>
      </c>
      <c r="G6" s="7" t="str">
        <f>IF(Screening!G6="","",Screening!G6*ScenarioControls!$B$4)</f>
        <v/>
      </c>
      <c r="H6" s="7" t="str">
        <f>IF(G6="","",InputData!$B$19+G6)</f>
        <v/>
      </c>
      <c r="I6" s="7" t="str">
        <f>IF(H6="","",InputData!$B$18*H6/100)</f>
        <v/>
      </c>
      <c r="J6" s="7" t="str">
        <f>IF(Screening!G6="","",Screening!G6*ScenarioControls!$B$5)</f>
        <v/>
      </c>
      <c r="K6" s="7" t="str">
        <f>IF(J6="","",InputData!$B$19+J6)</f>
        <v/>
      </c>
      <c r="L6" s="7" t="str">
        <f>IF(K6="","",InputData!$B$18*K6/100)</f>
        <v/>
      </c>
    </row>
    <row r="7" spans="1:12">
      <c r="A7" t="str">
        <f>Screening!A7</f>
        <v>Immiscible Gas WAG</v>
      </c>
      <c r="B7" s="8" t="str">
        <f>Screening!E7</f>
        <v>FAIL (critical)</v>
      </c>
      <c r="C7" s="8" t="str">
        <f>Screening!F7</f>
        <v>Not suitable</v>
      </c>
      <c r="D7" s="7" t="str">
        <f>IF(Screening!G7="","",Screening!G7*ScenarioControls!$B$3)</f>
        <v/>
      </c>
      <c r="E7" s="7" t="str">
        <f>IF(D7="","",InputData!$B$19+D7)</f>
        <v/>
      </c>
      <c r="F7" s="7" t="str">
        <f>IF(E7="","",InputData!$B$18*E7/100)</f>
        <v/>
      </c>
      <c r="G7" s="7" t="str">
        <f>IF(Screening!G7="","",Screening!G7*ScenarioControls!$B$4)</f>
        <v/>
      </c>
      <c r="H7" s="7" t="str">
        <f>IF(G7="","",InputData!$B$19+G7)</f>
        <v/>
      </c>
      <c r="I7" s="7" t="str">
        <f>IF(H7="","",InputData!$B$18*H7/100)</f>
        <v/>
      </c>
      <c r="J7" s="7" t="str">
        <f>IF(Screening!G7="","",Screening!G7*ScenarioControls!$B$5)</f>
        <v/>
      </c>
      <c r="K7" s="7" t="str">
        <f>IF(J7="","",InputData!$B$19+J7)</f>
        <v/>
      </c>
      <c r="L7" s="7" t="str">
        <f>IF(K7="","",InputData!$B$18*K7/100)</f>
        <v/>
      </c>
    </row>
    <row r="8" spans="1:12">
      <c r="A8" t="str">
        <f>Screening!A8</f>
        <v>Polymer (HPAM)</v>
      </c>
      <c r="B8" s="8" t="str">
        <f>Screening!E8</f>
        <v>FAIL (critical)</v>
      </c>
      <c r="C8" s="8" t="str">
        <f>Screening!F8</f>
        <v>Not suitable</v>
      </c>
      <c r="D8" s="7" t="str">
        <f>IF(Screening!G8="","",Screening!G8*ScenarioControls!$B$3)</f>
        <v/>
      </c>
      <c r="E8" s="7" t="str">
        <f>IF(D8="","",InputData!$B$19+D8)</f>
        <v/>
      </c>
      <c r="F8" s="7" t="str">
        <f>IF(E8="","",InputData!$B$18*E8/100)</f>
        <v/>
      </c>
      <c r="G8" s="7" t="str">
        <f>IF(Screening!G8="","",Screening!G8*ScenarioControls!$B$4)</f>
        <v/>
      </c>
      <c r="H8" s="7" t="str">
        <f>IF(G8="","",InputData!$B$19+G8)</f>
        <v/>
      </c>
      <c r="I8" s="7" t="str">
        <f>IF(H8="","",InputData!$B$18*H8/100)</f>
        <v/>
      </c>
      <c r="J8" s="7" t="str">
        <f>IF(Screening!G8="","",Screening!G8*ScenarioControls!$B$5)</f>
        <v/>
      </c>
      <c r="K8" s="7" t="str">
        <f>IF(J8="","",InputData!$B$19+J8)</f>
        <v/>
      </c>
      <c r="L8" s="7" t="str">
        <f>IF(K8="","",InputData!$B$18*K8/100)</f>
        <v/>
      </c>
    </row>
    <row r="9" spans="1:12">
      <c r="A9" t="str">
        <f>Screening!A9</f>
        <v>Polymer (ATBS)</v>
      </c>
      <c r="B9" s="8" t="str">
        <f>Screening!E9</f>
        <v>FAIL (critical)</v>
      </c>
      <c r="C9" s="8" t="str">
        <f>Screening!F9</f>
        <v>Not suitable</v>
      </c>
      <c r="D9" s="7" t="str">
        <f>IF(Screening!G9="","",Screening!G9*ScenarioControls!$B$3)</f>
        <v/>
      </c>
      <c r="E9" s="7" t="str">
        <f>IF(D9="","",InputData!$B$19+D9)</f>
        <v/>
      </c>
      <c r="F9" s="7" t="str">
        <f>IF(E9="","",InputData!$B$18*E9/100)</f>
        <v/>
      </c>
      <c r="G9" s="7" t="str">
        <f>IF(Screening!G9="","",Screening!G9*ScenarioControls!$B$4)</f>
        <v/>
      </c>
      <c r="H9" s="7" t="str">
        <f>IF(G9="","",InputData!$B$19+G9)</f>
        <v/>
      </c>
      <c r="I9" s="7" t="str">
        <f>IF(H9="","",InputData!$B$18*H9/100)</f>
        <v/>
      </c>
      <c r="J9" s="7" t="str">
        <f>IF(Screening!G9="","",Screening!G9*ScenarioControls!$B$5)</f>
        <v/>
      </c>
      <c r="K9" s="7" t="str">
        <f>IF(J9="","",InputData!$B$19+J9)</f>
        <v/>
      </c>
      <c r="L9" s="7" t="str">
        <f>IF(K9="","",InputData!$B$18*K9/100)</f>
        <v/>
      </c>
    </row>
    <row r="10" spans="1:12">
      <c r="A10" t="str">
        <f>Screening!A10</f>
        <v>SP</v>
      </c>
      <c r="B10" s="8" t="str">
        <f>Screening!E10</f>
        <v>FAIL (critical)</v>
      </c>
      <c r="C10" s="8" t="str">
        <f>Screening!F10</f>
        <v>Not suitable</v>
      </c>
      <c r="D10" s="7" t="str">
        <f>IF(Screening!G10="","",Screening!G10*ScenarioControls!$B$3)</f>
        <v/>
      </c>
      <c r="E10" s="7" t="str">
        <f>IF(D10="","",InputData!$B$19+D10)</f>
        <v/>
      </c>
      <c r="F10" s="7" t="str">
        <f>IF(E10="","",InputData!$B$18*E10/100)</f>
        <v/>
      </c>
      <c r="G10" s="7" t="str">
        <f>IF(Screening!G10="","",Screening!G10*ScenarioControls!$B$4)</f>
        <v/>
      </c>
      <c r="H10" s="7" t="str">
        <f>IF(G10="","",InputData!$B$19+G10)</f>
        <v/>
      </c>
      <c r="I10" s="7" t="str">
        <f>IF(H10="","",InputData!$B$18*H10/100)</f>
        <v/>
      </c>
      <c r="J10" s="7" t="str">
        <f>IF(Screening!G10="","",Screening!G10*ScenarioControls!$B$5)</f>
        <v/>
      </c>
      <c r="K10" s="7" t="str">
        <f>IF(J10="","",InputData!$B$19+J10)</f>
        <v/>
      </c>
      <c r="L10" s="7" t="str">
        <f>IF(K10="","",InputData!$B$18*K10/100)</f>
        <v/>
      </c>
    </row>
    <row r="11" spans="1:12">
      <c r="A11" t="str">
        <f>Screening!A11</f>
        <v>ASP</v>
      </c>
      <c r="B11" s="8" t="str">
        <f>Screening!E11</f>
        <v>FAIL (critical)</v>
      </c>
      <c r="C11" s="8" t="str">
        <f>Screening!F11</f>
        <v>Not suitable</v>
      </c>
      <c r="D11" s="7" t="str">
        <f>IF(Screening!G11="","",Screening!G11*ScenarioControls!$B$3)</f>
        <v/>
      </c>
      <c r="E11" s="7" t="str">
        <f>IF(D11="","",InputData!$B$19+D11)</f>
        <v/>
      </c>
      <c r="F11" s="7" t="str">
        <f>IF(E11="","",InputData!$B$18*E11/100)</f>
        <v/>
      </c>
      <c r="G11" s="7" t="str">
        <f>IF(Screening!G11="","",Screening!G11*ScenarioControls!$B$4)</f>
        <v/>
      </c>
      <c r="H11" s="7" t="str">
        <f>IF(G11="","",InputData!$B$19+G11)</f>
        <v/>
      </c>
      <c r="I11" s="7" t="str">
        <f>IF(H11="","",InputData!$B$18*H11/100)</f>
        <v/>
      </c>
      <c r="J11" s="7" t="str">
        <f>IF(Screening!G11="","",Screening!G11*ScenarioControls!$B$5)</f>
        <v/>
      </c>
      <c r="K11" s="7" t="str">
        <f>IF(J11="","",InputData!$B$19+J11)</f>
        <v/>
      </c>
      <c r="L11" s="7" t="str">
        <f>IF(K11="","",InputData!$B$18*K11/100)</f>
        <v/>
      </c>
    </row>
    <row r="12" spans="1:12">
      <c r="A12" t="str">
        <f>Screening!A12</f>
        <v>CSS</v>
      </c>
      <c r="B12" s="8" t="str">
        <f>Screening!E12</f>
        <v>FAIL (critical)</v>
      </c>
      <c r="C12" s="8" t="str">
        <f>Screening!F12</f>
        <v>Not suitable</v>
      </c>
      <c r="D12" s="7" t="str">
        <f>IF(Screening!G12="","",Screening!G12*ScenarioControls!$B$3)</f>
        <v/>
      </c>
      <c r="E12" s="7" t="str">
        <f>IF(D12="","",InputData!$B$19+D12)</f>
        <v/>
      </c>
      <c r="F12" s="7" t="str">
        <f>IF(E12="","",InputData!$B$18*E12/100)</f>
        <v/>
      </c>
      <c r="G12" s="7" t="str">
        <f>IF(Screening!G12="","",Screening!G12*ScenarioControls!$B$4)</f>
        <v/>
      </c>
      <c r="H12" s="7" t="str">
        <f>IF(G12="","",InputData!$B$19+G12)</f>
        <v/>
      </c>
      <c r="I12" s="7" t="str">
        <f>IF(H12="","",InputData!$B$18*H12/100)</f>
        <v/>
      </c>
      <c r="J12" s="7" t="str">
        <f>IF(Screening!G12="","",Screening!G12*ScenarioControls!$B$5)</f>
        <v/>
      </c>
      <c r="K12" s="7" t="str">
        <f>IF(J12="","",InputData!$B$19+J12)</f>
        <v/>
      </c>
      <c r="L12" s="7" t="str">
        <f>IF(K12="","",InputData!$B$18*K12/100)</f>
        <v/>
      </c>
    </row>
    <row r="13" spans="1:12">
      <c r="A13" t="str">
        <f>Screening!A13</f>
        <v>Steam Flood</v>
      </c>
      <c r="B13" t="str">
        <f>Screening!E13</f>
        <v>FAIL (critical)</v>
      </c>
      <c r="C13" t="str">
        <f>Screening!F13</f>
        <v>Not suitable</v>
      </c>
      <c r="D13" s="7" t="str">
        <f>IF(Screening!G13="","",Screening!G13*ScenarioControls!$B$3)</f>
        <v/>
      </c>
      <c r="E13" s="7" t="str">
        <f>IF(D13="","",InputData!$B$19+D13)</f>
        <v/>
      </c>
      <c r="F13" s="7" t="str">
        <f>IF(E13="","",InputData!$B$18*E13/100)</f>
        <v/>
      </c>
      <c r="G13" s="7" t="str">
        <f>IF(Screening!G13="","",Screening!G13*ScenarioControls!$B$4)</f>
        <v/>
      </c>
      <c r="H13" s="7" t="str">
        <f>IF(G13="","",InputData!$B$19+G13)</f>
        <v/>
      </c>
      <c r="I13" s="7" t="str">
        <f>IF(H13="","",InputData!$B$18*H13/100)</f>
        <v/>
      </c>
      <c r="J13" s="7" t="str">
        <f>IF(Screening!G13="","",Screening!G13*ScenarioControls!$B$5)</f>
        <v/>
      </c>
      <c r="K13" s="7" t="str">
        <f>IF(J13="","",InputData!$B$19+J13)</f>
        <v/>
      </c>
      <c r="L13" s="7" t="str">
        <f>IF(K13="","",InputData!$B$18*K13/100)</f>
        <v/>
      </c>
    </row>
    <row r="14" spans="1:12">
      <c r="A14" t="str">
        <f>Screening!A14</f>
        <v>ISC</v>
      </c>
      <c r="B14" t="str">
        <f>Screening!E14</f>
        <v>FAIL (critical)</v>
      </c>
      <c r="C14" t="str">
        <f>Screening!F14</f>
        <v>Not suitable</v>
      </c>
      <c r="D14" s="7" t="str">
        <f>IF(Screening!G14="","",Screening!G14*ScenarioControls!$B$3)</f>
        <v/>
      </c>
      <c r="E14" s="7" t="str">
        <f>IF(D14="","",InputData!$B$19+D14)</f>
        <v/>
      </c>
      <c r="F14" s="7" t="str">
        <f>IF(E14="","",InputData!$B$18*E14/100)</f>
        <v/>
      </c>
      <c r="G14" s="7" t="str">
        <f>IF(Screening!G14="","",Screening!G14*ScenarioControls!$B$4)</f>
        <v/>
      </c>
      <c r="H14" s="7" t="str">
        <f>IF(G14="","",InputData!$B$19+G14)</f>
        <v/>
      </c>
      <c r="I14" s="7" t="str">
        <f>IF(H14="","",InputData!$B$18*H14/100)</f>
        <v/>
      </c>
      <c r="J14" s="7" t="str">
        <f>IF(Screening!G14="","",Screening!G14*ScenarioControls!$B$5)</f>
        <v/>
      </c>
      <c r="K14" s="7" t="str">
        <f>IF(J14="","",InputData!$B$19+J14)</f>
        <v/>
      </c>
      <c r="L14" s="7" t="str">
        <f>IF(K14="","",InputData!$B$18*K14/100)</f>
        <v/>
      </c>
    </row>
  </sheetData>
  <conditionalFormatting sqref="B2:B12">
    <cfRule type="expression" dxfId="20" priority="1">
      <formula>B2="PASS"</formula>
    </cfRule>
    <cfRule type="expression" dxfId="19" priority="2">
      <formula>B2="FAIL (critical)"</formula>
    </cfRule>
  </conditionalFormatting>
  <conditionalFormatting sqref="B2:B14">
    <cfRule type="expression" dxfId="18" priority="6">
      <formula>EXACT(B2,"PASS")</formula>
    </cfRule>
    <cfRule type="expression" dxfId="17" priority="7">
      <formula>EXACT(B2,"CONDITIONAL")</formula>
    </cfRule>
    <cfRule type="expression" dxfId="16" priority="8">
      <formula>ISNUMBER(SEARCH("FAIL",B2))</formula>
    </cfRule>
  </conditionalFormatting>
  <conditionalFormatting sqref="C2:C12">
    <cfRule type="expression" dxfId="15" priority="3">
      <formula>C2="Highly suitable"</formula>
    </cfRule>
    <cfRule type="expression" dxfId="14" priority="4">
      <formula>OR(C2="Potentially suitable",C2="Marginal")</formula>
    </cfRule>
    <cfRule type="expression" dxfId="13" priority="5">
      <formula>C2="Not suitable"</formula>
    </cfRule>
  </conditionalFormatting>
  <conditionalFormatting sqref="C2:C14">
    <cfRule type="expression" dxfId="12" priority="9">
      <formula>EXACT(C2,"Highly suitable")</formula>
    </cfRule>
    <cfRule type="expression" dxfId="11" priority="10">
      <formula>OR(EXACT(C2,"Potentially suitable"),EXACT(C2,"Marginal"))</formula>
    </cfRule>
    <cfRule type="expression" dxfId="10" priority="11">
      <formula>EXACT(C2,"Not suitable")</formula>
    </cfRule>
  </conditionalFormatting>
  <pageMargins left="0.7" right="0.7" top="0.75" bottom="0.75" header="0.3" footer="0.3"/>
  <headerFooter>
    <oddHeader>&amp;C&amp;"Aptos"&amp;10&amp;K0078D7 [Open]&amp;1#_x000D_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2"/>
  <sheetViews>
    <sheetView zoomScale="93" zoomScaleNormal="55" workbookViewId="0">
      <selection activeCell="A6" sqref="A6"/>
    </sheetView>
  </sheetViews>
  <sheetFormatPr defaultRowHeight="14"/>
  <cols>
    <col min="1" max="1" width="72" customWidth="1"/>
    <col min="2" max="2" width="24" customWidth="1"/>
  </cols>
  <sheetData>
    <row r="1" spans="1:2" ht="18">
      <c r="A1" s="1" t="s">
        <v>114</v>
      </c>
      <c r="B1" s="1"/>
    </row>
    <row r="3" spans="1:2">
      <c r="A3" t="s">
        <v>115</v>
      </c>
      <c r="B3" t="str">
        <f>Ranking!B2</f>
        <v>CO2 Miscible Flood</v>
      </c>
    </row>
    <row r="4" spans="1:2">
      <c r="A4" t="s">
        <v>10</v>
      </c>
      <c r="B4" s="7">
        <f>Ranking!C2</f>
        <v>0</v>
      </c>
    </row>
    <row r="5" spans="1:2">
      <c r="A5" t="s">
        <v>8</v>
      </c>
      <c r="B5" t="str">
        <f>Ranking!D2</f>
        <v>FAIL (critical)</v>
      </c>
    </row>
    <row r="6" spans="1:2">
      <c r="A6" t="s">
        <v>9</v>
      </c>
      <c r="B6" t="str">
        <f>Ranking!E2</f>
        <v>Not suitable</v>
      </c>
    </row>
    <row r="8" spans="1:2">
      <c r="A8" s="3" t="s">
        <v>116</v>
      </c>
      <c r="B8" s="3"/>
    </row>
    <row r="9" spans="1:2">
      <c r="A9" t="s">
        <v>117</v>
      </c>
    </row>
    <row r="10" spans="1:2">
      <c r="A10" t="s">
        <v>118</v>
      </c>
    </row>
    <row r="11" spans="1:2">
      <c r="A11" t="s">
        <v>119</v>
      </c>
    </row>
    <row r="12" spans="1:2">
      <c r="A12" t="s">
        <v>120</v>
      </c>
    </row>
    <row r="14" spans="1:2">
      <c r="A14" s="3" t="s">
        <v>121</v>
      </c>
      <c r="B14" s="3"/>
    </row>
    <row r="15" spans="1:2">
      <c r="A15" t="s">
        <v>122</v>
      </c>
    </row>
    <row r="16" spans="1:2">
      <c r="A16" t="s">
        <v>123</v>
      </c>
    </row>
    <row r="18" spans="1:2">
      <c r="A18" s="3" t="s">
        <v>124</v>
      </c>
      <c r="B18" s="3"/>
    </row>
    <row r="19" spans="1:2">
      <c r="A19" t="s">
        <v>125</v>
      </c>
      <c r="B19" s="7" t="str">
        <f>INDEX(RF_EUR_Ranges!$E$2:$E$12,MATCH(B3,RF_EUR_Ranges!$A$2:$A$12,0))</f>
        <v/>
      </c>
    </row>
    <row r="20" spans="1:2">
      <c r="A20" t="s">
        <v>126</v>
      </c>
      <c r="B20" s="7" t="str">
        <f>INDEX(RF_EUR_Ranges!$H$2:$H$12,MATCH(B3,RF_EUR_Ranges!$A$2:$A$12,0))</f>
        <v/>
      </c>
    </row>
    <row r="21" spans="1:2">
      <c r="A21" t="s">
        <v>127</v>
      </c>
      <c r="B21" s="7" t="str">
        <f>INDEX(RF_EUR_Ranges!$K$2:$K$12,MATCH(B3,RF_EUR_Ranges!$A$2:$A$12,0))</f>
        <v/>
      </c>
    </row>
    <row r="22" spans="1:2">
      <c r="A22" t="s">
        <v>128</v>
      </c>
      <c r="B22" s="7" t="str">
        <f>INDEX(RF_EUR_Ranges!$F$2:$F$12,MATCH(B3,RF_EUR_Ranges!$A$2:$A$12,0))</f>
        <v/>
      </c>
    </row>
    <row r="23" spans="1:2">
      <c r="A23" t="s">
        <v>129</v>
      </c>
      <c r="B23" s="7" t="str">
        <f>INDEX(RF_EUR_Ranges!$I$2:$I$12,MATCH(B3,RF_EUR_Ranges!$A$2:$A$12,0))</f>
        <v/>
      </c>
    </row>
    <row r="24" spans="1:2">
      <c r="A24" t="s">
        <v>130</v>
      </c>
      <c r="B24" s="7" t="str">
        <f>INDEX(RF_EUR_Ranges!$L$2:$L$12,MATCH(B3,RF_EUR_Ranges!$A$2:$A$12,0))</f>
        <v/>
      </c>
    </row>
    <row r="26" spans="1:2">
      <c r="B26" t="str">
        <f>INDEX(RF_EUR_Ranges!$E$2:$E$14,MATCH(B3,RF_EUR_Ranges!$A$2:$A$14,0))</f>
        <v/>
      </c>
    </row>
    <row r="27" spans="1:2">
      <c r="B27" t="str">
        <f>INDEX(RF_EUR_Ranges!$H$2:$H$14,MATCH(B3,RF_EUR_Ranges!$A$2:$A$14,0))</f>
        <v/>
      </c>
    </row>
    <row r="28" spans="1:2">
      <c r="B28" t="str">
        <f>INDEX(RF_EUR_Ranges!$K$2:$K$14,MATCH(B3,RF_EUR_Ranges!$A$2:$A$14,0))</f>
        <v/>
      </c>
    </row>
    <row r="30" spans="1:2">
      <c r="B30" t="str">
        <f>INDEX(RF_EUR_Ranges!$F$2:$F$14,MATCH(B3,RF_EUR_Ranges!$A$2:$A$14,0))</f>
        <v/>
      </c>
    </row>
    <row r="31" spans="1:2">
      <c r="B31" t="str">
        <f>INDEX(RF_EUR_Ranges!$I$2:$I$14,MATCH(B3,RF_EUR_Ranges!$A$2:$A$14,0))</f>
        <v/>
      </c>
    </row>
    <row r="32" spans="1:2">
      <c r="B32" t="str">
        <f>INDEX(RF_EUR_Ranges!$L$2:$L$14,MATCH(B3,RF_EUR_Ranges!$A$2:$A$14,0))</f>
        <v/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/>
  </sheetViews>
  <sheetFormatPr defaultRowHeight="14"/>
  <cols>
    <col min="1" max="1" width="30" customWidth="1"/>
    <col min="2" max="2" width="14" customWidth="1"/>
    <col min="3" max="3" width="80" customWidth="1"/>
  </cols>
  <sheetData>
    <row r="1" spans="1:3">
      <c r="A1" s="3" t="s">
        <v>131</v>
      </c>
      <c r="B1" s="3"/>
      <c r="C1" s="3"/>
    </row>
    <row r="2" spans="1:3">
      <c r="A2" s="2" t="s">
        <v>1</v>
      </c>
      <c r="B2" s="2" t="s">
        <v>2</v>
      </c>
      <c r="C2" s="2" t="s">
        <v>132</v>
      </c>
    </row>
    <row r="3" spans="1:3">
      <c r="A3" t="s">
        <v>133</v>
      </c>
      <c r="B3" s="10">
        <v>0.8</v>
      </c>
      <c r="C3" t="s">
        <v>134</v>
      </c>
    </row>
    <row r="4" spans="1:3">
      <c r="A4" t="s">
        <v>135</v>
      </c>
      <c r="B4" s="10">
        <v>1</v>
      </c>
      <c r="C4" t="s">
        <v>136</v>
      </c>
    </row>
    <row r="5" spans="1:3">
      <c r="A5" t="s">
        <v>137</v>
      </c>
      <c r="B5" s="10">
        <v>1.2</v>
      </c>
      <c r="C5" t="s">
        <v>138</v>
      </c>
    </row>
    <row r="6" spans="1:3">
      <c r="A6" t="s">
        <v>139</v>
      </c>
      <c r="C6" t="s">
        <v>140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7"/>
  <sheetViews>
    <sheetView workbookViewId="0">
      <selection activeCell="F3" sqref="F3"/>
    </sheetView>
  </sheetViews>
  <sheetFormatPr defaultRowHeight="14"/>
  <cols>
    <col min="1" max="1" width="24" customWidth="1"/>
    <col min="2" max="2" width="26" customWidth="1"/>
    <col min="3" max="3" width="34" customWidth="1"/>
    <col min="4" max="4" width="30" customWidth="1"/>
    <col min="5" max="6" width="16" customWidth="1"/>
    <col min="7" max="7" width="60" customWidth="1"/>
    <col min="8" max="8" width="45" customWidth="1"/>
  </cols>
  <sheetData>
    <row r="1" spans="1:8">
      <c r="A1" s="13" t="s">
        <v>7</v>
      </c>
      <c r="B1" s="13" t="s">
        <v>1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145</v>
      </c>
      <c r="H1" s="13" t="s">
        <v>146</v>
      </c>
    </row>
    <row r="2" spans="1:8" ht="28">
      <c r="A2" s="4" t="s">
        <v>92</v>
      </c>
      <c r="B2" s="4" t="s">
        <v>50</v>
      </c>
      <c r="C2" s="4" t="s">
        <v>147</v>
      </c>
      <c r="D2" s="4" t="s">
        <v>148</v>
      </c>
      <c r="E2" s="4" t="s">
        <v>147</v>
      </c>
      <c r="F2" s="4" t="s">
        <v>149</v>
      </c>
      <c r="G2" s="4" t="s">
        <v>150</v>
      </c>
      <c r="H2" s="4" t="s">
        <v>151</v>
      </c>
    </row>
    <row r="3" spans="1:8">
      <c r="A3" s="4" t="s">
        <v>92</v>
      </c>
      <c r="B3" s="4" t="s">
        <v>52</v>
      </c>
      <c r="C3" s="4" t="s">
        <v>147</v>
      </c>
      <c r="D3" s="4" t="s">
        <v>152</v>
      </c>
      <c r="E3" s="4" t="s">
        <v>147</v>
      </c>
      <c r="F3" s="4" t="s">
        <v>149</v>
      </c>
      <c r="G3" s="4" t="s">
        <v>153</v>
      </c>
      <c r="H3" s="4" t="s">
        <v>154</v>
      </c>
    </row>
    <row r="4" spans="1:8">
      <c r="A4" s="4" t="s">
        <v>92</v>
      </c>
      <c r="B4" s="4" t="s">
        <v>155</v>
      </c>
      <c r="C4" s="4" t="s">
        <v>156</v>
      </c>
      <c r="D4" s="4" t="s">
        <v>157</v>
      </c>
      <c r="E4" s="4" t="s">
        <v>147</v>
      </c>
      <c r="F4" s="4" t="s">
        <v>158</v>
      </c>
      <c r="G4" s="4" t="s">
        <v>159</v>
      </c>
      <c r="H4" s="4" t="s">
        <v>160</v>
      </c>
    </row>
    <row r="5" spans="1:8">
      <c r="A5" s="4" t="s">
        <v>93</v>
      </c>
      <c r="B5" s="4" t="s">
        <v>161</v>
      </c>
      <c r="C5" s="4" t="s">
        <v>162</v>
      </c>
      <c r="D5" s="4" t="s">
        <v>163</v>
      </c>
      <c r="E5" s="4" t="s">
        <v>147</v>
      </c>
      <c r="F5" s="4" t="s">
        <v>164</v>
      </c>
      <c r="G5" s="4" t="s">
        <v>165</v>
      </c>
      <c r="H5" s="4" t="s">
        <v>154</v>
      </c>
    </row>
    <row r="6" spans="1:8">
      <c r="A6" s="4" t="s">
        <v>93</v>
      </c>
      <c r="B6" s="4" t="s">
        <v>75</v>
      </c>
      <c r="C6" s="4" t="s">
        <v>166</v>
      </c>
      <c r="D6" s="4" t="s">
        <v>167</v>
      </c>
      <c r="E6" s="4" t="s">
        <v>168</v>
      </c>
      <c r="F6" s="4" t="s">
        <v>164</v>
      </c>
      <c r="G6" s="4" t="s">
        <v>169</v>
      </c>
      <c r="H6" s="4" t="s">
        <v>154</v>
      </c>
    </row>
    <row r="7" spans="1:8" ht="28">
      <c r="A7" s="4" t="s">
        <v>94</v>
      </c>
      <c r="B7" s="4" t="s">
        <v>170</v>
      </c>
      <c r="C7" s="4" t="s">
        <v>171</v>
      </c>
      <c r="D7" s="4" t="s">
        <v>172</v>
      </c>
      <c r="E7" s="4" t="s">
        <v>173</v>
      </c>
      <c r="F7" s="4" t="s">
        <v>174</v>
      </c>
      <c r="G7" s="4" t="s">
        <v>175</v>
      </c>
      <c r="H7" s="4" t="s">
        <v>176</v>
      </c>
    </row>
    <row r="8" spans="1:8">
      <c r="A8" s="4" t="s">
        <v>94</v>
      </c>
      <c r="B8" s="4" t="s">
        <v>52</v>
      </c>
      <c r="C8" s="4" t="s">
        <v>147</v>
      </c>
      <c r="D8" s="4" t="s">
        <v>152</v>
      </c>
      <c r="E8" s="4" t="s">
        <v>147</v>
      </c>
      <c r="F8" s="4" t="s">
        <v>177</v>
      </c>
      <c r="G8" s="4" t="s">
        <v>178</v>
      </c>
      <c r="H8" s="4" t="s">
        <v>176</v>
      </c>
    </row>
    <row r="9" spans="1:8" ht="28">
      <c r="A9" s="4" t="s">
        <v>95</v>
      </c>
      <c r="B9" s="4" t="s">
        <v>179</v>
      </c>
      <c r="C9" s="4" t="s">
        <v>180</v>
      </c>
      <c r="D9" s="4" t="s">
        <v>181</v>
      </c>
      <c r="E9" s="4" t="s">
        <v>173</v>
      </c>
      <c r="F9" s="4" t="s">
        <v>174</v>
      </c>
      <c r="G9" s="4" t="s">
        <v>182</v>
      </c>
      <c r="H9" s="4" t="s">
        <v>176</v>
      </c>
    </row>
    <row r="10" spans="1:8" ht="28">
      <c r="A10" s="4" t="s">
        <v>96</v>
      </c>
      <c r="B10" s="4" t="s">
        <v>183</v>
      </c>
      <c r="C10" s="4" t="s">
        <v>184</v>
      </c>
      <c r="D10" s="4" t="s">
        <v>185</v>
      </c>
      <c r="E10" s="4" t="s">
        <v>173</v>
      </c>
      <c r="F10" s="4" t="s">
        <v>186</v>
      </c>
      <c r="G10" s="4" t="s">
        <v>187</v>
      </c>
      <c r="H10" s="4" t="s">
        <v>176</v>
      </c>
    </row>
    <row r="11" spans="1:8" ht="28">
      <c r="A11" s="4" t="s">
        <v>97</v>
      </c>
      <c r="B11" s="4" t="s">
        <v>188</v>
      </c>
      <c r="C11" s="4" t="s">
        <v>189</v>
      </c>
      <c r="D11" s="4" t="s">
        <v>181</v>
      </c>
      <c r="E11" s="4" t="s">
        <v>173</v>
      </c>
      <c r="F11" s="4" t="s">
        <v>190</v>
      </c>
      <c r="G11" s="4" t="s">
        <v>191</v>
      </c>
      <c r="H11" s="4" t="s">
        <v>154</v>
      </c>
    </row>
    <row r="12" spans="1:8" ht="28">
      <c r="A12" s="4" t="s">
        <v>98</v>
      </c>
      <c r="B12" s="4" t="s">
        <v>192</v>
      </c>
      <c r="C12" s="4" t="s">
        <v>193</v>
      </c>
      <c r="D12" s="4" t="s">
        <v>157</v>
      </c>
      <c r="E12" s="4" t="s">
        <v>147</v>
      </c>
      <c r="F12" s="4" t="s">
        <v>194</v>
      </c>
      <c r="G12" s="4" t="s">
        <v>195</v>
      </c>
      <c r="H12" s="4" t="s">
        <v>196</v>
      </c>
    </row>
    <row r="13" spans="1:8" ht="28">
      <c r="A13" s="4" t="s">
        <v>99</v>
      </c>
      <c r="B13" s="4" t="s">
        <v>192</v>
      </c>
      <c r="C13" s="4" t="s">
        <v>197</v>
      </c>
      <c r="D13" s="4" t="s">
        <v>157</v>
      </c>
      <c r="E13" s="4" t="s">
        <v>147</v>
      </c>
      <c r="F13" s="4" t="s">
        <v>198</v>
      </c>
      <c r="G13" s="4" t="s">
        <v>199</v>
      </c>
      <c r="H13" s="4" t="s">
        <v>200</v>
      </c>
    </row>
    <row r="14" spans="1:8" ht="28">
      <c r="A14" s="4" t="s">
        <v>100</v>
      </c>
      <c r="B14" s="4" t="s">
        <v>201</v>
      </c>
      <c r="C14" s="4" t="s">
        <v>202</v>
      </c>
      <c r="D14" s="4" t="s">
        <v>203</v>
      </c>
      <c r="E14" s="4" t="s">
        <v>147</v>
      </c>
      <c r="F14" s="4" t="s">
        <v>204</v>
      </c>
      <c r="G14" s="4" t="s">
        <v>205</v>
      </c>
      <c r="H14" s="4" t="s">
        <v>206</v>
      </c>
    </row>
    <row r="15" spans="1:8" ht="28">
      <c r="A15" s="4" t="s">
        <v>101</v>
      </c>
      <c r="B15" s="4" t="s">
        <v>207</v>
      </c>
      <c r="C15" s="4" t="s">
        <v>208</v>
      </c>
      <c r="D15" s="4" t="s">
        <v>209</v>
      </c>
      <c r="E15" s="4" t="s">
        <v>147</v>
      </c>
      <c r="F15" s="4" t="s">
        <v>158</v>
      </c>
      <c r="G15" s="4" t="s">
        <v>210</v>
      </c>
      <c r="H15" s="4" t="s">
        <v>211</v>
      </c>
    </row>
    <row r="16" spans="1:8" ht="28">
      <c r="A16" s="4" t="s">
        <v>212</v>
      </c>
      <c r="B16" s="4" t="s">
        <v>213</v>
      </c>
      <c r="C16" s="4" t="s">
        <v>214</v>
      </c>
      <c r="D16" s="4" t="s">
        <v>215</v>
      </c>
      <c r="E16" s="4" t="s">
        <v>147</v>
      </c>
      <c r="F16" s="4" t="s">
        <v>216</v>
      </c>
      <c r="G16" s="4" t="s">
        <v>217</v>
      </c>
      <c r="H16" s="4" t="s">
        <v>218</v>
      </c>
    </row>
    <row r="17" spans="1:8">
      <c r="A17" s="4" t="s">
        <v>104</v>
      </c>
      <c r="B17" s="4" t="s">
        <v>219</v>
      </c>
      <c r="C17" s="4" t="s">
        <v>220</v>
      </c>
      <c r="D17" s="4" t="s">
        <v>157</v>
      </c>
      <c r="E17" s="4" t="s">
        <v>147</v>
      </c>
      <c r="F17" s="4" t="s">
        <v>158</v>
      </c>
      <c r="G17" s="4" t="s">
        <v>221</v>
      </c>
      <c r="H17" s="4" t="s">
        <v>211</v>
      </c>
    </row>
    <row r="18" spans="1:8" ht="28">
      <c r="A18" s="4" t="s">
        <v>94</v>
      </c>
      <c r="B18" s="4" t="s">
        <v>222</v>
      </c>
      <c r="C18" s="4" t="s">
        <v>223</v>
      </c>
      <c r="D18" s="4" t="s">
        <v>224</v>
      </c>
      <c r="E18" s="4" t="s">
        <v>173</v>
      </c>
      <c r="F18" s="4" t="s">
        <v>225</v>
      </c>
      <c r="G18" s="4" t="s">
        <v>226</v>
      </c>
      <c r="H18" s="4" t="s">
        <v>227</v>
      </c>
    </row>
    <row r="19" spans="1:8" ht="28">
      <c r="A19" s="4" t="s">
        <v>95</v>
      </c>
      <c r="B19" s="4" t="s">
        <v>228</v>
      </c>
      <c r="C19" s="4" t="s">
        <v>229</v>
      </c>
      <c r="D19" s="4" t="s">
        <v>230</v>
      </c>
      <c r="E19" s="4" t="s">
        <v>173</v>
      </c>
      <c r="F19" s="4" t="s">
        <v>231</v>
      </c>
      <c r="G19" s="4" t="s">
        <v>232</v>
      </c>
      <c r="H19" s="4" t="s">
        <v>233</v>
      </c>
    </row>
    <row r="20" spans="1:8" ht="28">
      <c r="A20" s="4" t="s">
        <v>96</v>
      </c>
      <c r="B20" s="4" t="s">
        <v>234</v>
      </c>
      <c r="C20" s="4" t="s">
        <v>235</v>
      </c>
      <c r="D20" s="4" t="s">
        <v>236</v>
      </c>
      <c r="E20" s="4" t="s">
        <v>173</v>
      </c>
      <c r="F20" s="4" t="s">
        <v>225</v>
      </c>
      <c r="G20" s="4" t="s">
        <v>237</v>
      </c>
      <c r="H20" s="4" t="s">
        <v>238</v>
      </c>
    </row>
    <row r="21" spans="1:8" ht="28">
      <c r="A21" s="4" t="s">
        <v>239</v>
      </c>
      <c r="B21" s="4" t="s">
        <v>240</v>
      </c>
      <c r="C21" s="4" t="s">
        <v>241</v>
      </c>
      <c r="D21" s="4" t="s">
        <v>242</v>
      </c>
      <c r="E21" s="4" t="s">
        <v>243</v>
      </c>
      <c r="F21" s="4" t="s">
        <v>244</v>
      </c>
      <c r="G21" s="4" t="s">
        <v>245</v>
      </c>
      <c r="H21" s="4" t="s">
        <v>246</v>
      </c>
    </row>
    <row r="22" spans="1:8" ht="28">
      <c r="A22" s="4" t="s">
        <v>86</v>
      </c>
      <c r="B22" s="4" t="s">
        <v>247</v>
      </c>
      <c r="C22" s="4" t="s">
        <v>248</v>
      </c>
      <c r="D22" s="4" t="s">
        <v>249</v>
      </c>
      <c r="E22" s="4" t="s">
        <v>250</v>
      </c>
      <c r="F22" s="4" t="s">
        <v>251</v>
      </c>
      <c r="G22" s="4" t="s">
        <v>252</v>
      </c>
      <c r="H22" s="4" t="s">
        <v>227</v>
      </c>
    </row>
    <row r="23" spans="1:8">
      <c r="A23" s="4"/>
      <c r="B23" s="4"/>
      <c r="C23" s="4"/>
      <c r="D23" s="4"/>
      <c r="E23" s="4"/>
      <c r="F23" s="4"/>
      <c r="G23" s="4"/>
      <c r="H23" s="4"/>
    </row>
    <row r="24" spans="1:8">
      <c r="A24" s="4"/>
      <c r="B24" s="4"/>
      <c r="C24" s="4"/>
      <c r="D24" s="4"/>
      <c r="E24" s="4"/>
      <c r="F24" s="4"/>
      <c r="G24" s="4"/>
      <c r="H24" s="4"/>
    </row>
    <row r="25" spans="1:8">
      <c r="A25" s="4"/>
      <c r="B25" s="4"/>
      <c r="C25" s="4"/>
      <c r="D25" s="4"/>
      <c r="E25" s="4"/>
      <c r="F25" s="4"/>
      <c r="G25" s="4"/>
      <c r="H25" s="4"/>
    </row>
    <row r="26" spans="1:8">
      <c r="A26" s="4"/>
      <c r="B26" s="4"/>
      <c r="C26" s="4"/>
      <c r="D26" s="4"/>
      <c r="E26" s="4"/>
      <c r="F26" s="4"/>
      <c r="G26" s="4"/>
      <c r="H26" s="4"/>
    </row>
    <row r="27" spans="1:8">
      <c r="A27" s="4"/>
      <c r="B27" s="4"/>
      <c r="C27" s="4"/>
      <c r="D27" s="4"/>
      <c r="E27" s="4"/>
      <c r="F27" s="4"/>
      <c r="G27" s="4"/>
      <c r="H27" s="4"/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4"/>
  <sheetViews>
    <sheetView workbookViewId="0">
      <selection activeCell="D2" sqref="D2:D12"/>
    </sheetView>
  </sheetViews>
  <sheetFormatPr defaultRowHeight="14"/>
  <cols>
    <col min="1" max="1" width="10" customWidth="1"/>
    <col min="2" max="2" width="60" customWidth="1"/>
    <col min="3" max="3" width="12" customWidth="1"/>
    <col min="4" max="4" width="60" customWidth="1"/>
    <col min="5" max="5" width="45" customWidth="1"/>
  </cols>
  <sheetData>
    <row r="1" spans="1:5">
      <c r="A1" s="13" t="s">
        <v>253</v>
      </c>
      <c r="B1" s="13" t="s">
        <v>254</v>
      </c>
      <c r="C1" s="13" t="s">
        <v>255</v>
      </c>
      <c r="D1" s="13" t="s">
        <v>256</v>
      </c>
      <c r="E1" s="13" t="s">
        <v>257</v>
      </c>
    </row>
    <row r="2" spans="1:5" ht="28">
      <c r="A2" s="4" t="s">
        <v>258</v>
      </c>
      <c r="B2" s="4" t="s">
        <v>259</v>
      </c>
      <c r="C2" s="4" t="s">
        <v>260</v>
      </c>
      <c r="D2" s="4" t="s">
        <v>261</v>
      </c>
      <c r="E2" s="4" t="s">
        <v>211</v>
      </c>
    </row>
    <row r="3" spans="1:5" ht="28">
      <c r="A3" s="4" t="s">
        <v>262</v>
      </c>
      <c r="B3" s="4" t="s">
        <v>263</v>
      </c>
      <c r="C3" s="4" t="s">
        <v>264</v>
      </c>
      <c r="D3" s="4" t="s">
        <v>265</v>
      </c>
      <c r="E3" s="4" t="s">
        <v>160</v>
      </c>
    </row>
    <row r="4" spans="1:5" ht="28">
      <c r="A4" s="4" t="s">
        <v>266</v>
      </c>
      <c r="B4" s="4" t="s">
        <v>267</v>
      </c>
      <c r="C4" s="4" t="s">
        <v>268</v>
      </c>
      <c r="D4" s="4" t="s">
        <v>269</v>
      </c>
      <c r="E4" s="4" t="s">
        <v>151</v>
      </c>
    </row>
    <row r="5" spans="1:5" ht="28">
      <c r="A5" s="4" t="s">
        <v>164</v>
      </c>
      <c r="B5" s="4" t="s">
        <v>270</v>
      </c>
      <c r="C5" s="4" t="s">
        <v>264</v>
      </c>
      <c r="D5" s="4" t="s">
        <v>271</v>
      </c>
      <c r="E5" s="4" t="s">
        <v>154</v>
      </c>
    </row>
    <row r="6" spans="1:5" ht="28">
      <c r="A6" s="4" t="s">
        <v>272</v>
      </c>
      <c r="B6" s="4" t="s">
        <v>273</v>
      </c>
      <c r="C6" s="4" t="s">
        <v>274</v>
      </c>
      <c r="D6" s="4" t="s">
        <v>275</v>
      </c>
      <c r="E6" s="4" t="s">
        <v>196</v>
      </c>
    </row>
    <row r="7" spans="1:5" ht="28">
      <c r="A7" s="4" t="s">
        <v>276</v>
      </c>
      <c r="B7" s="4" t="s">
        <v>277</v>
      </c>
      <c r="C7" s="4" t="s">
        <v>278</v>
      </c>
      <c r="D7" s="4" t="s">
        <v>279</v>
      </c>
      <c r="E7" s="4" t="s">
        <v>206</v>
      </c>
    </row>
    <row r="8" spans="1:5" ht="28">
      <c r="A8" s="4" t="s">
        <v>280</v>
      </c>
      <c r="B8" s="4" t="s">
        <v>281</v>
      </c>
      <c r="C8" s="4" t="s">
        <v>274</v>
      </c>
      <c r="D8" s="4" t="s">
        <v>282</v>
      </c>
      <c r="E8" s="4" t="s">
        <v>283</v>
      </c>
    </row>
    <row r="9" spans="1:5" ht="28">
      <c r="A9" s="4" t="s">
        <v>284</v>
      </c>
      <c r="B9" s="4" t="s">
        <v>285</v>
      </c>
      <c r="C9" s="4" t="s">
        <v>274</v>
      </c>
      <c r="D9" s="4" t="s">
        <v>286</v>
      </c>
      <c r="E9" s="4" t="s">
        <v>218</v>
      </c>
    </row>
    <row r="10" spans="1:5" ht="28">
      <c r="A10" s="4" t="s">
        <v>287</v>
      </c>
      <c r="B10" s="4" t="s">
        <v>288</v>
      </c>
      <c r="C10" s="4" t="s">
        <v>289</v>
      </c>
      <c r="D10" s="4" t="s">
        <v>290</v>
      </c>
      <c r="E10" s="4" t="s">
        <v>200</v>
      </c>
    </row>
    <row r="11" spans="1:5" ht="28">
      <c r="A11" s="4" t="s">
        <v>177</v>
      </c>
      <c r="B11" s="4" t="s">
        <v>291</v>
      </c>
      <c r="C11" s="4" t="s">
        <v>264</v>
      </c>
      <c r="D11" s="4" t="s">
        <v>292</v>
      </c>
      <c r="E11" s="4" t="s">
        <v>227</v>
      </c>
    </row>
    <row r="12" spans="1:5">
      <c r="A12" t="s">
        <v>293</v>
      </c>
      <c r="B12" t="s">
        <v>294</v>
      </c>
      <c r="C12" t="s">
        <v>295</v>
      </c>
      <c r="D12" t="s">
        <v>296</v>
      </c>
      <c r="E12" t="s">
        <v>246</v>
      </c>
    </row>
    <row r="13" spans="1:5">
      <c r="A13" t="s">
        <v>297</v>
      </c>
      <c r="B13" t="s">
        <v>298</v>
      </c>
      <c r="C13" t="s">
        <v>278</v>
      </c>
      <c r="D13" t="s">
        <v>299</v>
      </c>
      <c r="E13" t="s">
        <v>233</v>
      </c>
    </row>
    <row r="14" spans="1:5">
      <c r="A14" t="s">
        <v>300</v>
      </c>
      <c r="B14" t="s">
        <v>301</v>
      </c>
      <c r="C14" t="s">
        <v>302</v>
      </c>
      <c r="D14" t="s">
        <v>303</v>
      </c>
      <c r="E14" t="s">
        <v>238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"/>
  <sheetViews>
    <sheetView workbookViewId="0">
      <selection activeCell="C29" sqref="C29"/>
    </sheetView>
  </sheetViews>
  <sheetFormatPr defaultRowHeight="14"/>
  <cols>
    <col min="1" max="2" width="16" customWidth="1"/>
    <col min="3" max="3" width="12" customWidth="1"/>
    <col min="4" max="4" width="24" customWidth="1"/>
    <col min="5" max="5" width="16" customWidth="1"/>
    <col min="6" max="6" width="18" customWidth="1"/>
    <col min="7" max="8" width="16" customWidth="1"/>
    <col min="9" max="9" width="14" customWidth="1"/>
    <col min="10" max="10" width="16" customWidth="1"/>
    <col min="11" max="12" width="18" customWidth="1"/>
  </cols>
  <sheetData>
    <row r="1" spans="1:12">
      <c r="A1" s="13" t="s">
        <v>304</v>
      </c>
      <c r="B1" s="13" t="s">
        <v>32</v>
      </c>
      <c r="C1" s="13" t="s">
        <v>305</v>
      </c>
      <c r="D1" s="13" t="s">
        <v>306</v>
      </c>
      <c r="E1" s="13" t="s">
        <v>307</v>
      </c>
      <c r="F1" s="13" t="s">
        <v>308</v>
      </c>
      <c r="G1" s="13" t="s">
        <v>309</v>
      </c>
      <c r="H1" s="13" t="s">
        <v>310</v>
      </c>
      <c r="I1" s="13" t="s">
        <v>311</v>
      </c>
      <c r="J1" s="13" t="s">
        <v>312</v>
      </c>
      <c r="K1" s="13" t="s">
        <v>313</v>
      </c>
      <c r="L1" s="13" t="s">
        <v>314</v>
      </c>
    </row>
    <row r="2" spans="1:12">
      <c r="A2" t="s">
        <v>315</v>
      </c>
      <c r="B2" t="s">
        <v>316</v>
      </c>
      <c r="C2" t="s">
        <v>147</v>
      </c>
      <c r="D2" t="s">
        <v>317</v>
      </c>
      <c r="E2" t="s">
        <v>318</v>
      </c>
      <c r="F2" t="s">
        <v>319</v>
      </c>
      <c r="G2" t="s">
        <v>316</v>
      </c>
      <c r="H2" t="s">
        <v>320</v>
      </c>
      <c r="I2" t="s">
        <v>321</v>
      </c>
      <c r="J2" t="s">
        <v>316</v>
      </c>
      <c r="K2" t="s">
        <v>147</v>
      </c>
      <c r="L2" t="s">
        <v>322</v>
      </c>
    </row>
    <row r="3" spans="1:12">
      <c r="A3" t="s">
        <v>323</v>
      </c>
      <c r="B3" t="s">
        <v>324</v>
      </c>
      <c r="C3" t="s">
        <v>325</v>
      </c>
      <c r="D3" t="s">
        <v>326</v>
      </c>
      <c r="E3" t="s">
        <v>327</v>
      </c>
      <c r="F3" t="s">
        <v>328</v>
      </c>
      <c r="G3" t="s">
        <v>329</v>
      </c>
      <c r="H3" t="s">
        <v>330</v>
      </c>
      <c r="I3" t="s">
        <v>331</v>
      </c>
      <c r="J3" t="s">
        <v>324</v>
      </c>
      <c r="K3" t="s">
        <v>325</v>
      </c>
      <c r="L3" t="s">
        <v>168</v>
      </c>
    </row>
    <row r="4" spans="1:12">
      <c r="B4" t="s">
        <v>332</v>
      </c>
      <c r="D4" t="s">
        <v>333</v>
      </c>
      <c r="E4" t="s">
        <v>334</v>
      </c>
      <c r="F4" t="s">
        <v>335</v>
      </c>
      <c r="G4" t="s">
        <v>332</v>
      </c>
      <c r="H4" t="s">
        <v>336</v>
      </c>
      <c r="I4" t="s">
        <v>337</v>
      </c>
      <c r="J4" t="s">
        <v>332</v>
      </c>
      <c r="K4" t="s">
        <v>338</v>
      </c>
      <c r="L4" t="s">
        <v>339</v>
      </c>
    </row>
    <row r="5" spans="1:12">
      <c r="D5" t="s">
        <v>340</v>
      </c>
      <c r="I5" t="s">
        <v>341</v>
      </c>
      <c r="J5" t="s">
        <v>338</v>
      </c>
    </row>
    <row r="6" spans="1:12">
      <c r="D6" t="s">
        <v>342</v>
      </c>
    </row>
    <row r="7" spans="1:12">
      <c r="D7" t="s">
        <v>343</v>
      </c>
    </row>
    <row r="8" spans="1:12">
      <c r="D8" t="s">
        <v>344</v>
      </c>
    </row>
    <row r="9" spans="1:12">
      <c r="D9" t="s">
        <v>345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D2B68-F6E4-4B6A-B153-A2A5CE1EE8EE}">
  <dimension ref="A1:M73"/>
  <sheetViews>
    <sheetView workbookViewId="0">
      <pane ySplit="3" topLeftCell="A19" activePane="bottomLeft" state="frozen"/>
      <selection pane="bottomLeft" activeCell="C13" sqref="C13"/>
    </sheetView>
  </sheetViews>
  <sheetFormatPr defaultColWidth="8.83203125" defaultRowHeight="14.5"/>
  <cols>
    <col min="1" max="1" width="14.9140625" style="32" customWidth="1"/>
    <col min="2" max="2" width="22.4140625" style="18" customWidth="1"/>
    <col min="3" max="3" width="25.6640625" style="18" customWidth="1"/>
    <col min="4" max="4" width="16.58203125" style="19" customWidth="1"/>
    <col min="5" max="5" width="13.4140625" style="19" customWidth="1"/>
    <col min="6" max="6" width="19.6640625" style="18" customWidth="1"/>
    <col min="7" max="9" width="8.83203125" style="19"/>
    <col min="10" max="10" width="19.83203125" style="19" customWidth="1"/>
    <col min="11" max="11" width="18" style="19" customWidth="1"/>
    <col min="12" max="12" width="39.9140625" style="19" customWidth="1"/>
    <col min="13" max="16384" width="8.83203125" style="19"/>
  </cols>
  <sheetData>
    <row r="1" spans="1:6">
      <c r="A1" s="17" t="s">
        <v>359</v>
      </c>
    </row>
    <row r="3" spans="1:6">
      <c r="A3" s="20" t="s">
        <v>360</v>
      </c>
      <c r="B3" s="20" t="s">
        <v>361</v>
      </c>
      <c r="C3" s="20" t="s">
        <v>362</v>
      </c>
      <c r="D3" s="21" t="s">
        <v>2</v>
      </c>
      <c r="E3" s="21" t="s">
        <v>363</v>
      </c>
      <c r="F3" s="20" t="s">
        <v>364</v>
      </c>
    </row>
    <row r="4" spans="1:6">
      <c r="A4" s="34" t="s">
        <v>365</v>
      </c>
      <c r="B4" s="22" t="s">
        <v>366</v>
      </c>
      <c r="C4" s="22" t="s">
        <v>367</v>
      </c>
      <c r="D4" s="23" t="s">
        <v>368</v>
      </c>
      <c r="E4" s="23"/>
      <c r="F4" s="22" t="s">
        <v>369</v>
      </c>
    </row>
    <row r="5" spans="1:6">
      <c r="A5" s="34"/>
      <c r="B5" s="22" t="s">
        <v>370</v>
      </c>
      <c r="C5" s="22" t="s">
        <v>367</v>
      </c>
      <c r="D5" s="23" t="s">
        <v>371</v>
      </c>
      <c r="E5" s="23"/>
      <c r="F5" s="22"/>
    </row>
    <row r="6" spans="1:6">
      <c r="A6" s="34"/>
      <c r="B6" s="22" t="s">
        <v>372</v>
      </c>
      <c r="C6" s="22" t="s">
        <v>367</v>
      </c>
      <c r="D6" s="23" t="s">
        <v>373</v>
      </c>
      <c r="E6" s="23"/>
      <c r="F6" s="22"/>
    </row>
    <row r="7" spans="1:6" ht="29">
      <c r="A7" s="34"/>
      <c r="B7" s="22" t="s">
        <v>374</v>
      </c>
      <c r="C7" s="22" t="s">
        <v>375</v>
      </c>
      <c r="D7" s="23" t="s">
        <v>376</v>
      </c>
      <c r="E7" s="23"/>
      <c r="F7" s="22" t="s">
        <v>377</v>
      </c>
    </row>
    <row r="8" spans="1:6">
      <c r="A8" s="34"/>
      <c r="B8" s="22" t="s">
        <v>378</v>
      </c>
      <c r="C8" s="22"/>
      <c r="D8" s="24">
        <v>0.2</v>
      </c>
      <c r="E8" s="22" t="s">
        <v>57</v>
      </c>
      <c r="F8" s="22" t="s">
        <v>379</v>
      </c>
    </row>
    <row r="9" spans="1:6" ht="58">
      <c r="A9" s="34"/>
      <c r="B9" s="22" t="s">
        <v>380</v>
      </c>
      <c r="C9" s="22" t="s">
        <v>381</v>
      </c>
      <c r="D9" s="23" t="s">
        <v>382</v>
      </c>
      <c r="E9" s="23"/>
      <c r="F9" s="22" t="s">
        <v>383</v>
      </c>
    </row>
    <row r="10" spans="1:6">
      <c r="A10" s="34"/>
      <c r="B10" s="22" t="s">
        <v>384</v>
      </c>
      <c r="C10" s="22" t="s">
        <v>385</v>
      </c>
      <c r="D10" s="25">
        <v>46022</v>
      </c>
      <c r="E10" s="23"/>
      <c r="F10" s="22" t="s">
        <v>386</v>
      </c>
    </row>
    <row r="11" spans="1:6">
      <c r="A11" s="34"/>
      <c r="B11" s="22" t="s">
        <v>387</v>
      </c>
      <c r="C11" s="22" t="s">
        <v>367</v>
      </c>
      <c r="D11" s="23"/>
      <c r="E11" s="23"/>
      <c r="F11" s="22" t="s">
        <v>388</v>
      </c>
    </row>
    <row r="12" spans="1:6">
      <c r="A12" s="34" t="s">
        <v>389</v>
      </c>
      <c r="B12" s="22" t="s">
        <v>390</v>
      </c>
      <c r="C12" s="22" t="s">
        <v>391</v>
      </c>
      <c r="D12" s="23">
        <v>2300</v>
      </c>
      <c r="E12" s="22" t="s">
        <v>31</v>
      </c>
      <c r="F12" s="22"/>
    </row>
    <row r="13" spans="1:6">
      <c r="A13" s="34"/>
      <c r="B13" s="22" t="s">
        <v>30</v>
      </c>
      <c r="C13" s="22" t="s">
        <v>391</v>
      </c>
      <c r="D13" s="23">
        <v>38</v>
      </c>
      <c r="E13" s="22" t="s">
        <v>31</v>
      </c>
      <c r="F13" s="22"/>
    </row>
    <row r="14" spans="1:6">
      <c r="A14" s="34"/>
      <c r="B14" s="22" t="s">
        <v>392</v>
      </c>
      <c r="C14" s="22" t="s">
        <v>391</v>
      </c>
      <c r="D14" s="23">
        <v>38</v>
      </c>
      <c r="E14" s="22" t="s">
        <v>31</v>
      </c>
      <c r="F14" s="22"/>
    </row>
    <row r="15" spans="1:6">
      <c r="A15" s="34"/>
      <c r="B15" s="22" t="s">
        <v>393</v>
      </c>
      <c r="C15" s="22" t="s">
        <v>391</v>
      </c>
      <c r="D15" s="23"/>
      <c r="E15" s="22" t="s">
        <v>394</v>
      </c>
      <c r="F15" s="22"/>
    </row>
    <row r="16" spans="1:6">
      <c r="A16" s="34"/>
      <c r="B16" s="22" t="s">
        <v>395</v>
      </c>
      <c r="C16" s="22" t="s">
        <v>391</v>
      </c>
      <c r="D16" s="26">
        <v>0.24</v>
      </c>
      <c r="E16" s="23"/>
      <c r="F16" s="22" t="s">
        <v>396</v>
      </c>
    </row>
    <row r="17" spans="1:6">
      <c r="A17" s="34"/>
      <c r="B17" s="22" t="s">
        <v>397</v>
      </c>
      <c r="C17" s="22" t="s">
        <v>391</v>
      </c>
      <c r="D17" s="23">
        <v>30</v>
      </c>
      <c r="E17" s="22" t="s">
        <v>22</v>
      </c>
      <c r="F17" s="22"/>
    </row>
    <row r="18" spans="1:6">
      <c r="A18" s="34"/>
      <c r="B18" s="22" t="s">
        <v>398</v>
      </c>
      <c r="C18" s="22" t="s">
        <v>391</v>
      </c>
      <c r="D18" s="23">
        <v>1</v>
      </c>
      <c r="E18" s="23"/>
      <c r="F18" s="22" t="s">
        <v>396</v>
      </c>
    </row>
    <row r="19" spans="1:6">
      <c r="A19" s="34"/>
      <c r="B19" s="22" t="s">
        <v>399</v>
      </c>
      <c r="C19" s="22" t="s">
        <v>391</v>
      </c>
      <c r="D19" s="23">
        <v>0.7</v>
      </c>
      <c r="E19" s="22" t="s">
        <v>400</v>
      </c>
      <c r="F19" s="22"/>
    </row>
    <row r="20" spans="1:6">
      <c r="A20" s="34"/>
      <c r="B20" s="22" t="s">
        <v>401</v>
      </c>
      <c r="C20" s="22" t="s">
        <v>391</v>
      </c>
      <c r="D20" s="23"/>
      <c r="E20" s="23"/>
      <c r="F20" s="22" t="s">
        <v>396</v>
      </c>
    </row>
    <row r="21" spans="1:6">
      <c r="A21" s="34"/>
      <c r="B21" s="22" t="s">
        <v>402</v>
      </c>
      <c r="C21" s="22" t="s">
        <v>391</v>
      </c>
      <c r="D21" s="23"/>
      <c r="E21" s="23"/>
      <c r="F21" s="22" t="s">
        <v>396</v>
      </c>
    </row>
    <row r="22" spans="1:6" ht="29">
      <c r="A22" s="34"/>
      <c r="B22" s="22" t="s">
        <v>403</v>
      </c>
      <c r="C22" s="22" t="s">
        <v>367</v>
      </c>
      <c r="D22" s="23"/>
      <c r="E22" s="23"/>
      <c r="F22" s="22" t="s">
        <v>404</v>
      </c>
    </row>
    <row r="23" spans="1:6" ht="29">
      <c r="A23" s="34"/>
      <c r="B23" s="22" t="s">
        <v>405</v>
      </c>
      <c r="C23" s="22" t="s">
        <v>406</v>
      </c>
      <c r="D23" s="23"/>
      <c r="E23" s="23"/>
      <c r="F23" s="22" t="s">
        <v>407</v>
      </c>
    </row>
    <row r="24" spans="1:6" ht="29">
      <c r="A24" s="34"/>
      <c r="B24" s="22" t="s">
        <v>408</v>
      </c>
      <c r="C24" s="22" t="s">
        <v>409</v>
      </c>
      <c r="D24" s="23" t="s">
        <v>410</v>
      </c>
      <c r="E24" s="23"/>
      <c r="F24" s="22"/>
    </row>
    <row r="25" spans="1:6" ht="29">
      <c r="A25" s="34"/>
      <c r="B25" s="22" t="s">
        <v>411</v>
      </c>
      <c r="C25" s="22" t="s">
        <v>412</v>
      </c>
      <c r="D25" s="23" t="s">
        <v>413</v>
      </c>
      <c r="E25" s="23"/>
      <c r="F25" s="22"/>
    </row>
    <row r="26" spans="1:6">
      <c r="A26" s="34"/>
      <c r="B26" s="22" t="s">
        <v>15</v>
      </c>
      <c r="C26" s="22" t="s">
        <v>391</v>
      </c>
      <c r="D26" s="23">
        <v>74</v>
      </c>
      <c r="E26" s="22" t="s">
        <v>16</v>
      </c>
      <c r="F26" s="22"/>
    </row>
    <row r="27" spans="1:6">
      <c r="A27" s="34"/>
      <c r="B27" s="22" t="s">
        <v>414</v>
      </c>
      <c r="C27" s="22" t="s">
        <v>391</v>
      </c>
      <c r="D27" s="23">
        <v>3900</v>
      </c>
      <c r="E27" s="22" t="s">
        <v>415</v>
      </c>
      <c r="F27" s="22"/>
    </row>
    <row r="28" spans="1:6">
      <c r="A28" s="34"/>
      <c r="B28" s="22" t="s">
        <v>416</v>
      </c>
      <c r="C28" s="22" t="s">
        <v>391</v>
      </c>
      <c r="D28" s="23">
        <v>3100</v>
      </c>
      <c r="E28" s="22" t="s">
        <v>415</v>
      </c>
      <c r="F28" s="22"/>
    </row>
    <row r="29" spans="1:6">
      <c r="A29" s="34"/>
      <c r="B29" s="22" t="s">
        <v>417</v>
      </c>
      <c r="C29" s="22" t="s">
        <v>391</v>
      </c>
      <c r="D29" s="23">
        <v>2646</v>
      </c>
      <c r="E29" s="22" t="s">
        <v>415</v>
      </c>
      <c r="F29" s="22"/>
    </row>
    <row r="30" spans="1:6" ht="87">
      <c r="A30" s="34" t="s">
        <v>418</v>
      </c>
      <c r="B30" s="22" t="s">
        <v>419</v>
      </c>
      <c r="C30" s="22" t="s">
        <v>367</v>
      </c>
      <c r="D30" s="23" t="s">
        <v>420</v>
      </c>
      <c r="E30" s="23"/>
      <c r="F30" s="22" t="s">
        <v>421</v>
      </c>
    </row>
    <row r="31" spans="1:6">
      <c r="A31" s="34"/>
      <c r="B31" s="22" t="s">
        <v>422</v>
      </c>
      <c r="C31" s="22" t="s">
        <v>391</v>
      </c>
      <c r="D31" s="23">
        <v>574</v>
      </c>
      <c r="E31" s="22" t="s">
        <v>423</v>
      </c>
      <c r="F31" s="22"/>
    </row>
    <row r="32" spans="1:6">
      <c r="A32" s="34"/>
      <c r="B32" s="22" t="s">
        <v>424</v>
      </c>
      <c r="C32" s="22" t="s">
        <v>391</v>
      </c>
      <c r="D32" s="23"/>
      <c r="E32" s="22" t="s">
        <v>425</v>
      </c>
      <c r="F32" s="22"/>
    </row>
    <row r="33" spans="1:13">
      <c r="A33" s="34"/>
      <c r="B33" s="22" t="s">
        <v>426</v>
      </c>
      <c r="C33" s="22" t="s">
        <v>391</v>
      </c>
      <c r="D33" s="23">
        <v>0.75</v>
      </c>
      <c r="E33" s="22" t="s">
        <v>425</v>
      </c>
      <c r="F33" s="22"/>
    </row>
    <row r="34" spans="1:13">
      <c r="A34" s="34"/>
      <c r="B34" s="22" t="s">
        <v>19</v>
      </c>
      <c r="C34" s="22" t="s">
        <v>391</v>
      </c>
      <c r="D34" s="23">
        <v>25</v>
      </c>
      <c r="E34" s="22" t="s">
        <v>427</v>
      </c>
      <c r="F34" s="22"/>
    </row>
    <row r="35" spans="1:13">
      <c r="A35" s="34"/>
      <c r="B35" s="22" t="s">
        <v>428</v>
      </c>
      <c r="C35" s="22" t="s">
        <v>391</v>
      </c>
      <c r="D35" s="23">
        <v>2.2000000000000002</v>
      </c>
      <c r="E35" s="22" t="s">
        <v>18</v>
      </c>
      <c r="F35" s="22"/>
    </row>
    <row r="36" spans="1:13">
      <c r="A36" s="34"/>
      <c r="B36" s="22" t="s">
        <v>429</v>
      </c>
      <c r="C36" s="22" t="s">
        <v>391</v>
      </c>
      <c r="D36" s="23">
        <v>1.78</v>
      </c>
      <c r="E36" s="22" t="s">
        <v>18</v>
      </c>
      <c r="F36" s="22"/>
    </row>
    <row r="37" spans="1:13">
      <c r="A37" s="34"/>
      <c r="B37" s="22" t="s">
        <v>430</v>
      </c>
      <c r="C37" s="22"/>
      <c r="D37" s="23"/>
      <c r="E37" s="23"/>
      <c r="F37" s="22"/>
    </row>
    <row r="38" spans="1:13" ht="43.5">
      <c r="A38" s="34"/>
      <c r="B38" s="22" t="s">
        <v>431</v>
      </c>
      <c r="C38" s="22" t="s">
        <v>432</v>
      </c>
      <c r="D38" s="22" t="s">
        <v>433</v>
      </c>
      <c r="E38" s="23" t="s">
        <v>434</v>
      </c>
      <c r="F38" s="22" t="s">
        <v>435</v>
      </c>
    </row>
    <row r="39" spans="1:13" ht="72.5">
      <c r="A39" s="34"/>
      <c r="B39" s="22" t="s">
        <v>436</v>
      </c>
      <c r="C39" s="22" t="s">
        <v>432</v>
      </c>
      <c r="D39" s="22" t="s">
        <v>437</v>
      </c>
      <c r="E39" s="23" t="s">
        <v>438</v>
      </c>
      <c r="F39" s="22" t="s">
        <v>439</v>
      </c>
      <c r="M39" s="19" t="s">
        <v>147</v>
      </c>
    </row>
    <row r="40" spans="1:13">
      <c r="A40" s="34"/>
      <c r="B40" s="22" t="s">
        <v>440</v>
      </c>
      <c r="C40" s="22" t="s">
        <v>391</v>
      </c>
      <c r="D40" s="23">
        <v>177000</v>
      </c>
      <c r="E40" s="23" t="s">
        <v>26</v>
      </c>
      <c r="F40" s="22" t="s">
        <v>441</v>
      </c>
      <c r="M40" s="19" t="s">
        <v>325</v>
      </c>
    </row>
    <row r="41" spans="1:13" ht="43.5">
      <c r="A41" s="34"/>
      <c r="B41" s="22" t="s">
        <v>442</v>
      </c>
      <c r="C41" s="22" t="s">
        <v>432</v>
      </c>
      <c r="D41" s="23"/>
      <c r="E41" s="23" t="s">
        <v>26</v>
      </c>
      <c r="F41" s="22" t="s">
        <v>443</v>
      </c>
      <c r="J41" s="27" t="s">
        <v>444</v>
      </c>
      <c r="K41" s="27" t="s">
        <v>445</v>
      </c>
      <c r="L41" s="27" t="s">
        <v>446</v>
      </c>
    </row>
    <row r="42" spans="1:13" ht="43.5">
      <c r="A42" s="34"/>
      <c r="B42" s="22" t="s">
        <v>447</v>
      </c>
      <c r="C42" s="22" t="s">
        <v>432</v>
      </c>
      <c r="D42" s="23"/>
      <c r="E42" s="23" t="s">
        <v>26</v>
      </c>
      <c r="F42" s="22" t="s">
        <v>443</v>
      </c>
      <c r="J42" s="28" t="s">
        <v>448</v>
      </c>
      <c r="K42" s="29" t="s">
        <v>324</v>
      </c>
      <c r="L42" s="29" t="s">
        <v>449</v>
      </c>
    </row>
    <row r="43" spans="1:13" ht="29">
      <c r="A43" s="34"/>
      <c r="B43" s="22" t="s">
        <v>450</v>
      </c>
      <c r="C43" s="22" t="s">
        <v>432</v>
      </c>
      <c r="D43" s="23"/>
      <c r="E43" s="23" t="s">
        <v>26</v>
      </c>
      <c r="F43" s="22" t="s">
        <v>451</v>
      </c>
      <c r="J43" s="28" t="s">
        <v>452</v>
      </c>
      <c r="K43" s="29" t="s">
        <v>453</v>
      </c>
      <c r="L43" s="29" t="s">
        <v>454</v>
      </c>
    </row>
    <row r="44" spans="1:13" ht="29">
      <c r="A44" s="34" t="s">
        <v>455</v>
      </c>
      <c r="B44" s="22" t="s">
        <v>456</v>
      </c>
      <c r="C44" s="22" t="s">
        <v>406</v>
      </c>
      <c r="D44" s="23" t="s">
        <v>147</v>
      </c>
      <c r="E44" s="23"/>
      <c r="F44" s="22" t="s">
        <v>407</v>
      </c>
      <c r="J44" s="28" t="s">
        <v>457</v>
      </c>
      <c r="K44" s="29" t="s">
        <v>453</v>
      </c>
      <c r="L44" s="29" t="s">
        <v>458</v>
      </c>
    </row>
    <row r="45" spans="1:13" ht="29">
      <c r="A45" s="34"/>
      <c r="B45" s="22" t="s">
        <v>459</v>
      </c>
      <c r="C45" s="22" t="s">
        <v>460</v>
      </c>
      <c r="D45" s="23">
        <v>0.9</v>
      </c>
      <c r="E45" s="23"/>
      <c r="F45" s="22" t="s">
        <v>461</v>
      </c>
      <c r="J45" s="28" t="s">
        <v>462</v>
      </c>
      <c r="K45" s="29" t="s">
        <v>463</v>
      </c>
      <c r="L45" s="29" t="s">
        <v>464</v>
      </c>
    </row>
    <row r="46" spans="1:13" ht="29">
      <c r="A46" s="34"/>
      <c r="B46" s="22" t="s">
        <v>402</v>
      </c>
      <c r="C46" s="22" t="s">
        <v>460</v>
      </c>
      <c r="D46" s="23">
        <v>0.3</v>
      </c>
      <c r="E46" s="23"/>
      <c r="F46" s="22"/>
      <c r="J46" s="28" t="s">
        <v>465</v>
      </c>
      <c r="K46" s="29" t="s">
        <v>324</v>
      </c>
      <c r="L46" s="29" t="s">
        <v>466</v>
      </c>
    </row>
    <row r="47" spans="1:13">
      <c r="A47" s="34"/>
      <c r="B47" s="22" t="s">
        <v>467</v>
      </c>
      <c r="C47" s="22" t="s">
        <v>460</v>
      </c>
      <c r="D47" s="23">
        <v>0.2</v>
      </c>
      <c r="E47" s="23"/>
      <c r="F47" s="22"/>
    </row>
    <row r="48" spans="1:13">
      <c r="A48" s="34"/>
      <c r="B48" s="22" t="s">
        <v>468</v>
      </c>
      <c r="C48" s="22" t="s">
        <v>460</v>
      </c>
      <c r="D48" s="23">
        <v>0.1</v>
      </c>
      <c r="E48" s="23"/>
      <c r="F48" s="22" t="s">
        <v>469</v>
      </c>
    </row>
    <row r="49" spans="1:6">
      <c r="A49" s="34"/>
      <c r="B49" s="22" t="s">
        <v>470</v>
      </c>
      <c r="C49" s="22" t="s">
        <v>460</v>
      </c>
      <c r="D49" s="23"/>
      <c r="E49" s="23"/>
      <c r="F49" s="22" t="s">
        <v>461</v>
      </c>
    </row>
    <row r="50" spans="1:6" ht="29">
      <c r="A50" s="34"/>
      <c r="B50" s="22" t="s">
        <v>471</v>
      </c>
      <c r="C50" s="22" t="s">
        <v>460</v>
      </c>
      <c r="D50" s="23" t="s">
        <v>472</v>
      </c>
      <c r="E50" s="23"/>
      <c r="F50" s="22" t="s">
        <v>473</v>
      </c>
    </row>
    <row r="51" spans="1:6">
      <c r="A51" s="34"/>
      <c r="B51" s="22" t="s">
        <v>474</v>
      </c>
      <c r="C51" s="22" t="s">
        <v>460</v>
      </c>
      <c r="D51" s="23" t="s">
        <v>472</v>
      </c>
      <c r="E51" s="22" t="s">
        <v>475</v>
      </c>
      <c r="F51" s="22"/>
    </row>
    <row r="52" spans="1:6">
      <c r="A52" s="34" t="s">
        <v>476</v>
      </c>
      <c r="B52" s="22" t="s">
        <v>477</v>
      </c>
      <c r="C52" s="22" t="s">
        <v>391</v>
      </c>
      <c r="D52" s="23">
        <v>121</v>
      </c>
      <c r="E52" s="23" t="s">
        <v>478</v>
      </c>
      <c r="F52" s="22" t="s">
        <v>479</v>
      </c>
    </row>
    <row r="53" spans="1:6">
      <c r="A53" s="34"/>
      <c r="B53" s="22" t="s">
        <v>480</v>
      </c>
      <c r="C53" s="22" t="s">
        <v>391</v>
      </c>
      <c r="D53" s="23">
        <v>34</v>
      </c>
      <c r="E53" s="23" t="s">
        <v>478</v>
      </c>
      <c r="F53" s="22" t="s">
        <v>479</v>
      </c>
    </row>
    <row r="54" spans="1:6" ht="29">
      <c r="A54" s="34"/>
      <c r="B54" s="22" t="s">
        <v>481</v>
      </c>
      <c r="C54" s="22" t="s">
        <v>482</v>
      </c>
      <c r="D54" s="23" t="s">
        <v>483</v>
      </c>
      <c r="E54" s="23"/>
      <c r="F54" s="22"/>
    </row>
    <row r="55" spans="1:6" ht="29">
      <c r="A55" s="34"/>
      <c r="B55" s="22" t="s">
        <v>484</v>
      </c>
      <c r="C55" s="22" t="s">
        <v>485</v>
      </c>
      <c r="D55" s="23" t="s">
        <v>486</v>
      </c>
      <c r="E55" s="23"/>
      <c r="F55" s="22"/>
    </row>
    <row r="56" spans="1:6">
      <c r="A56" s="34"/>
      <c r="B56" s="22" t="s">
        <v>487</v>
      </c>
      <c r="C56" s="22" t="s">
        <v>367</v>
      </c>
      <c r="D56" s="23" t="s">
        <v>488</v>
      </c>
      <c r="E56" s="23"/>
      <c r="F56" s="22" t="s">
        <v>489</v>
      </c>
    </row>
    <row r="57" spans="1:6" ht="29">
      <c r="A57" s="34"/>
      <c r="B57" s="22" t="s">
        <v>490</v>
      </c>
      <c r="C57" s="22" t="s">
        <v>367</v>
      </c>
      <c r="D57" s="23" t="s">
        <v>491</v>
      </c>
      <c r="E57" s="23"/>
      <c r="F57" s="22" t="s">
        <v>489</v>
      </c>
    </row>
    <row r="58" spans="1:6" ht="29">
      <c r="A58" s="34" t="s">
        <v>492</v>
      </c>
      <c r="B58" s="22" t="s">
        <v>493</v>
      </c>
      <c r="C58" s="22" t="s">
        <v>494</v>
      </c>
      <c r="D58" s="23" t="s">
        <v>495</v>
      </c>
      <c r="E58" s="23"/>
      <c r="F58" s="22"/>
    </row>
    <row r="59" spans="1:6">
      <c r="A59" s="34"/>
      <c r="B59" s="22" t="s">
        <v>496</v>
      </c>
      <c r="C59" s="22" t="s">
        <v>391</v>
      </c>
      <c r="D59" s="23">
        <v>900</v>
      </c>
      <c r="E59" s="22" t="s">
        <v>31</v>
      </c>
      <c r="F59" s="22"/>
    </row>
    <row r="60" spans="1:6" ht="29">
      <c r="A60" s="34"/>
      <c r="B60" s="22" t="s">
        <v>497</v>
      </c>
      <c r="C60" s="22" t="s">
        <v>406</v>
      </c>
      <c r="D60" s="23" t="s">
        <v>498</v>
      </c>
      <c r="E60" s="23"/>
      <c r="F60" s="22" t="s">
        <v>407</v>
      </c>
    </row>
    <row r="61" spans="1:6">
      <c r="A61" s="34"/>
      <c r="B61" s="22" t="s">
        <v>499</v>
      </c>
      <c r="C61" s="22" t="s">
        <v>367</v>
      </c>
      <c r="D61" s="23" t="s">
        <v>500</v>
      </c>
      <c r="E61" s="23"/>
      <c r="F61" s="22" t="s">
        <v>501</v>
      </c>
    </row>
    <row r="62" spans="1:6">
      <c r="A62" s="34"/>
      <c r="B62" s="22" t="s">
        <v>502</v>
      </c>
      <c r="C62" s="22" t="s">
        <v>385</v>
      </c>
      <c r="D62" s="30">
        <v>43556</v>
      </c>
      <c r="E62" s="23"/>
      <c r="F62" s="22" t="s">
        <v>386</v>
      </c>
    </row>
    <row r="63" spans="1:6">
      <c r="A63" s="34"/>
      <c r="B63" s="22" t="s">
        <v>503</v>
      </c>
      <c r="C63" s="22" t="s">
        <v>504</v>
      </c>
      <c r="D63" s="23" t="s">
        <v>505</v>
      </c>
      <c r="E63" s="23"/>
      <c r="F63" s="22" t="s">
        <v>386</v>
      </c>
    </row>
    <row r="64" spans="1:6" ht="58">
      <c r="A64" s="34"/>
      <c r="B64" s="22" t="s">
        <v>506</v>
      </c>
      <c r="C64" s="22" t="s">
        <v>367</v>
      </c>
      <c r="D64" s="22" t="s">
        <v>507</v>
      </c>
      <c r="E64" s="23"/>
      <c r="F64" s="22" t="s">
        <v>508</v>
      </c>
    </row>
    <row r="65" spans="1:6">
      <c r="A65" s="34" t="s">
        <v>509</v>
      </c>
      <c r="B65" s="22" t="s">
        <v>510</v>
      </c>
      <c r="C65" s="22" t="s">
        <v>511</v>
      </c>
      <c r="D65" s="23" t="s">
        <v>512</v>
      </c>
      <c r="E65" s="23"/>
      <c r="F65" s="22"/>
    </row>
    <row r="66" spans="1:6" ht="29">
      <c r="A66" s="34"/>
      <c r="B66" s="22" t="s">
        <v>513</v>
      </c>
      <c r="C66" s="22" t="s">
        <v>367</v>
      </c>
      <c r="D66" s="23" t="s">
        <v>514</v>
      </c>
      <c r="E66" s="23"/>
      <c r="F66" s="22" t="s">
        <v>515</v>
      </c>
    </row>
    <row r="67" spans="1:6">
      <c r="A67" s="34" t="s">
        <v>516</v>
      </c>
      <c r="B67" s="22" t="s">
        <v>517</v>
      </c>
      <c r="C67" s="22" t="s">
        <v>367</v>
      </c>
      <c r="D67" s="23" t="s">
        <v>518</v>
      </c>
      <c r="E67" s="23"/>
      <c r="F67" s="22" t="s">
        <v>519</v>
      </c>
    </row>
    <row r="68" spans="1:6" ht="29">
      <c r="A68" s="34"/>
      <c r="B68" s="22" t="s">
        <v>520</v>
      </c>
      <c r="C68" s="22" t="s">
        <v>367</v>
      </c>
      <c r="D68" s="23" t="s">
        <v>521</v>
      </c>
      <c r="E68" s="23"/>
      <c r="F68" s="22" t="s">
        <v>522</v>
      </c>
    </row>
    <row r="69" spans="1:6">
      <c r="A69" s="34"/>
      <c r="B69" s="22" t="s">
        <v>523</v>
      </c>
      <c r="C69" s="22" t="s">
        <v>367</v>
      </c>
      <c r="D69" s="23" t="s">
        <v>524</v>
      </c>
      <c r="E69" s="23"/>
      <c r="F69" s="22"/>
    </row>
    <row r="70" spans="1:6" ht="29">
      <c r="A70" s="34"/>
      <c r="B70" s="22" t="s">
        <v>525</v>
      </c>
      <c r="C70" s="22" t="s">
        <v>367</v>
      </c>
      <c r="D70" s="23" t="s">
        <v>514</v>
      </c>
      <c r="E70" s="23"/>
      <c r="F70" s="22"/>
    </row>
    <row r="71" spans="1:6" ht="43.4" customHeight="1">
      <c r="A71" s="34" t="s">
        <v>526</v>
      </c>
      <c r="B71" s="22" t="s">
        <v>527</v>
      </c>
      <c r="C71" s="22" t="s">
        <v>367</v>
      </c>
      <c r="D71" s="23" t="s">
        <v>528</v>
      </c>
      <c r="E71" s="23"/>
      <c r="F71" s="22" t="s">
        <v>529</v>
      </c>
    </row>
    <row r="72" spans="1:6">
      <c r="A72" s="34"/>
      <c r="B72" s="22" t="s">
        <v>530</v>
      </c>
      <c r="C72" s="22" t="s">
        <v>367</v>
      </c>
      <c r="D72" s="23" t="s">
        <v>531</v>
      </c>
      <c r="E72" s="23"/>
      <c r="F72" s="22" t="s">
        <v>532</v>
      </c>
    </row>
    <row r="73" spans="1:6">
      <c r="A73" s="34"/>
      <c r="B73" s="22" t="s">
        <v>385</v>
      </c>
      <c r="C73" s="22" t="s">
        <v>367</v>
      </c>
      <c r="D73" s="31">
        <v>45992</v>
      </c>
      <c r="E73" s="23"/>
      <c r="F73" s="22" t="s">
        <v>386</v>
      </c>
    </row>
  </sheetData>
  <mergeCells count="9">
    <mergeCell ref="A65:A66"/>
    <mergeCell ref="A67:A70"/>
    <mergeCell ref="A71:A73"/>
    <mergeCell ref="A4:A11"/>
    <mergeCell ref="A12:A29"/>
    <mergeCell ref="A30:A43"/>
    <mergeCell ref="A44:A51"/>
    <mergeCell ref="A52:A57"/>
    <mergeCell ref="A58:A64"/>
  </mergeCells>
  <dataValidations count="12">
    <dataValidation type="list" allowBlank="1" sqref="D7:D8" xr:uid="{FE50F395-2B9F-4D99-8229-337D47F6166B}">
      <formula1>"Primary; Waterflood; Gasflood; Other"</formula1>
    </dataValidation>
    <dataValidation type="list" allowBlank="1" sqref="D9" xr:uid="{7BD9608B-589E-4580-AD57-3827B35F1151}">
      <formula1>"CO2 miscible; HC gas miscible; Polymer; ASP; Surfactant; Thermal; WAG; HnP; Other"</formula1>
    </dataValidation>
    <dataValidation type="date" allowBlank="1" sqref="D10 D62:D63" xr:uid="{9294CC99-3940-458C-9889-CE21DD0A2374}"/>
    <dataValidation type="decimal" allowBlank="1" sqref="D59 D52:D53 D12:D21 D40 D26:D37" xr:uid="{6B8F8BE6-7F25-49B2-9537-A823E1FAAC89}"/>
    <dataValidation type="list" allowBlank="1" sqref="D23 D60" xr:uid="{DE73E558-1AA3-4F02-994B-0D283A89416F}">
      <formula1>"Yes; No"</formula1>
    </dataValidation>
    <dataValidation type="list" allowBlank="1" sqref="D24" xr:uid="{D5DA13F2-C92E-4342-94C7-70CA495B5873}">
      <formula1>"Sandstone; Carbonate; Mixed; Shale; Other"</formula1>
    </dataValidation>
    <dataValidation type="list" allowBlank="1" sqref="D25" xr:uid="{FFAF23C0-B1D7-42C0-87B3-010D7A4B31E0}">
      <formula1>"None; Natural; Induced; Both"</formula1>
    </dataValidation>
    <dataValidation type="list" allowBlank="1" sqref="D54" xr:uid="{E491C728-9CA4-4B2E-92A5-56EE92AD0B20}">
      <formula1>"Openhole; Cased &amp; Perforated; Slotted Liner; Other"</formula1>
    </dataValidation>
    <dataValidation type="list" allowBlank="1" sqref="D55" xr:uid="{47082CF7-3CA6-4D5C-B53D-2AEE3EA606E3}">
      <formula1>"None; ESP; Gas Lift; Rod Pump; PCP; Other"</formula1>
    </dataValidation>
    <dataValidation type="list" allowBlank="1" sqref="D58" xr:uid="{49AB1AB4-B158-433D-BC69-6AA4C45674FA}">
      <formula1>"5-spot; 7-spot; 9-spot; Line drive; Peripheral; N/A"</formula1>
    </dataValidation>
    <dataValidation type="list" allowBlank="1" sqref="D65" xr:uid="{0674672C-AD7D-4D87-AAFF-B708FF27BC84}">
      <formula1>"None; CO2; H2S; Both"</formula1>
    </dataValidation>
    <dataValidation type="list" allowBlank="1" sqref="D44" xr:uid="{E7404836-276C-46DB-9BA8-90827829B228}">
      <formula1>$M$39:$M$40</formula1>
    </dataValidation>
  </dataValidations>
  <pageMargins left="0.75" right="0.75" top="1" bottom="1" header="0.5" footer="0.5"/>
  <headerFooter>
    <oddHeader>&amp;C&amp;"Aptos"&amp;10&amp;K0078D7 [Open]&amp;1#_x000D_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CE548-29BF-45CE-8592-DE1057BB8BB1}">
  <dimension ref="A1:AF20"/>
  <sheetViews>
    <sheetView workbookViewId="0">
      <selection activeCell="J11" sqref="J11:J20"/>
    </sheetView>
  </sheetViews>
  <sheetFormatPr defaultRowHeight="14"/>
  <cols>
    <col min="1" max="2" width="14.4140625" style="35" customWidth="1"/>
    <col min="3" max="3" width="31.6640625" style="35" customWidth="1"/>
    <col min="4" max="4" width="28.08203125" style="35" customWidth="1"/>
    <col min="5" max="5" width="26.83203125" style="35" customWidth="1"/>
    <col min="6" max="6" width="24.75" style="35" customWidth="1"/>
    <col min="7" max="7" width="38.83203125" style="35" customWidth="1"/>
    <col min="8" max="8" width="36.75" style="35" customWidth="1"/>
    <col min="9" max="9" width="45.4140625" style="35" customWidth="1"/>
    <col min="10" max="10" width="33.6640625" style="35" customWidth="1"/>
    <col min="11" max="11" width="41.83203125" style="35" customWidth="1"/>
    <col min="12" max="12" width="39.75" style="35" customWidth="1"/>
    <col min="13" max="13" width="31.75" style="35" customWidth="1"/>
    <col min="14" max="14" width="36.9140625" style="35" customWidth="1"/>
    <col min="15" max="15" width="26.5" style="35" customWidth="1"/>
    <col min="16" max="16" width="24.4140625" style="35" customWidth="1"/>
    <col min="17" max="18" width="42.83203125" style="35" customWidth="1"/>
    <col min="19" max="19" width="33.4140625" style="35" customWidth="1"/>
    <col min="20" max="20" width="38.58203125" style="35" customWidth="1"/>
    <col min="21" max="21" width="34.5" style="35" customWidth="1"/>
    <col min="22" max="31" width="0" style="35" hidden="1" customWidth="1"/>
    <col min="32" max="32" width="8.6640625" style="51"/>
    <col min="33" max="16384" width="8.6640625" style="38"/>
  </cols>
  <sheetData>
    <row r="1" spans="1:31" ht="76" thickBot="1">
      <c r="A1" s="35" t="s">
        <v>533</v>
      </c>
      <c r="B1" s="36" t="s">
        <v>255</v>
      </c>
      <c r="C1" s="44" t="s">
        <v>556</v>
      </c>
      <c r="D1" s="44" t="s">
        <v>557</v>
      </c>
      <c r="E1" s="45" t="s">
        <v>558</v>
      </c>
      <c r="F1" s="45" t="s">
        <v>559</v>
      </c>
      <c r="G1" s="46" t="s">
        <v>560</v>
      </c>
      <c r="H1" s="46" t="s">
        <v>561</v>
      </c>
      <c r="I1" s="45" t="s">
        <v>562</v>
      </c>
      <c r="J1" s="45" t="s">
        <v>563</v>
      </c>
      <c r="K1" s="47" t="s">
        <v>564</v>
      </c>
      <c r="L1" s="47" t="s">
        <v>565</v>
      </c>
      <c r="M1" s="48" t="s">
        <v>566</v>
      </c>
      <c r="N1" s="48" t="s">
        <v>534</v>
      </c>
      <c r="O1" s="45" t="s">
        <v>567</v>
      </c>
      <c r="P1" s="45" t="s">
        <v>568</v>
      </c>
      <c r="Q1" s="46" t="s">
        <v>569</v>
      </c>
      <c r="R1" s="46" t="s">
        <v>570</v>
      </c>
      <c r="S1" s="48" t="s">
        <v>571</v>
      </c>
      <c r="T1" s="48" t="s">
        <v>535</v>
      </c>
      <c r="U1" s="49" t="s">
        <v>536</v>
      </c>
      <c r="W1" s="45" t="s">
        <v>572</v>
      </c>
      <c r="X1" s="45" t="s">
        <v>572</v>
      </c>
      <c r="Y1" s="46" t="s">
        <v>573</v>
      </c>
      <c r="Z1" s="46" t="s">
        <v>573</v>
      </c>
      <c r="AA1" s="45" t="s">
        <v>574</v>
      </c>
      <c r="AB1" s="45" t="s">
        <v>574</v>
      </c>
      <c r="AC1" s="46" t="s">
        <v>575</v>
      </c>
      <c r="AD1" s="46" t="s">
        <v>575</v>
      </c>
      <c r="AE1" s="50" t="s">
        <v>576</v>
      </c>
    </row>
    <row r="2" spans="1:31" ht="14.5" thickBot="1">
      <c r="A2" s="39" t="s">
        <v>537</v>
      </c>
      <c r="B2" s="36">
        <v>2013</v>
      </c>
      <c r="C2" s="52">
        <v>68</v>
      </c>
      <c r="D2" s="52">
        <v>32</v>
      </c>
      <c r="E2" s="53">
        <v>66.7</v>
      </c>
      <c r="F2" s="54">
        <v>45.3</v>
      </c>
      <c r="G2" s="55">
        <v>33.299999999999997</v>
      </c>
      <c r="H2" s="55">
        <v>22.7</v>
      </c>
      <c r="I2" s="54">
        <v>6.6</v>
      </c>
      <c r="J2" s="54">
        <v>4.5</v>
      </c>
      <c r="K2" s="56">
        <v>26.7</v>
      </c>
      <c r="L2" s="56">
        <v>18.2</v>
      </c>
      <c r="M2" s="57">
        <v>73</v>
      </c>
      <c r="N2" s="58">
        <v>20</v>
      </c>
      <c r="O2" s="59">
        <v>7.3</v>
      </c>
      <c r="P2" s="59">
        <v>5</v>
      </c>
      <c r="Q2" s="60">
        <v>19.399999999999999</v>
      </c>
      <c r="R2" s="60">
        <v>13.2</v>
      </c>
      <c r="S2" s="58">
        <v>81</v>
      </c>
      <c r="T2" s="58">
        <v>42</v>
      </c>
      <c r="U2" s="61">
        <v>0</v>
      </c>
      <c r="W2" s="54">
        <v>0</v>
      </c>
      <c r="X2" s="54">
        <v>0</v>
      </c>
      <c r="Y2" s="55">
        <v>0</v>
      </c>
      <c r="Z2" s="55">
        <v>0</v>
      </c>
      <c r="AA2" s="54">
        <v>0</v>
      </c>
      <c r="AB2" s="54">
        <v>0</v>
      </c>
      <c r="AC2" s="55"/>
      <c r="AD2" s="55"/>
      <c r="AE2" s="62"/>
    </row>
    <row r="3" spans="1:31" ht="14.5" thickBot="1">
      <c r="A3" s="41" t="s">
        <v>538</v>
      </c>
      <c r="B3" s="36">
        <v>2013</v>
      </c>
      <c r="C3" s="52">
        <v>58.6</v>
      </c>
      <c r="D3" s="52">
        <v>41.4</v>
      </c>
      <c r="E3" s="53">
        <v>51.3</v>
      </c>
      <c r="F3" s="54">
        <v>30.1</v>
      </c>
      <c r="G3" s="55">
        <v>48.7</v>
      </c>
      <c r="H3" s="55">
        <v>28.5</v>
      </c>
      <c r="I3" s="54">
        <v>20.3</v>
      </c>
      <c r="J3" s="54">
        <v>11.9</v>
      </c>
      <c r="K3" s="56">
        <v>28.3</v>
      </c>
      <c r="L3" s="56">
        <v>16.600000000000001</v>
      </c>
      <c r="M3" s="57">
        <v>72</v>
      </c>
      <c r="N3" s="58">
        <v>42</v>
      </c>
      <c r="O3" s="59">
        <v>3.7</v>
      </c>
      <c r="P3" s="59">
        <v>2.2000000000000002</v>
      </c>
      <c r="Q3" s="60">
        <v>24.6</v>
      </c>
      <c r="R3" s="60">
        <v>14.4</v>
      </c>
      <c r="S3" s="58">
        <v>75</v>
      </c>
      <c r="T3" s="58">
        <v>49</v>
      </c>
      <c r="U3" s="61">
        <v>0</v>
      </c>
      <c r="W3" s="54">
        <v>0</v>
      </c>
      <c r="X3" s="54">
        <v>0</v>
      </c>
      <c r="Y3" s="55">
        <v>0</v>
      </c>
      <c r="Z3" s="55">
        <v>0</v>
      </c>
      <c r="AA3" s="54">
        <v>0</v>
      </c>
      <c r="AB3" s="54">
        <v>0</v>
      </c>
      <c r="AC3" s="55"/>
      <c r="AD3" s="55"/>
      <c r="AE3" s="62"/>
    </row>
    <row r="4" spans="1:31" ht="14.5" thickBot="1">
      <c r="A4" s="42" t="s">
        <v>539</v>
      </c>
      <c r="B4" s="36">
        <v>2013</v>
      </c>
      <c r="C4" s="52">
        <v>68.900000000000006</v>
      </c>
      <c r="D4" s="52">
        <v>31.1</v>
      </c>
      <c r="E4" s="53">
        <v>50.9</v>
      </c>
      <c r="F4" s="54">
        <v>35</v>
      </c>
      <c r="G4" s="55">
        <v>49.1</v>
      </c>
      <c r="H4" s="55">
        <v>33.799999999999997</v>
      </c>
      <c r="I4" s="54">
        <v>12.8</v>
      </c>
      <c r="J4" s="54">
        <v>8.8000000000000007</v>
      </c>
      <c r="K4" s="56">
        <v>36.299999999999997</v>
      </c>
      <c r="L4" s="56">
        <v>25</v>
      </c>
      <c r="M4" s="57">
        <v>64</v>
      </c>
      <c r="N4" s="58">
        <v>26</v>
      </c>
      <c r="O4" s="59">
        <v>2.7</v>
      </c>
      <c r="P4" s="59">
        <v>1.8</v>
      </c>
      <c r="Q4" s="60">
        <v>33.6</v>
      </c>
      <c r="R4" s="60">
        <v>23.2</v>
      </c>
      <c r="S4" s="58">
        <v>66</v>
      </c>
      <c r="T4" s="58">
        <v>32</v>
      </c>
      <c r="U4" s="61">
        <v>0</v>
      </c>
      <c r="W4" s="54">
        <v>0</v>
      </c>
      <c r="X4" s="54">
        <v>0</v>
      </c>
      <c r="Y4" s="55">
        <v>0</v>
      </c>
      <c r="Z4" s="55">
        <v>0</v>
      </c>
      <c r="AA4" s="54">
        <v>0</v>
      </c>
      <c r="AB4" s="54">
        <v>0</v>
      </c>
      <c r="AC4" s="55"/>
      <c r="AD4" s="55"/>
      <c r="AE4" s="62"/>
    </row>
    <row r="5" spans="1:31" ht="14.5" thickBot="1">
      <c r="A5" s="41" t="s">
        <v>540</v>
      </c>
      <c r="B5" s="36">
        <v>2013</v>
      </c>
      <c r="C5" s="52">
        <v>66.599999999999994</v>
      </c>
      <c r="D5" s="52">
        <v>33.4</v>
      </c>
      <c r="E5" s="53">
        <v>42</v>
      </c>
      <c r="F5" s="54">
        <v>28</v>
      </c>
      <c r="G5" s="55">
        <v>58</v>
      </c>
      <c r="H5" s="55">
        <v>38.700000000000003</v>
      </c>
      <c r="I5" s="54">
        <v>17.399999999999999</v>
      </c>
      <c r="J5" s="54">
        <v>11.6</v>
      </c>
      <c r="K5" s="56">
        <v>40.6</v>
      </c>
      <c r="L5" s="56">
        <v>27.1</v>
      </c>
      <c r="M5" s="57">
        <v>59</v>
      </c>
      <c r="N5" s="58">
        <v>30</v>
      </c>
      <c r="O5" s="59">
        <v>12.9</v>
      </c>
      <c r="P5" s="59">
        <v>8.6</v>
      </c>
      <c r="Q5" s="60">
        <v>27.7</v>
      </c>
      <c r="R5" s="60">
        <v>18.399999999999999</v>
      </c>
      <c r="S5" s="58">
        <v>72</v>
      </c>
      <c r="T5" s="58">
        <v>52</v>
      </c>
      <c r="U5" s="61">
        <v>0</v>
      </c>
      <c r="W5" s="54">
        <v>0</v>
      </c>
      <c r="X5" s="54">
        <v>0</v>
      </c>
      <c r="Y5" s="55">
        <v>0</v>
      </c>
      <c r="Z5" s="55">
        <v>0</v>
      </c>
      <c r="AA5" s="54">
        <v>0</v>
      </c>
      <c r="AB5" s="54">
        <v>0</v>
      </c>
      <c r="AC5" s="55"/>
      <c r="AD5" s="55"/>
      <c r="AE5" s="62"/>
    </row>
    <row r="6" spans="1:31" ht="14.5" thickBot="1">
      <c r="A6" s="42" t="s">
        <v>541</v>
      </c>
      <c r="B6" s="36">
        <v>2013</v>
      </c>
      <c r="C6" s="63">
        <v>59.7</v>
      </c>
      <c r="D6" s="63">
        <v>40.299999999999997</v>
      </c>
      <c r="E6" s="64">
        <v>56.2</v>
      </c>
      <c r="F6" s="65">
        <v>33.5</v>
      </c>
      <c r="G6" s="66">
        <v>43.8</v>
      </c>
      <c r="H6" s="66">
        <v>26.2</v>
      </c>
      <c r="I6" s="65">
        <v>12.8</v>
      </c>
      <c r="J6" s="65">
        <v>7.6</v>
      </c>
      <c r="K6" s="67">
        <v>31</v>
      </c>
      <c r="L6" s="67">
        <v>18.5</v>
      </c>
      <c r="M6" s="68">
        <v>69</v>
      </c>
      <c r="N6" s="69">
        <v>29</v>
      </c>
      <c r="O6" s="70">
        <v>1.5</v>
      </c>
      <c r="P6" s="70">
        <v>0.9</v>
      </c>
      <c r="Q6" s="71">
        <v>29.6</v>
      </c>
      <c r="R6" s="71">
        <v>17.600000000000001</v>
      </c>
      <c r="S6" s="69">
        <v>70</v>
      </c>
      <c r="T6" s="69">
        <v>33</v>
      </c>
      <c r="U6" s="61">
        <v>0</v>
      </c>
      <c r="V6" s="72"/>
      <c r="W6" s="65">
        <v>0</v>
      </c>
      <c r="X6" s="65">
        <v>0</v>
      </c>
      <c r="Y6" s="66">
        <v>0</v>
      </c>
      <c r="Z6" s="66">
        <v>0</v>
      </c>
      <c r="AA6" s="65">
        <v>0</v>
      </c>
      <c r="AB6" s="65">
        <v>0</v>
      </c>
      <c r="AC6" s="66"/>
      <c r="AD6" s="66"/>
      <c r="AE6" s="73"/>
    </row>
    <row r="7" spans="1:31" ht="14.5" thickBot="1">
      <c r="A7" s="39" t="s">
        <v>542</v>
      </c>
      <c r="B7" s="36">
        <v>2003</v>
      </c>
      <c r="C7" s="63">
        <f>0.776*100</f>
        <v>77.600000000000009</v>
      </c>
      <c r="D7" s="63"/>
      <c r="E7" s="74">
        <v>35.200000000000003</v>
      </c>
      <c r="F7" s="75">
        <v>27</v>
      </c>
      <c r="G7" s="76" t="s">
        <v>472</v>
      </c>
      <c r="H7" s="76">
        <f>0.352*100</f>
        <v>35.199999999999996</v>
      </c>
      <c r="I7" s="75">
        <v>0</v>
      </c>
      <c r="J7" s="75">
        <v>0</v>
      </c>
      <c r="K7" s="77"/>
      <c r="L7" s="77"/>
      <c r="M7" s="78"/>
      <c r="N7" s="79">
        <v>0</v>
      </c>
      <c r="O7" s="80">
        <v>0</v>
      </c>
      <c r="P7" s="80">
        <v>0</v>
      </c>
      <c r="Q7" s="81"/>
      <c r="R7" s="81"/>
      <c r="S7" s="79"/>
      <c r="T7" s="79">
        <f>H7-AE7</f>
        <v>3.5999999999999943</v>
      </c>
      <c r="U7" s="61">
        <v>0</v>
      </c>
      <c r="V7" s="82"/>
      <c r="W7" s="74">
        <v>3.8</v>
      </c>
      <c r="X7" s="74">
        <v>2.9000000000000004</v>
      </c>
      <c r="Y7" s="76">
        <v>0.1</v>
      </c>
      <c r="Z7" s="76">
        <v>0.1</v>
      </c>
      <c r="AA7" s="75">
        <v>0.8</v>
      </c>
      <c r="AB7" s="75">
        <f>0.006*100</f>
        <v>0.6</v>
      </c>
      <c r="AC7" s="76"/>
      <c r="AD7" s="76"/>
      <c r="AE7" s="83">
        <f>0.316*100</f>
        <v>31.6</v>
      </c>
    </row>
    <row r="8" spans="1:31" ht="14.5" thickBot="1">
      <c r="A8" s="42" t="s">
        <v>543</v>
      </c>
      <c r="B8" s="36">
        <v>2003</v>
      </c>
      <c r="C8" s="63">
        <f>0.889*100</f>
        <v>88.9</v>
      </c>
      <c r="D8" s="63"/>
      <c r="E8" s="53">
        <v>53</v>
      </c>
      <c r="F8" s="54">
        <v>47.099999999999994</v>
      </c>
      <c r="G8" s="76" t="s">
        <v>472</v>
      </c>
      <c r="H8" s="55">
        <f>0.359*100</f>
        <v>35.9</v>
      </c>
      <c r="I8" s="54">
        <v>0</v>
      </c>
      <c r="J8" s="54">
        <v>0</v>
      </c>
      <c r="K8" s="56"/>
      <c r="L8" s="56"/>
      <c r="M8" s="57"/>
      <c r="N8" s="58">
        <v>0</v>
      </c>
      <c r="O8" s="59">
        <v>0</v>
      </c>
      <c r="P8" s="59">
        <v>0</v>
      </c>
      <c r="Q8" s="60"/>
      <c r="R8" s="60"/>
      <c r="S8" s="58"/>
      <c r="T8" s="79">
        <f>H8-AE8</f>
        <v>20.6</v>
      </c>
      <c r="U8" s="61">
        <v>0</v>
      </c>
      <c r="W8" s="53">
        <v>3.4</v>
      </c>
      <c r="X8" s="53">
        <v>3</v>
      </c>
      <c r="Y8" s="55">
        <v>6</v>
      </c>
      <c r="Z8" s="55">
        <v>5.3</v>
      </c>
      <c r="AA8" s="54">
        <v>13.8</v>
      </c>
      <c r="AB8" s="54">
        <f>0.123*100</f>
        <v>12.3</v>
      </c>
      <c r="AC8" s="55"/>
      <c r="AD8" s="55"/>
      <c r="AE8" s="62">
        <f>0.153*100</f>
        <v>15.299999999999999</v>
      </c>
    </row>
    <row r="9" spans="1:31" ht="14.5" thickBot="1">
      <c r="A9" s="42" t="s">
        <v>544</v>
      </c>
      <c r="B9" s="36">
        <v>2003</v>
      </c>
      <c r="C9" s="63">
        <f>0.785*100</f>
        <v>78.5</v>
      </c>
      <c r="D9" s="63"/>
      <c r="E9" s="53">
        <v>47.1</v>
      </c>
      <c r="F9" s="54">
        <v>37</v>
      </c>
      <c r="G9" s="76" t="s">
        <v>472</v>
      </c>
      <c r="H9" s="55">
        <f>0.415*100</f>
        <v>41.5</v>
      </c>
      <c r="I9" s="54">
        <v>0</v>
      </c>
      <c r="J9" s="54">
        <v>0</v>
      </c>
      <c r="K9" s="56"/>
      <c r="L9" s="56"/>
      <c r="M9" s="57"/>
      <c r="N9" s="58">
        <v>0</v>
      </c>
      <c r="O9" s="59">
        <v>0</v>
      </c>
      <c r="P9" s="59">
        <v>0</v>
      </c>
      <c r="Q9" s="60"/>
      <c r="R9" s="60"/>
      <c r="S9" s="58"/>
      <c r="T9" s="79">
        <v>0</v>
      </c>
      <c r="U9" s="61">
        <f>H9-AE9</f>
        <v>9.8000000000000007</v>
      </c>
      <c r="W9" s="53"/>
      <c r="X9" s="53"/>
      <c r="Y9" s="55">
        <v>0</v>
      </c>
      <c r="Z9" s="55">
        <v>0</v>
      </c>
      <c r="AA9" s="54">
        <v>12.5</v>
      </c>
      <c r="AB9" s="54">
        <f>0.098*100</f>
        <v>9.8000000000000007</v>
      </c>
      <c r="AC9" s="55"/>
      <c r="AD9" s="55"/>
      <c r="AE9" s="62">
        <f>0.317*100</f>
        <v>31.7</v>
      </c>
    </row>
    <row r="10" spans="1:31" ht="14.5" thickBot="1">
      <c r="A10" s="43" t="s">
        <v>545</v>
      </c>
      <c r="B10" s="36">
        <v>2003</v>
      </c>
      <c r="C10" s="44">
        <f>0.761*100</f>
        <v>76.099999999999994</v>
      </c>
      <c r="D10" s="44"/>
      <c r="E10" s="84">
        <v>42.7</v>
      </c>
      <c r="F10" s="45">
        <v>32.5</v>
      </c>
      <c r="G10" s="76" t="s">
        <v>472</v>
      </c>
      <c r="H10" s="46">
        <f>0.435*100</f>
        <v>43.5</v>
      </c>
      <c r="I10" s="45">
        <v>0</v>
      </c>
      <c r="J10" s="45">
        <v>0</v>
      </c>
      <c r="K10" s="47"/>
      <c r="L10" s="47"/>
      <c r="M10" s="48"/>
      <c r="N10" s="85">
        <v>0</v>
      </c>
      <c r="O10" s="86">
        <v>0</v>
      </c>
      <c r="P10" s="86">
        <v>0</v>
      </c>
      <c r="Q10" s="87"/>
      <c r="R10" s="87"/>
      <c r="S10" s="85"/>
      <c r="T10" s="88">
        <f>H10-AE10</f>
        <v>14.100000000000001</v>
      </c>
      <c r="U10" s="61">
        <v>0</v>
      </c>
      <c r="W10" s="84">
        <v>9.6</v>
      </c>
      <c r="X10" s="84">
        <v>7.3</v>
      </c>
      <c r="Y10" s="46">
        <v>6.8</v>
      </c>
      <c r="Z10" s="46">
        <v>5.2</v>
      </c>
      <c r="AA10" s="45">
        <v>2.1</v>
      </c>
      <c r="AB10" s="45">
        <f>0.016*100</f>
        <v>1.6</v>
      </c>
      <c r="AC10" s="46"/>
      <c r="AD10" s="46"/>
      <c r="AE10" s="62">
        <f>0.294*100</f>
        <v>29.4</v>
      </c>
    </row>
    <row r="11" spans="1:31" ht="14.5" thickBot="1">
      <c r="A11" s="42" t="s">
        <v>546</v>
      </c>
      <c r="B11" s="36">
        <v>2003</v>
      </c>
      <c r="C11" s="89">
        <v>72.099999999999994</v>
      </c>
      <c r="D11" s="89"/>
      <c r="E11" s="74">
        <v>30.1</v>
      </c>
      <c r="F11" s="75">
        <v>21.7</v>
      </c>
      <c r="G11" s="76" t="s">
        <v>472</v>
      </c>
      <c r="H11" s="76">
        <v>50.4</v>
      </c>
      <c r="I11" s="82">
        <v>0</v>
      </c>
      <c r="J11" s="82" t="s">
        <v>472</v>
      </c>
      <c r="K11" s="90"/>
      <c r="L11" s="90"/>
      <c r="M11" s="91"/>
      <c r="N11" s="88">
        <v>0.79365079365079083</v>
      </c>
      <c r="O11" s="92"/>
      <c r="P11" s="92"/>
      <c r="Q11" s="92"/>
      <c r="R11" s="92"/>
      <c r="S11" s="79"/>
      <c r="T11" s="79">
        <v>0</v>
      </c>
      <c r="U11" s="61">
        <v>0</v>
      </c>
      <c r="V11" s="90"/>
      <c r="W11" s="93" t="s">
        <v>472</v>
      </c>
      <c r="X11" s="93" t="s">
        <v>472</v>
      </c>
      <c r="Y11" s="94">
        <v>0.1</v>
      </c>
      <c r="Z11" s="94" t="s">
        <v>472</v>
      </c>
      <c r="AA11" s="95" t="s">
        <v>472</v>
      </c>
      <c r="AB11" s="95" t="s">
        <v>472</v>
      </c>
      <c r="AC11" s="76"/>
      <c r="AD11" s="76"/>
      <c r="AE11" s="96">
        <f t="shared" ref="AE11:AE20" si="0">AG11*100</f>
        <v>0</v>
      </c>
    </row>
    <row r="12" spans="1:31" ht="14.5" thickBot="1">
      <c r="A12" s="42" t="s">
        <v>547</v>
      </c>
      <c r="B12" s="36">
        <v>2003</v>
      </c>
      <c r="C12" s="97">
        <v>67.2</v>
      </c>
      <c r="D12" s="97"/>
      <c r="E12" s="53">
        <v>34.1</v>
      </c>
      <c r="F12" s="54">
        <v>22.9</v>
      </c>
      <c r="G12" s="76" t="s">
        <v>472</v>
      </c>
      <c r="H12" s="55">
        <v>44.3</v>
      </c>
      <c r="I12" s="84">
        <v>8.8000000000000007</v>
      </c>
      <c r="J12" s="82" t="s">
        <v>472</v>
      </c>
      <c r="K12" s="98"/>
      <c r="L12" s="98"/>
      <c r="M12" s="99"/>
      <c r="N12" s="85">
        <v>19.187358916478555</v>
      </c>
      <c r="O12" s="100"/>
      <c r="P12" s="100"/>
      <c r="Q12" s="100"/>
      <c r="R12" s="100"/>
      <c r="S12" s="58"/>
      <c r="T12" s="79">
        <v>0</v>
      </c>
      <c r="U12" s="61">
        <v>0</v>
      </c>
      <c r="V12" s="98"/>
      <c r="W12" s="84" t="s">
        <v>472</v>
      </c>
      <c r="X12" s="84" t="s">
        <v>472</v>
      </c>
      <c r="Y12" s="46" t="s">
        <v>472</v>
      </c>
      <c r="Z12" s="46" t="s">
        <v>472</v>
      </c>
      <c r="AA12" s="45" t="s">
        <v>472</v>
      </c>
      <c r="AB12" s="45" t="s">
        <v>472</v>
      </c>
      <c r="AC12" s="55"/>
      <c r="AD12" s="55"/>
      <c r="AE12" s="101">
        <f t="shared" si="0"/>
        <v>0</v>
      </c>
    </row>
    <row r="13" spans="1:31" ht="14.5" thickBot="1">
      <c r="A13" s="42" t="s">
        <v>548</v>
      </c>
      <c r="B13" s="36">
        <v>2003</v>
      </c>
      <c r="C13" s="97">
        <v>74.7</v>
      </c>
      <c r="D13" s="97"/>
      <c r="E13" s="53">
        <v>13.4</v>
      </c>
      <c r="F13" s="54">
        <v>10</v>
      </c>
      <c r="G13" s="76" t="s">
        <v>472</v>
      </c>
      <c r="H13" s="55">
        <v>64.599999999999994</v>
      </c>
      <c r="I13" s="35">
        <v>0</v>
      </c>
      <c r="J13" s="82" t="s">
        <v>472</v>
      </c>
      <c r="K13" s="98"/>
      <c r="L13" s="98"/>
      <c r="M13" s="99"/>
      <c r="N13" s="85">
        <v>0</v>
      </c>
      <c r="O13" s="100"/>
      <c r="P13" s="100"/>
      <c r="Q13" s="100"/>
      <c r="R13" s="100"/>
      <c r="S13" s="58"/>
      <c r="T13" s="79">
        <v>0</v>
      </c>
      <c r="U13" s="61">
        <v>5.7275541795665577</v>
      </c>
      <c r="V13" s="98"/>
      <c r="W13" s="84" t="s">
        <v>472</v>
      </c>
      <c r="X13" s="84" t="s">
        <v>472</v>
      </c>
      <c r="Y13" s="46" t="s">
        <v>472</v>
      </c>
      <c r="Z13" s="46" t="s">
        <v>472</v>
      </c>
      <c r="AA13" s="45">
        <v>4.8</v>
      </c>
      <c r="AB13" s="45" t="s">
        <v>472</v>
      </c>
      <c r="AC13" s="55"/>
      <c r="AD13" s="55"/>
      <c r="AE13" s="101">
        <f t="shared" si="0"/>
        <v>0</v>
      </c>
    </row>
    <row r="14" spans="1:31" ht="14.5" thickBot="1">
      <c r="A14" s="42" t="s">
        <v>549</v>
      </c>
      <c r="B14" s="36">
        <v>2003</v>
      </c>
      <c r="C14" s="97">
        <v>69.2</v>
      </c>
      <c r="D14" s="97"/>
      <c r="E14" s="53">
        <v>22.4</v>
      </c>
      <c r="F14" s="54">
        <v>15.5</v>
      </c>
      <c r="G14" s="76" t="s">
        <v>472</v>
      </c>
      <c r="H14" s="55">
        <v>53.7</v>
      </c>
      <c r="I14" s="35">
        <v>0</v>
      </c>
      <c r="J14" s="82" t="s">
        <v>472</v>
      </c>
      <c r="K14" s="98"/>
      <c r="L14" s="98"/>
      <c r="M14" s="99"/>
      <c r="N14" s="85">
        <v>0</v>
      </c>
      <c r="O14" s="100"/>
      <c r="P14" s="100"/>
      <c r="Q14" s="100"/>
      <c r="R14" s="100"/>
      <c r="S14" s="58"/>
      <c r="T14" s="79">
        <v>0</v>
      </c>
      <c r="U14" s="61">
        <v>25.884543761638728</v>
      </c>
      <c r="V14" s="98"/>
      <c r="W14" s="84" t="s">
        <v>472</v>
      </c>
      <c r="X14" s="84" t="s">
        <v>472</v>
      </c>
      <c r="Y14" s="46" t="s">
        <v>472</v>
      </c>
      <c r="Z14" s="46" t="s">
        <v>472</v>
      </c>
      <c r="AA14" s="45" t="s">
        <v>472</v>
      </c>
      <c r="AB14" s="45" t="s">
        <v>472</v>
      </c>
      <c r="AC14" s="55">
        <v>20.9</v>
      </c>
      <c r="AD14" s="55" t="s">
        <v>472</v>
      </c>
      <c r="AE14" s="101">
        <f t="shared" si="0"/>
        <v>0</v>
      </c>
    </row>
    <row r="15" spans="1:31" ht="14.5" thickBot="1">
      <c r="A15" s="42" t="s">
        <v>550</v>
      </c>
      <c r="B15" s="36">
        <v>2003</v>
      </c>
      <c r="C15" s="97">
        <v>69.099999999999994</v>
      </c>
      <c r="D15" s="97"/>
      <c r="E15" s="53">
        <v>37</v>
      </c>
      <c r="F15" s="54">
        <v>25.5</v>
      </c>
      <c r="G15" s="76" t="s">
        <v>472</v>
      </c>
      <c r="H15" s="55">
        <v>43.6</v>
      </c>
      <c r="I15" s="35">
        <v>0</v>
      </c>
      <c r="J15" s="82" t="s">
        <v>472</v>
      </c>
      <c r="K15" s="98"/>
      <c r="L15" s="98"/>
      <c r="M15" s="99"/>
      <c r="N15" s="85">
        <v>0</v>
      </c>
      <c r="O15" s="100"/>
      <c r="P15" s="100"/>
      <c r="Q15" s="100"/>
      <c r="R15" s="100"/>
      <c r="S15" s="58"/>
      <c r="T15" s="79">
        <v>52.293577981651374</v>
      </c>
      <c r="U15" s="61">
        <v>0</v>
      </c>
      <c r="V15" s="98"/>
      <c r="W15" s="84" t="s">
        <v>472</v>
      </c>
      <c r="X15" s="84" t="s">
        <v>472</v>
      </c>
      <c r="Y15" s="46" t="s">
        <v>472</v>
      </c>
      <c r="Z15" s="46" t="s">
        <v>472</v>
      </c>
      <c r="AA15" s="45" t="s">
        <v>472</v>
      </c>
      <c r="AB15" s="45" t="s">
        <v>472</v>
      </c>
      <c r="AC15" s="55">
        <v>32.5</v>
      </c>
      <c r="AD15" s="55" t="s">
        <v>472</v>
      </c>
      <c r="AE15" s="101">
        <f t="shared" si="0"/>
        <v>0</v>
      </c>
    </row>
    <row r="16" spans="1:31" ht="14.5" thickBot="1">
      <c r="A16" s="42" t="s">
        <v>551</v>
      </c>
      <c r="B16" s="36">
        <v>2003</v>
      </c>
      <c r="C16" s="97">
        <v>99</v>
      </c>
      <c r="D16" s="97"/>
      <c r="E16" s="53">
        <v>13.2</v>
      </c>
      <c r="F16" s="54">
        <v>13.1</v>
      </c>
      <c r="G16" s="76" t="s">
        <v>472</v>
      </c>
      <c r="H16" s="55">
        <v>85.9</v>
      </c>
      <c r="I16" s="102">
        <v>23.8</v>
      </c>
      <c r="J16" s="82" t="s">
        <v>472</v>
      </c>
      <c r="K16" s="98"/>
      <c r="L16" s="98"/>
      <c r="M16" s="99"/>
      <c r="N16" s="85">
        <v>33.527357392316659</v>
      </c>
      <c r="O16" s="100"/>
      <c r="P16" s="100"/>
      <c r="Q16" s="100"/>
      <c r="R16" s="100"/>
      <c r="S16" s="58"/>
      <c r="T16" s="79">
        <v>0</v>
      </c>
      <c r="U16" s="61">
        <v>0</v>
      </c>
      <c r="V16" s="98"/>
      <c r="W16" s="84" t="s">
        <v>472</v>
      </c>
      <c r="X16" s="84" t="s">
        <v>472</v>
      </c>
      <c r="Y16" s="46" t="s">
        <v>472</v>
      </c>
      <c r="Z16" s="46" t="s">
        <v>472</v>
      </c>
      <c r="AA16" s="45" t="s">
        <v>472</v>
      </c>
      <c r="AB16" s="45" t="s">
        <v>472</v>
      </c>
      <c r="AC16" s="55"/>
      <c r="AD16" s="55"/>
      <c r="AE16" s="101">
        <f t="shared" si="0"/>
        <v>0</v>
      </c>
    </row>
    <row r="17" spans="1:31" ht="14.5" thickBot="1">
      <c r="A17" s="42" t="s">
        <v>552</v>
      </c>
      <c r="B17" s="36">
        <v>2003</v>
      </c>
      <c r="C17" s="97">
        <v>63.9</v>
      </c>
      <c r="D17" s="97"/>
      <c r="E17" s="53">
        <v>23.3</v>
      </c>
      <c r="F17" s="54">
        <v>14.9</v>
      </c>
      <c r="G17" s="76" t="s">
        <v>472</v>
      </c>
      <c r="H17" s="55">
        <v>49</v>
      </c>
      <c r="I17" s="35">
        <v>0</v>
      </c>
      <c r="J17" s="82" t="s">
        <v>472</v>
      </c>
      <c r="K17" s="98"/>
      <c r="L17" s="98"/>
      <c r="N17" s="85">
        <v>0</v>
      </c>
      <c r="O17" s="100"/>
      <c r="P17" s="100"/>
      <c r="Q17" s="100"/>
      <c r="R17" s="100"/>
      <c r="S17" s="58"/>
      <c r="T17" s="79">
        <v>40.816326530612251</v>
      </c>
      <c r="U17" s="61">
        <v>0</v>
      </c>
      <c r="V17" s="98"/>
      <c r="W17" s="84" t="s">
        <v>472</v>
      </c>
      <c r="X17" s="84" t="s">
        <v>472</v>
      </c>
      <c r="Y17" s="46" t="s">
        <v>472</v>
      </c>
      <c r="Z17" s="46" t="s">
        <v>472</v>
      </c>
      <c r="AA17" s="45" t="s">
        <v>472</v>
      </c>
      <c r="AB17" s="45" t="s">
        <v>472</v>
      </c>
      <c r="AC17" s="55">
        <v>31</v>
      </c>
      <c r="AD17" s="55" t="s">
        <v>472</v>
      </c>
      <c r="AE17" s="101">
        <f t="shared" si="0"/>
        <v>0</v>
      </c>
    </row>
    <row r="18" spans="1:31" ht="14.5" thickBot="1">
      <c r="A18" s="42" t="s">
        <v>553</v>
      </c>
      <c r="B18" s="36">
        <v>2003</v>
      </c>
      <c r="C18" s="97">
        <v>56.9</v>
      </c>
      <c r="D18" s="97"/>
      <c r="E18" s="53">
        <v>33.1</v>
      </c>
      <c r="F18" s="54">
        <v>18.899999999999999</v>
      </c>
      <c r="G18" s="76" t="s">
        <v>472</v>
      </c>
      <c r="H18" s="55">
        <v>38.1</v>
      </c>
      <c r="I18" s="35">
        <v>0</v>
      </c>
      <c r="J18" s="82" t="s">
        <v>472</v>
      </c>
      <c r="K18" s="98"/>
      <c r="L18" s="98"/>
      <c r="M18" s="99"/>
      <c r="N18" s="85">
        <v>0</v>
      </c>
      <c r="O18" s="100"/>
      <c r="P18" s="100"/>
      <c r="Q18" s="100"/>
      <c r="R18" s="100"/>
      <c r="S18" s="58"/>
      <c r="T18" s="79">
        <v>8.6614173228346569</v>
      </c>
      <c r="U18" s="61">
        <v>0</v>
      </c>
      <c r="V18" s="98"/>
      <c r="W18" s="84" t="s">
        <v>472</v>
      </c>
      <c r="X18" s="84" t="s">
        <v>472</v>
      </c>
      <c r="Y18" s="46" t="s">
        <v>472</v>
      </c>
      <c r="Z18" s="46" t="s">
        <v>472</v>
      </c>
      <c r="AA18" s="45" t="s">
        <v>472</v>
      </c>
      <c r="AB18" s="45" t="s">
        <v>472</v>
      </c>
      <c r="AC18" s="55">
        <v>8.3000000000000007</v>
      </c>
      <c r="AD18" s="55" t="s">
        <v>472</v>
      </c>
      <c r="AE18" s="101">
        <f t="shared" si="0"/>
        <v>0</v>
      </c>
    </row>
    <row r="19" spans="1:31" ht="14.5" thickBot="1">
      <c r="A19" s="42" t="s">
        <v>554</v>
      </c>
      <c r="B19" s="36">
        <v>2003</v>
      </c>
      <c r="C19" s="97">
        <v>64.2</v>
      </c>
      <c r="D19" s="97"/>
      <c r="E19" s="53">
        <v>34.9</v>
      </c>
      <c r="F19" s="54">
        <v>22.4</v>
      </c>
      <c r="G19" s="76" t="s">
        <v>472</v>
      </c>
      <c r="H19" s="55">
        <v>41.8</v>
      </c>
      <c r="I19" s="35">
        <v>0</v>
      </c>
      <c r="J19" s="82" t="s">
        <v>472</v>
      </c>
      <c r="K19" s="98"/>
      <c r="L19" s="98"/>
      <c r="M19" s="99"/>
      <c r="N19" s="85">
        <v>0</v>
      </c>
      <c r="O19" s="100"/>
      <c r="P19" s="100"/>
      <c r="Q19" s="100"/>
      <c r="R19" s="100"/>
      <c r="S19" s="58"/>
      <c r="T19" s="79">
        <v>44.497607655502378</v>
      </c>
      <c r="U19" s="61">
        <v>0</v>
      </c>
      <c r="V19" s="98"/>
      <c r="W19" s="84" t="s">
        <v>472</v>
      </c>
      <c r="X19" s="84" t="s">
        <v>472</v>
      </c>
      <c r="Y19" s="46" t="s">
        <v>472</v>
      </c>
      <c r="Z19" s="46" t="s">
        <v>472</v>
      </c>
      <c r="AA19" s="45" t="s">
        <v>472</v>
      </c>
      <c r="AB19" s="45" t="s">
        <v>472</v>
      </c>
      <c r="AC19" s="55">
        <v>30</v>
      </c>
      <c r="AD19" s="55" t="s">
        <v>472</v>
      </c>
      <c r="AE19" s="101">
        <f t="shared" si="0"/>
        <v>0</v>
      </c>
    </row>
    <row r="20" spans="1:31" ht="14.5" thickBot="1">
      <c r="A20" s="43" t="s">
        <v>555</v>
      </c>
      <c r="B20" s="36">
        <v>2003</v>
      </c>
      <c r="C20" s="103">
        <v>64.2</v>
      </c>
      <c r="D20" s="103"/>
      <c r="E20" s="64">
        <v>29.7</v>
      </c>
      <c r="F20" s="65">
        <v>19</v>
      </c>
      <c r="G20" s="76" t="s">
        <v>472</v>
      </c>
      <c r="H20" s="66">
        <v>45.1</v>
      </c>
      <c r="I20" s="104">
        <v>17.5</v>
      </c>
      <c r="J20" s="82" t="s">
        <v>472</v>
      </c>
      <c r="K20" s="105"/>
      <c r="L20" s="105"/>
      <c r="M20" s="106"/>
      <c r="N20" s="69">
        <v>24.390243902439025</v>
      </c>
      <c r="O20" s="107"/>
      <c r="P20" s="107"/>
      <c r="Q20" s="107"/>
      <c r="R20" s="107"/>
      <c r="S20" s="69"/>
      <c r="T20" s="79">
        <v>0</v>
      </c>
      <c r="U20" s="61">
        <v>0</v>
      </c>
      <c r="V20" s="105"/>
      <c r="W20" s="64" t="s">
        <v>472</v>
      </c>
      <c r="X20" s="64" t="s">
        <v>472</v>
      </c>
      <c r="Y20" s="66" t="s">
        <v>472</v>
      </c>
      <c r="Z20" s="66" t="s">
        <v>472</v>
      </c>
      <c r="AA20" s="65" t="s">
        <v>472</v>
      </c>
      <c r="AB20" s="65" t="s">
        <v>472</v>
      </c>
      <c r="AC20" s="66"/>
      <c r="AD20" s="66"/>
      <c r="AE20" s="108">
        <f t="shared" si="0"/>
        <v>0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B34F4-CFD6-4FB9-9AF7-C19C90AB7DAF}">
  <dimension ref="A1:E20"/>
  <sheetViews>
    <sheetView workbookViewId="0">
      <selection sqref="A1:E20"/>
    </sheetView>
  </sheetViews>
  <sheetFormatPr defaultRowHeight="14"/>
  <cols>
    <col min="1" max="2" width="14.4140625" style="35" customWidth="1"/>
    <col min="3" max="3" width="39.9140625" style="38" customWidth="1"/>
    <col min="4" max="4" width="41.75" style="38" customWidth="1"/>
    <col min="5" max="5" width="37.33203125" style="38" customWidth="1"/>
    <col min="6" max="16384" width="8.6640625" style="38"/>
  </cols>
  <sheetData>
    <row r="1" spans="1:5" ht="28.5" thickBot="1">
      <c r="A1" s="35" t="s">
        <v>533</v>
      </c>
      <c r="B1" s="36" t="s">
        <v>255</v>
      </c>
      <c r="C1" s="37" t="s">
        <v>534</v>
      </c>
      <c r="D1" s="37" t="s">
        <v>535</v>
      </c>
      <c r="E1" s="37" t="s">
        <v>536</v>
      </c>
    </row>
    <row r="2" spans="1:5" ht="14.5" thickBot="1">
      <c r="A2" s="39" t="s">
        <v>537</v>
      </c>
      <c r="B2" s="36">
        <v>2013</v>
      </c>
      <c r="C2" s="40">
        <v>20</v>
      </c>
      <c r="D2" s="40">
        <v>42</v>
      </c>
      <c r="E2" s="40">
        <v>0</v>
      </c>
    </row>
    <row r="3" spans="1:5" ht="14.5" thickBot="1">
      <c r="A3" s="41" t="s">
        <v>538</v>
      </c>
      <c r="B3" s="36">
        <v>2013</v>
      </c>
      <c r="C3" s="40">
        <v>42</v>
      </c>
      <c r="D3" s="40">
        <v>49</v>
      </c>
      <c r="E3" s="40">
        <v>0</v>
      </c>
    </row>
    <row r="4" spans="1:5" ht="14.5" thickBot="1">
      <c r="A4" s="42" t="s">
        <v>539</v>
      </c>
      <c r="B4" s="36">
        <v>2013</v>
      </c>
      <c r="C4" s="40">
        <v>26</v>
      </c>
      <c r="D4" s="40">
        <v>32</v>
      </c>
      <c r="E4" s="40">
        <v>0</v>
      </c>
    </row>
    <row r="5" spans="1:5" ht="14.5" thickBot="1">
      <c r="A5" s="41" t="s">
        <v>540</v>
      </c>
      <c r="B5" s="36">
        <v>2013</v>
      </c>
      <c r="C5" s="40">
        <v>30</v>
      </c>
      <c r="D5" s="40">
        <v>52</v>
      </c>
      <c r="E5" s="40">
        <v>0</v>
      </c>
    </row>
    <row r="6" spans="1:5" ht="14.5" thickBot="1">
      <c r="A6" s="42" t="s">
        <v>541</v>
      </c>
      <c r="B6" s="36">
        <v>2013</v>
      </c>
      <c r="C6" s="40">
        <v>29</v>
      </c>
      <c r="D6" s="40">
        <v>33</v>
      </c>
      <c r="E6" s="40">
        <v>0</v>
      </c>
    </row>
    <row r="7" spans="1:5" ht="14.5" thickBot="1">
      <c r="A7" s="39" t="s">
        <v>542</v>
      </c>
      <c r="B7" s="36">
        <v>2003</v>
      </c>
      <c r="C7" s="40">
        <v>0</v>
      </c>
      <c r="D7" s="40">
        <v>3.5999999999999943</v>
      </c>
      <c r="E7" s="40">
        <v>0</v>
      </c>
    </row>
    <row r="8" spans="1:5" ht="14.5" thickBot="1">
      <c r="A8" s="42" t="s">
        <v>543</v>
      </c>
      <c r="B8" s="36">
        <v>2003</v>
      </c>
      <c r="C8" s="40">
        <v>0</v>
      </c>
      <c r="D8" s="40">
        <v>20.6</v>
      </c>
      <c r="E8" s="40">
        <v>0</v>
      </c>
    </row>
    <row r="9" spans="1:5" ht="14.5" thickBot="1">
      <c r="A9" s="42" t="s">
        <v>544</v>
      </c>
      <c r="B9" s="36">
        <v>2003</v>
      </c>
      <c r="C9" s="40">
        <v>0</v>
      </c>
      <c r="D9" s="40">
        <v>0</v>
      </c>
      <c r="E9" s="40">
        <v>9.8000000000000007</v>
      </c>
    </row>
    <row r="10" spans="1:5" ht="14.5" thickBot="1">
      <c r="A10" s="43" t="s">
        <v>545</v>
      </c>
      <c r="B10" s="36">
        <v>2003</v>
      </c>
      <c r="C10" s="40">
        <v>0</v>
      </c>
      <c r="D10" s="40">
        <v>14.100000000000001</v>
      </c>
      <c r="E10" s="40">
        <v>0</v>
      </c>
    </row>
    <row r="11" spans="1:5" ht="14.5" thickBot="1">
      <c r="A11" s="42" t="s">
        <v>546</v>
      </c>
      <c r="B11" s="36">
        <v>2003</v>
      </c>
      <c r="C11" s="40">
        <v>0.79365079365079083</v>
      </c>
      <c r="D11" s="40">
        <v>0</v>
      </c>
      <c r="E11" s="40">
        <v>0</v>
      </c>
    </row>
    <row r="12" spans="1:5" ht="14.5" thickBot="1">
      <c r="A12" s="42" t="s">
        <v>547</v>
      </c>
      <c r="B12" s="36">
        <v>2003</v>
      </c>
      <c r="C12" s="40">
        <v>19.187358916478555</v>
      </c>
      <c r="D12" s="40">
        <v>0</v>
      </c>
      <c r="E12" s="40">
        <v>0</v>
      </c>
    </row>
    <row r="13" spans="1:5" ht="14.5" thickBot="1">
      <c r="A13" s="42" t="s">
        <v>548</v>
      </c>
      <c r="B13" s="36">
        <v>2003</v>
      </c>
      <c r="C13" s="40">
        <v>0</v>
      </c>
      <c r="D13" s="40">
        <v>0</v>
      </c>
      <c r="E13" s="40">
        <v>5.7275541795665577</v>
      </c>
    </row>
    <row r="14" spans="1:5" ht="14.5" thickBot="1">
      <c r="A14" s="42" t="s">
        <v>549</v>
      </c>
      <c r="B14" s="36">
        <v>2003</v>
      </c>
      <c r="C14" s="40">
        <v>0</v>
      </c>
      <c r="D14" s="40">
        <v>0</v>
      </c>
      <c r="E14" s="40">
        <v>25.884543761638728</v>
      </c>
    </row>
    <row r="15" spans="1:5" ht="14.5" thickBot="1">
      <c r="A15" s="42" t="s">
        <v>550</v>
      </c>
      <c r="B15" s="36">
        <v>2003</v>
      </c>
      <c r="C15" s="40">
        <v>0</v>
      </c>
      <c r="D15" s="40">
        <v>52.293577981651374</v>
      </c>
      <c r="E15" s="40">
        <v>0</v>
      </c>
    </row>
    <row r="16" spans="1:5" ht="14.5" thickBot="1">
      <c r="A16" s="42" t="s">
        <v>551</v>
      </c>
      <c r="B16" s="36">
        <v>2003</v>
      </c>
      <c r="C16" s="40">
        <v>33.527357392316659</v>
      </c>
      <c r="D16" s="40">
        <v>0</v>
      </c>
      <c r="E16" s="40">
        <v>0</v>
      </c>
    </row>
    <row r="17" spans="1:5" ht="14.5" thickBot="1">
      <c r="A17" s="42" t="s">
        <v>552</v>
      </c>
      <c r="B17" s="36">
        <v>2003</v>
      </c>
      <c r="C17" s="40">
        <v>0</v>
      </c>
      <c r="D17" s="40">
        <v>40.816326530612251</v>
      </c>
      <c r="E17" s="40">
        <v>0</v>
      </c>
    </row>
    <row r="18" spans="1:5" ht="14.5" thickBot="1">
      <c r="A18" s="42" t="s">
        <v>553</v>
      </c>
      <c r="B18" s="36">
        <v>2003</v>
      </c>
      <c r="C18" s="40">
        <v>0</v>
      </c>
      <c r="D18" s="40">
        <v>8.6614173228346569</v>
      </c>
      <c r="E18" s="40">
        <v>0</v>
      </c>
    </row>
    <row r="19" spans="1:5" ht="14.5" thickBot="1">
      <c r="A19" s="42" t="s">
        <v>554</v>
      </c>
      <c r="B19" s="36">
        <v>2003</v>
      </c>
      <c r="C19" s="40">
        <v>0</v>
      </c>
      <c r="D19" s="40">
        <v>44.497607655502378</v>
      </c>
      <c r="E19" s="40">
        <v>0</v>
      </c>
    </row>
    <row r="20" spans="1:5" ht="14.5" thickBot="1">
      <c r="A20" s="43" t="s">
        <v>555</v>
      </c>
      <c r="B20" s="36">
        <v>2003</v>
      </c>
      <c r="C20" s="40">
        <v>24.390243902439025</v>
      </c>
      <c r="D20" s="40">
        <v>0</v>
      </c>
      <c r="E20" s="40">
        <v>0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33B5B-72E5-4AD9-AE75-BE4642D37064}">
  <dimension ref="A1:E7"/>
  <sheetViews>
    <sheetView workbookViewId="0">
      <selection activeCell="D3" sqref="D3"/>
    </sheetView>
  </sheetViews>
  <sheetFormatPr defaultRowHeight="14"/>
  <cols>
    <col min="1" max="1" width="31.58203125" style="38" customWidth="1"/>
    <col min="2" max="2" width="117.9140625" style="38" customWidth="1"/>
    <col min="3" max="3" width="117.25" style="38" customWidth="1"/>
    <col min="4" max="4" width="101.83203125" style="38" customWidth="1"/>
    <col min="5" max="16384" width="8.6640625" style="38"/>
  </cols>
  <sheetData>
    <row r="1" spans="1:5" ht="19" thickBot="1">
      <c r="A1" s="109" t="s">
        <v>393</v>
      </c>
      <c r="B1" s="109" t="s">
        <v>577</v>
      </c>
      <c r="C1" s="109" t="s">
        <v>578</v>
      </c>
      <c r="D1" s="109" t="s">
        <v>579</v>
      </c>
      <c r="E1" s="109" t="s">
        <v>361</v>
      </c>
    </row>
    <row r="2" spans="1:5" s="112" customFormat="1" ht="38" thickTop="1" thickBot="1">
      <c r="A2" s="110" t="s">
        <v>580</v>
      </c>
      <c r="B2" s="111" t="s">
        <v>581</v>
      </c>
      <c r="C2" s="111" t="s">
        <v>582</v>
      </c>
      <c r="D2" s="111" t="s">
        <v>583</v>
      </c>
      <c r="E2" s="112" t="s">
        <v>584</v>
      </c>
    </row>
    <row r="3" spans="1:5" s="112" customFormat="1" ht="19" thickBot="1">
      <c r="A3" s="113" t="s">
        <v>585</v>
      </c>
      <c r="B3" s="114" t="s">
        <v>586</v>
      </c>
      <c r="C3" s="114" t="s">
        <v>587</v>
      </c>
      <c r="D3" s="114" t="s">
        <v>588</v>
      </c>
      <c r="E3" s="112" t="s">
        <v>584</v>
      </c>
    </row>
    <row r="4" spans="1:5" s="112" customFormat="1" ht="37.5" thickBot="1">
      <c r="A4" s="115" t="s">
        <v>589</v>
      </c>
      <c r="B4" s="116" t="s">
        <v>590</v>
      </c>
      <c r="C4" s="116" t="s">
        <v>591</v>
      </c>
      <c r="D4" s="116" t="s">
        <v>592</v>
      </c>
      <c r="E4" s="112" t="s">
        <v>584</v>
      </c>
    </row>
    <row r="5" spans="1:5" s="112" customFormat="1" ht="37.5" thickBot="1">
      <c r="A5" s="113" t="s">
        <v>593</v>
      </c>
      <c r="B5" s="114" t="s">
        <v>594</v>
      </c>
      <c r="C5" s="114" t="s">
        <v>595</v>
      </c>
      <c r="D5" s="114" t="s">
        <v>596</v>
      </c>
      <c r="E5" s="112" t="s">
        <v>584</v>
      </c>
    </row>
    <row r="6" spans="1:5" s="112" customFormat="1" ht="37.5" thickBot="1">
      <c r="A6" s="115" t="s">
        <v>597</v>
      </c>
      <c r="B6" s="116" t="s">
        <v>598</v>
      </c>
      <c r="C6" s="116" t="s">
        <v>599</v>
      </c>
      <c r="D6" s="116" t="s">
        <v>600</v>
      </c>
      <c r="E6" s="112" t="s">
        <v>584</v>
      </c>
    </row>
    <row r="7" spans="1:5" s="112" customFormat="1" ht="37.5" thickBot="1">
      <c r="A7" s="113" t="s">
        <v>601</v>
      </c>
      <c r="B7" s="114" t="s">
        <v>602</v>
      </c>
      <c r="C7" s="114" t="s">
        <v>603</v>
      </c>
      <c r="D7" s="114" t="s">
        <v>604</v>
      </c>
      <c r="E7" s="112" t="s">
        <v>584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5A041-D3E2-4D12-80AD-7BF56F63AA3D}">
  <dimension ref="B1:G65"/>
  <sheetViews>
    <sheetView workbookViewId="0">
      <selection sqref="A1:A1048576"/>
    </sheetView>
  </sheetViews>
  <sheetFormatPr defaultRowHeight="14"/>
  <cols>
    <col min="1" max="1" width="17.58203125" style="38" customWidth="1"/>
    <col min="2" max="2" width="19.6640625" style="119" customWidth="1"/>
    <col min="3" max="3" width="28.1640625" style="119" customWidth="1"/>
    <col min="4" max="4" width="20.9140625" style="119" customWidth="1"/>
    <col min="5" max="5" width="21.6640625" style="119" customWidth="1"/>
    <col min="6" max="6" width="25.1640625" style="119" customWidth="1"/>
    <col min="7" max="7" width="23.4140625" style="119" customWidth="1"/>
    <col min="8" max="16384" width="8.6640625" style="38"/>
  </cols>
  <sheetData>
    <row r="1" spans="2:7">
      <c r="B1" s="120" t="s">
        <v>606</v>
      </c>
      <c r="C1" s="120" t="s">
        <v>638</v>
      </c>
      <c r="D1" s="120" t="s">
        <v>637</v>
      </c>
      <c r="E1" s="120" t="s">
        <v>636</v>
      </c>
      <c r="F1" s="120" t="s">
        <v>635</v>
      </c>
      <c r="G1" s="120" t="s">
        <v>634</v>
      </c>
    </row>
    <row r="2" spans="2:7">
      <c r="B2" s="119">
        <v>2013</v>
      </c>
      <c r="C2" s="119" t="s">
        <v>633</v>
      </c>
      <c r="D2" s="119">
        <v>2000</v>
      </c>
      <c r="E2" s="119">
        <v>2000</v>
      </c>
      <c r="F2" s="119">
        <v>7.34</v>
      </c>
      <c r="G2" s="119">
        <v>53.44</v>
      </c>
    </row>
    <row r="3" spans="2:7">
      <c r="B3" s="119">
        <v>2013</v>
      </c>
      <c r="C3" s="119" t="s">
        <v>633</v>
      </c>
      <c r="D3" s="119">
        <v>2000</v>
      </c>
      <c r="E3" s="119">
        <v>2000</v>
      </c>
      <c r="F3" s="119">
        <v>10</v>
      </c>
      <c r="G3" s="119">
        <v>45.78</v>
      </c>
    </row>
    <row r="4" spans="2:7">
      <c r="B4" s="119">
        <v>2013</v>
      </c>
      <c r="C4" s="119" t="s">
        <v>633</v>
      </c>
      <c r="D4" s="119">
        <v>2000</v>
      </c>
      <c r="E4" s="119">
        <v>2000</v>
      </c>
      <c r="F4" s="119">
        <v>36.69</v>
      </c>
      <c r="G4" s="119">
        <v>22</v>
      </c>
    </row>
    <row r="5" spans="2:7">
      <c r="B5" s="119">
        <v>2013</v>
      </c>
      <c r="C5" s="119" t="s">
        <v>633</v>
      </c>
      <c r="D5" s="119">
        <v>2000</v>
      </c>
      <c r="E5" s="119">
        <v>2000</v>
      </c>
      <c r="F5" s="119">
        <v>50</v>
      </c>
      <c r="G5" s="119">
        <v>16.14</v>
      </c>
    </row>
    <row r="6" spans="2:7">
      <c r="B6" s="119">
        <v>2013</v>
      </c>
      <c r="C6" s="119" t="s">
        <v>632</v>
      </c>
      <c r="D6" s="119">
        <v>2000</v>
      </c>
      <c r="E6" s="119">
        <v>1500</v>
      </c>
      <c r="F6" s="119">
        <v>7.34</v>
      </c>
      <c r="G6" s="119">
        <v>27.69</v>
      </c>
    </row>
    <row r="7" spans="2:7">
      <c r="B7" s="119">
        <v>2013</v>
      </c>
      <c r="C7" s="119" t="s">
        <v>632</v>
      </c>
      <c r="D7" s="119">
        <v>2000</v>
      </c>
      <c r="E7" s="119">
        <v>1500</v>
      </c>
      <c r="F7" s="119">
        <v>10</v>
      </c>
      <c r="G7" s="119">
        <v>24.49</v>
      </c>
    </row>
    <row r="8" spans="2:7">
      <c r="B8" s="119">
        <v>2013</v>
      </c>
      <c r="C8" s="119" t="s">
        <v>632</v>
      </c>
      <c r="D8" s="119">
        <v>2000</v>
      </c>
      <c r="E8" s="119">
        <v>1500</v>
      </c>
      <c r="F8" s="119">
        <v>36.69</v>
      </c>
      <c r="G8" s="119">
        <v>14.6</v>
      </c>
    </row>
    <row r="9" spans="2:7">
      <c r="B9" s="119">
        <v>2013</v>
      </c>
      <c r="C9" s="119" t="s">
        <v>632</v>
      </c>
      <c r="D9" s="119">
        <v>2000</v>
      </c>
      <c r="E9" s="119">
        <v>1500</v>
      </c>
      <c r="F9" s="119">
        <v>50</v>
      </c>
      <c r="G9" s="119">
        <v>12.85</v>
      </c>
    </row>
    <row r="10" spans="2:7">
      <c r="B10" s="119">
        <v>2013</v>
      </c>
      <c r="C10" s="119" t="s">
        <v>631</v>
      </c>
      <c r="D10" s="119">
        <v>2000</v>
      </c>
      <c r="E10" s="119">
        <v>1000</v>
      </c>
      <c r="F10" s="119">
        <v>7.34</v>
      </c>
      <c r="G10" s="119">
        <v>13.3</v>
      </c>
    </row>
    <row r="11" spans="2:7">
      <c r="B11" s="119">
        <v>2013</v>
      </c>
      <c r="C11" s="119" t="s">
        <v>631</v>
      </c>
      <c r="D11" s="119">
        <v>2000</v>
      </c>
      <c r="E11" s="119">
        <v>1000</v>
      </c>
      <c r="F11" s="119">
        <v>10</v>
      </c>
      <c r="G11" s="119">
        <v>11.95</v>
      </c>
    </row>
    <row r="12" spans="2:7">
      <c r="B12" s="119">
        <v>2013</v>
      </c>
      <c r="C12" s="119" t="s">
        <v>631</v>
      </c>
      <c r="D12" s="119">
        <v>2000</v>
      </c>
      <c r="E12" s="119">
        <v>1000</v>
      </c>
      <c r="F12" s="119">
        <v>36.69</v>
      </c>
      <c r="G12" s="119">
        <v>8.0399999999999991</v>
      </c>
    </row>
    <row r="13" spans="2:7">
      <c r="B13" s="119">
        <v>2013</v>
      </c>
      <c r="C13" s="119" t="s">
        <v>631</v>
      </c>
      <c r="D13" s="119">
        <v>2000</v>
      </c>
      <c r="E13" s="119">
        <v>1000</v>
      </c>
      <c r="F13" s="119">
        <v>50</v>
      </c>
      <c r="G13" s="119">
        <v>7.19</v>
      </c>
    </row>
    <row r="14" spans="2:7">
      <c r="B14" s="119">
        <v>2013</v>
      </c>
      <c r="C14" s="119" t="s">
        <v>630</v>
      </c>
      <c r="D14" s="119">
        <v>2000</v>
      </c>
      <c r="E14" s="119">
        <v>500</v>
      </c>
      <c r="F14" s="119">
        <v>7.34</v>
      </c>
      <c r="G14" s="119">
        <v>4.5999999999999996</v>
      </c>
    </row>
    <row r="15" spans="2:7">
      <c r="B15" s="119">
        <v>2013</v>
      </c>
      <c r="C15" s="119" t="s">
        <v>630</v>
      </c>
      <c r="D15" s="119">
        <v>2000</v>
      </c>
      <c r="E15" s="119">
        <v>500</v>
      </c>
      <c r="F15" s="119">
        <v>10</v>
      </c>
      <c r="G15" s="119">
        <v>4.18</v>
      </c>
    </row>
    <row r="16" spans="2:7">
      <c r="B16" s="119">
        <v>2013</v>
      </c>
      <c r="C16" s="119" t="s">
        <v>630</v>
      </c>
      <c r="D16" s="119">
        <v>2000</v>
      </c>
      <c r="E16" s="119">
        <v>500</v>
      </c>
      <c r="F16" s="119">
        <v>36.69</v>
      </c>
      <c r="G16" s="119">
        <v>3.2</v>
      </c>
    </row>
    <row r="17" spans="2:7">
      <c r="B17" s="119">
        <v>2013</v>
      </c>
      <c r="C17" s="119" t="s">
        <v>630</v>
      </c>
      <c r="D17" s="119">
        <v>2000</v>
      </c>
      <c r="E17" s="119">
        <v>500</v>
      </c>
      <c r="F17" s="119">
        <v>50</v>
      </c>
      <c r="G17" s="119">
        <v>3.01</v>
      </c>
    </row>
    <row r="18" spans="2:7">
      <c r="B18" s="119">
        <v>2013</v>
      </c>
      <c r="C18" s="119" t="s">
        <v>627</v>
      </c>
      <c r="D18" s="119">
        <v>2000</v>
      </c>
      <c r="E18" s="119">
        <v>2000</v>
      </c>
      <c r="F18" s="119">
        <v>7.34</v>
      </c>
      <c r="G18" s="119">
        <v>19.14</v>
      </c>
    </row>
    <row r="19" spans="2:7">
      <c r="B19" s="119">
        <v>2013</v>
      </c>
      <c r="C19" s="119" t="s">
        <v>627</v>
      </c>
      <c r="D19" s="119">
        <v>2000</v>
      </c>
      <c r="E19" s="119">
        <v>2000</v>
      </c>
      <c r="F19" s="119">
        <v>10</v>
      </c>
      <c r="G19" s="119">
        <v>17.559999999999999</v>
      </c>
    </row>
    <row r="20" spans="2:7">
      <c r="B20" s="119">
        <v>2013</v>
      </c>
      <c r="C20" s="119" t="s">
        <v>627</v>
      </c>
      <c r="D20" s="119">
        <v>2000</v>
      </c>
      <c r="E20" s="119">
        <v>2000</v>
      </c>
      <c r="F20" s="119">
        <v>36.69</v>
      </c>
      <c r="G20" s="119">
        <v>13.03</v>
      </c>
    </row>
    <row r="21" spans="2:7">
      <c r="B21" s="119">
        <v>2013</v>
      </c>
      <c r="C21" s="119" t="s">
        <v>627</v>
      </c>
      <c r="D21" s="119">
        <v>2000</v>
      </c>
      <c r="E21" s="119">
        <v>2000</v>
      </c>
      <c r="F21" s="119">
        <v>50</v>
      </c>
      <c r="G21" s="119">
        <v>12.12</v>
      </c>
    </row>
    <row r="22" spans="2:7">
      <c r="B22" s="119">
        <v>2013</v>
      </c>
      <c r="C22" s="119" t="s">
        <v>629</v>
      </c>
      <c r="D22" s="119">
        <v>2000</v>
      </c>
      <c r="E22" s="119">
        <v>1500</v>
      </c>
      <c r="F22" s="119">
        <v>7.34</v>
      </c>
      <c r="G22" s="119">
        <v>11.2</v>
      </c>
    </row>
    <row r="23" spans="2:7">
      <c r="B23" s="119">
        <v>2013</v>
      </c>
      <c r="C23" s="119" t="s">
        <v>629</v>
      </c>
      <c r="D23" s="119">
        <v>2000</v>
      </c>
      <c r="E23" s="119">
        <v>1500</v>
      </c>
      <c r="F23" s="119">
        <v>10</v>
      </c>
      <c r="G23" s="119">
        <v>10.71</v>
      </c>
    </row>
    <row r="24" spans="2:7">
      <c r="B24" s="119">
        <v>2013</v>
      </c>
      <c r="C24" s="119" t="s">
        <v>629</v>
      </c>
      <c r="D24" s="119">
        <v>2000</v>
      </c>
      <c r="E24" s="119">
        <v>1500</v>
      </c>
      <c r="F24" s="119">
        <v>36.69</v>
      </c>
      <c r="G24" s="119">
        <v>8.5</v>
      </c>
    </row>
    <row r="25" spans="2:7">
      <c r="B25" s="119">
        <v>2013</v>
      </c>
      <c r="C25" s="119" t="s">
        <v>629</v>
      </c>
      <c r="D25" s="119">
        <v>2000</v>
      </c>
      <c r="E25" s="119">
        <v>1500</v>
      </c>
      <c r="F25" s="119">
        <v>50</v>
      </c>
      <c r="G25" s="119">
        <v>8.1300000000000008</v>
      </c>
    </row>
    <row r="26" spans="2:7">
      <c r="B26" s="119">
        <v>2013</v>
      </c>
      <c r="C26" s="119" t="s">
        <v>628</v>
      </c>
      <c r="D26" s="119">
        <v>2000</v>
      </c>
      <c r="E26" s="119">
        <v>1000</v>
      </c>
      <c r="F26" s="119">
        <v>7.34</v>
      </c>
      <c r="G26" s="119">
        <v>6</v>
      </c>
    </row>
    <row r="27" spans="2:7">
      <c r="B27" s="119">
        <v>2013</v>
      </c>
      <c r="C27" s="119" t="s">
        <v>628</v>
      </c>
      <c r="D27" s="119">
        <v>2000</v>
      </c>
      <c r="E27" s="119">
        <v>1000</v>
      </c>
      <c r="F27" s="119">
        <v>10</v>
      </c>
      <c r="G27" s="119">
        <v>5.72</v>
      </c>
    </row>
    <row r="28" spans="2:7">
      <c r="B28" s="119">
        <v>2013</v>
      </c>
      <c r="C28" s="119" t="s">
        <v>628</v>
      </c>
      <c r="D28" s="119">
        <v>2000</v>
      </c>
      <c r="E28" s="119">
        <v>1000</v>
      </c>
      <c r="F28" s="119">
        <v>36.69</v>
      </c>
      <c r="G28" s="119">
        <v>4.72</v>
      </c>
    </row>
    <row r="29" spans="2:7">
      <c r="B29" s="119">
        <v>2013</v>
      </c>
      <c r="C29" s="119" t="s">
        <v>627</v>
      </c>
      <c r="D29" s="119">
        <v>2000</v>
      </c>
      <c r="E29" s="119">
        <v>1000</v>
      </c>
      <c r="F29" s="119">
        <v>50</v>
      </c>
      <c r="G29" s="119">
        <v>4.55</v>
      </c>
    </row>
    <row r="30" spans="2:7">
      <c r="B30" s="119">
        <v>2013</v>
      </c>
      <c r="C30" s="119" t="s">
        <v>626</v>
      </c>
      <c r="D30" s="119">
        <v>2000</v>
      </c>
      <c r="E30" s="119">
        <v>500</v>
      </c>
      <c r="F30" s="119">
        <v>7.34</v>
      </c>
      <c r="G30" s="119">
        <v>2.6</v>
      </c>
    </row>
    <row r="31" spans="2:7">
      <c r="B31" s="119">
        <v>2013</v>
      </c>
      <c r="C31" s="119" t="s">
        <v>626</v>
      </c>
      <c r="D31" s="119">
        <v>2000</v>
      </c>
      <c r="E31" s="119">
        <v>500</v>
      </c>
      <c r="F31" s="119">
        <v>10</v>
      </c>
      <c r="G31" s="119">
        <v>2.42</v>
      </c>
    </row>
    <row r="32" spans="2:7">
      <c r="B32" s="119">
        <v>2013</v>
      </c>
      <c r="C32" s="119" t="s">
        <v>626</v>
      </c>
      <c r="D32" s="119">
        <v>2000</v>
      </c>
      <c r="E32" s="119">
        <v>500</v>
      </c>
      <c r="F32" s="119">
        <v>36.69</v>
      </c>
      <c r="G32" s="119">
        <v>2.08</v>
      </c>
    </row>
    <row r="33" spans="2:7">
      <c r="B33" s="119">
        <v>2013</v>
      </c>
      <c r="C33" s="119" t="s">
        <v>626</v>
      </c>
      <c r="D33" s="119">
        <v>2000</v>
      </c>
      <c r="E33" s="119">
        <v>500</v>
      </c>
      <c r="F33" s="119">
        <v>50</v>
      </c>
      <c r="G33" s="119">
        <v>2.0499999999999998</v>
      </c>
    </row>
    <row r="34" spans="2:7">
      <c r="B34" s="119">
        <v>2003</v>
      </c>
      <c r="C34" s="119" t="s">
        <v>625</v>
      </c>
      <c r="F34" s="119">
        <v>1</v>
      </c>
      <c r="G34" s="119">
        <v>11</v>
      </c>
    </row>
    <row r="35" spans="2:7">
      <c r="B35" s="119">
        <v>2003</v>
      </c>
      <c r="C35" s="119" t="s">
        <v>625</v>
      </c>
      <c r="F35" s="119">
        <v>7</v>
      </c>
      <c r="G35" s="119">
        <v>10</v>
      </c>
    </row>
    <row r="36" spans="2:7">
      <c r="B36" s="119">
        <v>2003</v>
      </c>
      <c r="C36" s="119" t="s">
        <v>625</v>
      </c>
      <c r="F36" s="119">
        <v>11</v>
      </c>
      <c r="G36" s="119">
        <v>8</v>
      </c>
    </row>
    <row r="37" spans="2:7">
      <c r="B37" s="119">
        <v>2003</v>
      </c>
      <c r="C37" s="119" t="s">
        <v>625</v>
      </c>
      <c r="F37" s="119">
        <v>13</v>
      </c>
      <c r="G37" s="119">
        <v>5</v>
      </c>
    </row>
    <row r="38" spans="2:7">
      <c r="B38" s="119">
        <v>2003</v>
      </c>
      <c r="C38" s="119" t="s">
        <v>623</v>
      </c>
      <c r="F38" s="119">
        <v>1</v>
      </c>
      <c r="G38" s="119">
        <v>7</v>
      </c>
    </row>
    <row r="39" spans="2:7">
      <c r="B39" s="119">
        <v>2003</v>
      </c>
      <c r="C39" s="119" t="s">
        <v>623</v>
      </c>
      <c r="F39" s="119">
        <v>7</v>
      </c>
      <c r="G39" s="119">
        <v>4</v>
      </c>
    </row>
    <row r="40" spans="2:7">
      <c r="B40" s="119">
        <v>2003</v>
      </c>
      <c r="C40" s="119" t="s">
        <v>624</v>
      </c>
      <c r="F40" s="119">
        <v>11</v>
      </c>
      <c r="G40" s="119">
        <v>3</v>
      </c>
    </row>
    <row r="41" spans="2:7">
      <c r="B41" s="119">
        <v>2003</v>
      </c>
      <c r="C41" s="119" t="s">
        <v>623</v>
      </c>
      <c r="F41" s="119">
        <v>13</v>
      </c>
      <c r="G41" s="119">
        <v>2</v>
      </c>
    </row>
    <row r="42" spans="2:7">
      <c r="B42" s="119">
        <v>2003</v>
      </c>
      <c r="C42" s="119" t="s">
        <v>622</v>
      </c>
      <c r="F42" s="119">
        <v>1</v>
      </c>
      <c r="G42" s="119">
        <v>4</v>
      </c>
    </row>
    <row r="43" spans="2:7">
      <c r="B43" s="119">
        <v>2003</v>
      </c>
      <c r="C43" s="119" t="s">
        <v>622</v>
      </c>
      <c r="F43" s="119">
        <v>7</v>
      </c>
      <c r="G43" s="119">
        <v>2.8</v>
      </c>
    </row>
    <row r="44" spans="2:7">
      <c r="B44" s="119">
        <v>2003</v>
      </c>
      <c r="C44" s="119" t="s">
        <v>622</v>
      </c>
      <c r="F44" s="119">
        <v>11</v>
      </c>
      <c r="G44" s="119">
        <v>2.7</v>
      </c>
    </row>
    <row r="45" spans="2:7">
      <c r="B45" s="119">
        <v>2003</v>
      </c>
      <c r="C45" s="119" t="s">
        <v>622</v>
      </c>
      <c r="F45" s="119">
        <v>13</v>
      </c>
      <c r="G45" s="119">
        <v>2.2999999999999998</v>
      </c>
    </row>
    <row r="46" spans="2:7">
      <c r="B46" s="119">
        <v>2003</v>
      </c>
      <c r="C46" s="119" t="s">
        <v>621</v>
      </c>
      <c r="F46" s="119">
        <v>1</v>
      </c>
      <c r="G46" s="119">
        <v>7</v>
      </c>
    </row>
    <row r="47" spans="2:7">
      <c r="B47" s="119">
        <v>2003</v>
      </c>
      <c r="C47" s="119" t="s">
        <v>621</v>
      </c>
      <c r="F47" s="119">
        <v>7</v>
      </c>
      <c r="G47" s="119">
        <v>5.5</v>
      </c>
    </row>
    <row r="48" spans="2:7">
      <c r="B48" s="119">
        <v>2003</v>
      </c>
      <c r="C48" s="119" t="s">
        <v>621</v>
      </c>
      <c r="F48" s="119">
        <v>11</v>
      </c>
      <c r="G48" s="119">
        <v>4.5</v>
      </c>
    </row>
    <row r="49" spans="2:7">
      <c r="B49" s="119">
        <v>2003</v>
      </c>
      <c r="C49" s="119" t="s">
        <v>621</v>
      </c>
      <c r="F49" s="119">
        <v>13</v>
      </c>
      <c r="G49" s="119">
        <v>4</v>
      </c>
    </row>
    <row r="50" spans="2:7">
      <c r="B50" s="119">
        <v>2003</v>
      </c>
      <c r="C50" s="119" t="s">
        <v>620</v>
      </c>
      <c r="F50" s="119">
        <v>1</v>
      </c>
      <c r="G50" s="119">
        <v>11</v>
      </c>
    </row>
    <row r="51" spans="2:7">
      <c r="B51" s="119">
        <v>2003</v>
      </c>
      <c r="C51" s="119" t="s">
        <v>620</v>
      </c>
      <c r="F51" s="119">
        <v>7</v>
      </c>
      <c r="G51" s="119">
        <v>10</v>
      </c>
    </row>
    <row r="52" spans="2:7">
      <c r="B52" s="119">
        <v>2003</v>
      </c>
      <c r="C52" s="119" t="s">
        <v>620</v>
      </c>
      <c r="F52" s="119">
        <v>11</v>
      </c>
      <c r="G52" s="119">
        <v>8</v>
      </c>
    </row>
    <row r="53" spans="2:7">
      <c r="B53" s="119">
        <v>2003</v>
      </c>
      <c r="C53" s="119" t="s">
        <v>620</v>
      </c>
      <c r="F53" s="119">
        <v>13</v>
      </c>
      <c r="G53" s="119">
        <v>5</v>
      </c>
    </row>
    <row r="54" spans="2:7">
      <c r="B54" s="119">
        <v>2003</v>
      </c>
      <c r="C54" s="119" t="s">
        <v>619</v>
      </c>
      <c r="F54" s="119">
        <v>1</v>
      </c>
      <c r="G54" s="119">
        <v>6</v>
      </c>
    </row>
    <row r="55" spans="2:7">
      <c r="B55" s="119">
        <v>2003</v>
      </c>
      <c r="C55" s="119" t="s">
        <v>619</v>
      </c>
      <c r="F55" s="119">
        <v>7</v>
      </c>
      <c r="G55" s="119">
        <v>5.5</v>
      </c>
    </row>
    <row r="56" spans="2:7">
      <c r="B56" s="119">
        <v>2003</v>
      </c>
      <c r="C56" s="119" t="s">
        <v>619</v>
      </c>
      <c r="F56" s="119">
        <v>11</v>
      </c>
      <c r="G56" s="119">
        <v>5</v>
      </c>
    </row>
    <row r="57" spans="2:7">
      <c r="B57" s="119">
        <v>2003</v>
      </c>
      <c r="C57" s="119" t="s">
        <v>619</v>
      </c>
      <c r="F57" s="119">
        <v>13</v>
      </c>
      <c r="G57" s="119">
        <v>4.5</v>
      </c>
    </row>
    <row r="58" spans="2:7">
      <c r="B58" s="119">
        <v>2003</v>
      </c>
      <c r="C58" s="119" t="s">
        <v>618</v>
      </c>
      <c r="F58" s="119">
        <v>1</v>
      </c>
      <c r="G58" s="119">
        <v>6.2</v>
      </c>
    </row>
    <row r="59" spans="2:7">
      <c r="B59" s="119">
        <v>2003</v>
      </c>
      <c r="C59" s="119" t="s">
        <v>618</v>
      </c>
      <c r="F59" s="119">
        <v>7</v>
      </c>
      <c r="G59" s="119">
        <v>5</v>
      </c>
    </row>
    <row r="60" spans="2:7">
      <c r="B60" s="119">
        <v>2003</v>
      </c>
      <c r="C60" s="119" t="s">
        <v>618</v>
      </c>
      <c r="F60" s="119">
        <v>11</v>
      </c>
      <c r="G60" s="119">
        <v>4.3</v>
      </c>
    </row>
    <row r="61" spans="2:7">
      <c r="B61" s="119">
        <v>2003</v>
      </c>
      <c r="C61" s="119" t="s">
        <v>618</v>
      </c>
      <c r="F61" s="119">
        <v>13</v>
      </c>
      <c r="G61" s="119">
        <v>3.2</v>
      </c>
    </row>
    <row r="62" spans="2:7">
      <c r="B62" s="119">
        <v>2003</v>
      </c>
      <c r="C62" s="119" t="s">
        <v>617</v>
      </c>
      <c r="F62" s="119">
        <v>1</v>
      </c>
      <c r="G62" s="119">
        <v>5</v>
      </c>
    </row>
    <row r="63" spans="2:7">
      <c r="B63" s="119">
        <v>2003</v>
      </c>
      <c r="C63" s="119" t="s">
        <v>617</v>
      </c>
      <c r="F63" s="119">
        <v>7</v>
      </c>
      <c r="G63" s="119">
        <v>4.2</v>
      </c>
    </row>
    <row r="64" spans="2:7">
      <c r="B64" s="119">
        <v>2003</v>
      </c>
      <c r="C64" s="119" t="s">
        <v>617</v>
      </c>
      <c r="F64" s="119">
        <v>11</v>
      </c>
      <c r="G64" s="119">
        <v>3.8</v>
      </c>
    </row>
    <row r="65" spans="2:7">
      <c r="B65" s="119">
        <v>2003</v>
      </c>
      <c r="C65" s="119" t="s">
        <v>617</v>
      </c>
      <c r="F65" s="119">
        <v>13</v>
      </c>
      <c r="G65" s="119">
        <v>3.1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4C9E4-2D2C-4390-9DED-2903F1F489EC}">
  <dimension ref="A1:J93"/>
  <sheetViews>
    <sheetView topLeftCell="D1" workbookViewId="0">
      <selection activeCell="G66" sqref="G66"/>
    </sheetView>
  </sheetViews>
  <sheetFormatPr defaultRowHeight="14"/>
  <cols>
    <col min="1" max="2" width="8.6640625" style="38"/>
    <col min="3" max="3" width="15.4140625" style="38" customWidth="1"/>
    <col min="4" max="4" width="77.08203125" style="38" customWidth="1"/>
    <col min="5" max="5" width="17.1640625" style="38" bestFit="1" customWidth="1"/>
    <col min="6" max="6" width="15.9140625" style="38" customWidth="1"/>
    <col min="7" max="7" width="23.9140625" style="123" customWidth="1"/>
    <col min="8" max="8" width="14" style="38" customWidth="1"/>
    <col min="9" max="9" width="26.58203125" style="38" customWidth="1"/>
    <col min="10" max="10" width="17" style="38" customWidth="1"/>
    <col min="11" max="16384" width="8.6640625" style="38"/>
  </cols>
  <sheetData>
    <row r="1" spans="1:10">
      <c r="A1" s="121" t="s">
        <v>498</v>
      </c>
      <c r="B1" s="121" t="s">
        <v>606</v>
      </c>
      <c r="C1" s="121" t="s">
        <v>370</v>
      </c>
      <c r="D1" s="121" t="s">
        <v>639</v>
      </c>
      <c r="E1" s="121" t="s">
        <v>640</v>
      </c>
      <c r="F1" s="121" t="s">
        <v>641</v>
      </c>
      <c r="G1" s="122" t="s">
        <v>642</v>
      </c>
      <c r="H1" s="121" t="s">
        <v>643</v>
      </c>
      <c r="I1" s="121" t="s">
        <v>644</v>
      </c>
      <c r="J1" s="121" t="s">
        <v>645</v>
      </c>
    </row>
    <row r="2" spans="1:10">
      <c r="A2" s="38">
        <v>1</v>
      </c>
      <c r="B2" s="38">
        <v>2025</v>
      </c>
      <c r="C2" s="38" t="s">
        <v>646</v>
      </c>
      <c r="D2" s="38" t="s">
        <v>647</v>
      </c>
      <c r="E2" s="38" t="s">
        <v>584</v>
      </c>
      <c r="G2" s="38">
        <v>100</v>
      </c>
      <c r="H2" s="38">
        <v>0</v>
      </c>
      <c r="I2" s="38">
        <v>2500</v>
      </c>
      <c r="J2" s="38">
        <v>120</v>
      </c>
    </row>
    <row r="3" spans="1:10">
      <c r="A3" s="38">
        <v>1</v>
      </c>
      <c r="B3" s="38">
        <v>2025</v>
      </c>
      <c r="C3" s="38" t="s">
        <v>646</v>
      </c>
      <c r="D3" s="38" t="s">
        <v>647</v>
      </c>
      <c r="E3" s="38" t="s">
        <v>584</v>
      </c>
      <c r="G3" s="38">
        <v>110</v>
      </c>
      <c r="H3" s="38">
        <v>25</v>
      </c>
      <c r="I3" s="38">
        <v>2500</v>
      </c>
      <c r="J3" s="38">
        <v>120</v>
      </c>
    </row>
    <row r="4" spans="1:10">
      <c r="A4" s="38">
        <v>1</v>
      </c>
      <c r="B4" s="38">
        <v>2025</v>
      </c>
      <c r="C4" s="38" t="s">
        <v>646</v>
      </c>
      <c r="D4" s="38" t="s">
        <v>647</v>
      </c>
      <c r="E4" s="38" t="s">
        <v>584</v>
      </c>
      <c r="G4" s="38">
        <v>110</v>
      </c>
      <c r="H4" s="38">
        <v>60</v>
      </c>
      <c r="I4" s="38">
        <v>2500</v>
      </c>
      <c r="J4" s="38">
        <v>120</v>
      </c>
    </row>
    <row r="5" spans="1:10">
      <c r="A5" s="38">
        <v>1</v>
      </c>
      <c r="B5" s="38">
        <v>2025</v>
      </c>
      <c r="C5" s="38" t="s">
        <v>646</v>
      </c>
      <c r="D5" s="38" t="s">
        <v>647</v>
      </c>
      <c r="E5" s="38" t="s">
        <v>584</v>
      </c>
      <c r="G5" s="38">
        <v>100</v>
      </c>
      <c r="H5" s="38">
        <v>90</v>
      </c>
      <c r="I5" s="38">
        <v>2500</v>
      </c>
      <c r="J5" s="38">
        <v>120</v>
      </c>
    </row>
    <row r="6" spans="1:10">
      <c r="A6" s="38">
        <v>1</v>
      </c>
      <c r="B6" s="38">
        <v>2025</v>
      </c>
      <c r="C6" s="38" t="s">
        <v>646</v>
      </c>
      <c r="D6" s="38" t="s">
        <v>647</v>
      </c>
      <c r="E6" s="38" t="s">
        <v>584</v>
      </c>
      <c r="G6" s="38">
        <v>100</v>
      </c>
      <c r="H6" s="38">
        <v>180</v>
      </c>
      <c r="I6" s="38">
        <v>2500</v>
      </c>
      <c r="J6" s="38">
        <v>120</v>
      </c>
    </row>
    <row r="7" spans="1:10">
      <c r="A7" s="38">
        <v>1</v>
      </c>
      <c r="B7" s="38">
        <v>2025</v>
      </c>
      <c r="C7" s="38" t="s">
        <v>646</v>
      </c>
      <c r="D7" s="38" t="s">
        <v>647</v>
      </c>
      <c r="E7" s="38" t="s">
        <v>584</v>
      </c>
      <c r="G7" s="38">
        <v>90</v>
      </c>
      <c r="H7" s="38">
        <v>360</v>
      </c>
      <c r="I7" s="38">
        <v>2500</v>
      </c>
      <c r="J7" s="38">
        <v>120</v>
      </c>
    </row>
    <row r="8" spans="1:10">
      <c r="A8" s="38">
        <v>2</v>
      </c>
      <c r="B8" s="38">
        <v>2025</v>
      </c>
      <c r="C8" s="38" t="s">
        <v>648</v>
      </c>
      <c r="D8" s="38" t="s">
        <v>649</v>
      </c>
      <c r="E8" s="38" t="s">
        <v>648</v>
      </c>
      <c r="G8" s="38">
        <v>100</v>
      </c>
      <c r="H8" s="38">
        <v>0</v>
      </c>
      <c r="I8" s="38">
        <v>1800</v>
      </c>
      <c r="J8" s="38">
        <v>90</v>
      </c>
    </row>
    <row r="9" spans="1:10">
      <c r="A9" s="38">
        <v>2</v>
      </c>
      <c r="B9" s="38">
        <v>2025</v>
      </c>
      <c r="C9" s="38" t="s">
        <v>648</v>
      </c>
      <c r="D9" s="38" t="s">
        <v>649</v>
      </c>
      <c r="E9" s="38" t="s">
        <v>650</v>
      </c>
      <c r="G9" s="38">
        <v>104</v>
      </c>
      <c r="H9" s="38">
        <v>30</v>
      </c>
      <c r="I9" s="38">
        <v>1800</v>
      </c>
      <c r="J9" s="38">
        <v>90</v>
      </c>
    </row>
    <row r="10" spans="1:10">
      <c r="A10" s="38">
        <v>2</v>
      </c>
      <c r="B10" s="38">
        <v>2025</v>
      </c>
      <c r="C10" s="38" t="s">
        <v>648</v>
      </c>
      <c r="D10" s="38" t="s">
        <v>649</v>
      </c>
      <c r="E10" s="38" t="s">
        <v>651</v>
      </c>
      <c r="G10" s="38">
        <v>96</v>
      </c>
      <c r="H10" s="38">
        <v>60</v>
      </c>
      <c r="I10" s="38">
        <v>1800</v>
      </c>
      <c r="J10" s="38">
        <v>90</v>
      </c>
    </row>
    <row r="11" spans="1:10">
      <c r="A11" s="38">
        <v>2</v>
      </c>
      <c r="B11" s="38">
        <v>2025</v>
      </c>
      <c r="C11" s="38" t="s">
        <v>648</v>
      </c>
      <c r="D11" s="38" t="s">
        <v>649</v>
      </c>
      <c r="E11" s="38" t="s">
        <v>652</v>
      </c>
      <c r="G11" s="38">
        <v>97</v>
      </c>
      <c r="H11" s="38">
        <v>90</v>
      </c>
      <c r="I11" s="38">
        <v>1800</v>
      </c>
      <c r="J11" s="38">
        <v>90</v>
      </c>
    </row>
    <row r="12" spans="1:10">
      <c r="A12" s="38">
        <v>2</v>
      </c>
      <c r="B12" s="38">
        <v>2025</v>
      </c>
      <c r="C12" s="38" t="s">
        <v>648</v>
      </c>
      <c r="D12" s="38" t="s">
        <v>649</v>
      </c>
      <c r="E12" s="38" t="s">
        <v>653</v>
      </c>
      <c r="G12" s="38">
        <v>100</v>
      </c>
      <c r="H12" s="38">
        <v>120</v>
      </c>
      <c r="I12" s="38">
        <v>1800</v>
      </c>
      <c r="J12" s="38">
        <v>90</v>
      </c>
    </row>
    <row r="13" spans="1:10">
      <c r="A13" s="38">
        <v>2</v>
      </c>
      <c r="B13" s="38">
        <v>2025</v>
      </c>
      <c r="C13" s="38" t="s">
        <v>648</v>
      </c>
      <c r="D13" s="38" t="s">
        <v>649</v>
      </c>
      <c r="E13" s="38" t="s">
        <v>654</v>
      </c>
      <c r="G13" s="38">
        <v>98</v>
      </c>
      <c r="H13" s="38">
        <v>150</v>
      </c>
      <c r="I13" s="38">
        <v>1800</v>
      </c>
      <c r="J13" s="38">
        <v>90</v>
      </c>
    </row>
    <row r="14" spans="1:10">
      <c r="A14" s="38">
        <v>2</v>
      </c>
      <c r="B14" s="38">
        <v>2025</v>
      </c>
      <c r="C14" s="38" t="s">
        <v>648</v>
      </c>
      <c r="D14" s="38" t="s">
        <v>649</v>
      </c>
      <c r="E14" s="38" t="s">
        <v>655</v>
      </c>
      <c r="G14" s="38">
        <v>100</v>
      </c>
      <c r="H14" s="38">
        <v>180</v>
      </c>
      <c r="I14" s="38">
        <v>1800</v>
      </c>
      <c r="J14" s="38">
        <v>90</v>
      </c>
    </row>
    <row r="15" spans="1:10">
      <c r="A15" s="38">
        <v>3</v>
      </c>
      <c r="B15" s="38">
        <v>2025</v>
      </c>
      <c r="C15" s="38" t="s">
        <v>648</v>
      </c>
      <c r="D15" s="38" t="s">
        <v>656</v>
      </c>
      <c r="E15" s="38" t="s">
        <v>657</v>
      </c>
      <c r="G15" s="38">
        <v>100</v>
      </c>
      <c r="H15" s="38">
        <v>0</v>
      </c>
      <c r="I15" s="38">
        <v>1500</v>
      </c>
      <c r="J15" s="38">
        <v>90</v>
      </c>
    </row>
    <row r="16" spans="1:10">
      <c r="A16" s="38">
        <v>3</v>
      </c>
      <c r="B16" s="38">
        <v>2025</v>
      </c>
      <c r="C16" s="38" t="s">
        <v>648</v>
      </c>
      <c r="D16" s="38" t="s">
        <v>656</v>
      </c>
      <c r="E16" s="38" t="s">
        <v>658</v>
      </c>
      <c r="G16" s="38">
        <v>110</v>
      </c>
      <c r="H16" s="38">
        <v>30</v>
      </c>
      <c r="I16" s="38">
        <v>1500</v>
      </c>
      <c r="J16" s="38">
        <v>90</v>
      </c>
    </row>
    <row r="17" spans="1:10">
      <c r="A17" s="38">
        <v>3</v>
      </c>
      <c r="B17" s="38">
        <v>2025</v>
      </c>
      <c r="C17" s="38" t="s">
        <v>648</v>
      </c>
      <c r="D17" s="38" t="s">
        <v>656</v>
      </c>
      <c r="E17" s="38" t="s">
        <v>659</v>
      </c>
      <c r="G17" s="38">
        <v>109</v>
      </c>
      <c r="H17" s="38">
        <v>60</v>
      </c>
      <c r="I17" s="38">
        <v>1500</v>
      </c>
      <c r="J17" s="38">
        <v>90</v>
      </c>
    </row>
    <row r="18" spans="1:10">
      <c r="A18" s="38">
        <v>3</v>
      </c>
      <c r="B18" s="38">
        <v>2025</v>
      </c>
      <c r="C18" s="38" t="s">
        <v>648</v>
      </c>
      <c r="D18" s="38" t="s">
        <v>656</v>
      </c>
      <c r="E18" s="38" t="s">
        <v>660</v>
      </c>
      <c r="G18" s="38">
        <v>107</v>
      </c>
      <c r="H18" s="38">
        <v>90</v>
      </c>
      <c r="I18" s="38">
        <v>1500</v>
      </c>
      <c r="J18" s="38">
        <v>90</v>
      </c>
    </row>
    <row r="19" spans="1:10">
      <c r="A19" s="38">
        <v>3</v>
      </c>
      <c r="B19" s="38">
        <v>2025</v>
      </c>
      <c r="C19" s="38" t="s">
        <v>648</v>
      </c>
      <c r="D19" s="38" t="s">
        <v>656</v>
      </c>
      <c r="E19" s="38" t="s">
        <v>661</v>
      </c>
      <c r="G19" s="38">
        <v>106</v>
      </c>
      <c r="H19" s="38">
        <v>120</v>
      </c>
      <c r="I19" s="38">
        <v>1500</v>
      </c>
      <c r="J19" s="38">
        <v>90</v>
      </c>
    </row>
    <row r="20" spans="1:10">
      <c r="A20" s="38">
        <v>3</v>
      </c>
      <c r="B20" s="38">
        <v>2025</v>
      </c>
      <c r="C20" s="38" t="s">
        <v>648</v>
      </c>
      <c r="D20" s="38" t="s">
        <v>656</v>
      </c>
      <c r="E20" s="38" t="s">
        <v>662</v>
      </c>
      <c r="G20" s="38">
        <v>104</v>
      </c>
      <c r="H20" s="38">
        <v>180</v>
      </c>
      <c r="I20" s="38">
        <v>1500</v>
      </c>
      <c r="J20" s="38">
        <v>90</v>
      </c>
    </row>
    <row r="21" spans="1:10">
      <c r="A21" s="38">
        <v>4</v>
      </c>
      <c r="B21" s="38">
        <v>2025</v>
      </c>
      <c r="C21" s="38" t="s">
        <v>663</v>
      </c>
      <c r="D21" s="38" t="s">
        <v>664</v>
      </c>
      <c r="E21" s="38" t="s">
        <v>665</v>
      </c>
      <c r="G21" s="38">
        <v>100</v>
      </c>
      <c r="H21" s="38">
        <v>0</v>
      </c>
      <c r="I21" s="38">
        <v>1800</v>
      </c>
      <c r="J21" s="38">
        <v>80</v>
      </c>
    </row>
    <row r="22" spans="1:10">
      <c r="A22" s="38">
        <v>4</v>
      </c>
      <c r="B22" s="38">
        <v>2025</v>
      </c>
      <c r="C22" s="38" t="s">
        <v>663</v>
      </c>
      <c r="D22" s="38" t="s">
        <v>664</v>
      </c>
      <c r="E22" s="38" t="s">
        <v>665</v>
      </c>
      <c r="G22" s="38">
        <v>115</v>
      </c>
      <c r="H22" s="38">
        <v>30</v>
      </c>
      <c r="I22" s="38">
        <v>1800</v>
      </c>
      <c r="J22" s="38">
        <v>80</v>
      </c>
    </row>
    <row r="23" spans="1:10">
      <c r="A23" s="38">
        <v>4</v>
      </c>
      <c r="B23" s="38">
        <v>2025</v>
      </c>
      <c r="C23" s="38" t="s">
        <v>663</v>
      </c>
      <c r="D23" s="38" t="s">
        <v>664</v>
      </c>
      <c r="E23" s="38" t="s">
        <v>665</v>
      </c>
      <c r="G23" s="38">
        <v>115</v>
      </c>
      <c r="H23" s="38">
        <v>60</v>
      </c>
      <c r="I23" s="38">
        <v>1800</v>
      </c>
      <c r="J23" s="38">
        <v>80</v>
      </c>
    </row>
    <row r="24" spans="1:10">
      <c r="A24" s="38">
        <v>4</v>
      </c>
      <c r="B24" s="38">
        <v>2025</v>
      </c>
      <c r="C24" s="38" t="s">
        <v>663</v>
      </c>
      <c r="D24" s="38" t="s">
        <v>664</v>
      </c>
      <c r="E24" s="38" t="s">
        <v>665</v>
      </c>
      <c r="G24" s="38">
        <v>113</v>
      </c>
      <c r="H24" s="38">
        <v>90</v>
      </c>
      <c r="I24" s="38">
        <v>1800</v>
      </c>
      <c r="J24" s="38">
        <v>80</v>
      </c>
    </row>
    <row r="25" spans="1:10">
      <c r="A25" s="38">
        <v>4</v>
      </c>
      <c r="B25" s="38">
        <v>2025</v>
      </c>
      <c r="C25" s="38" t="s">
        <v>663</v>
      </c>
      <c r="D25" s="38" t="s">
        <v>664</v>
      </c>
      <c r="E25" s="38" t="s">
        <v>665</v>
      </c>
      <c r="G25" s="38">
        <v>115</v>
      </c>
      <c r="H25" s="38">
        <v>120</v>
      </c>
      <c r="I25" s="38">
        <v>1800</v>
      </c>
      <c r="J25" s="38">
        <v>80</v>
      </c>
    </row>
    <row r="26" spans="1:10">
      <c r="A26" s="38">
        <v>4</v>
      </c>
      <c r="B26" s="38">
        <v>2025</v>
      </c>
      <c r="C26" s="38" t="s">
        <v>663</v>
      </c>
      <c r="D26" s="38" t="s">
        <v>664</v>
      </c>
      <c r="E26" s="38" t="s">
        <v>665</v>
      </c>
      <c r="G26" s="38">
        <v>112</v>
      </c>
      <c r="H26" s="38">
        <v>150</v>
      </c>
      <c r="I26" s="38">
        <v>1800</v>
      </c>
      <c r="J26" s="38">
        <v>80</v>
      </c>
    </row>
    <row r="27" spans="1:10">
      <c r="A27" s="38">
        <v>4</v>
      </c>
      <c r="B27" s="38">
        <v>2025</v>
      </c>
      <c r="C27" s="38" t="s">
        <v>663</v>
      </c>
      <c r="D27" s="38" t="s">
        <v>664</v>
      </c>
      <c r="E27" s="38" t="s">
        <v>665</v>
      </c>
      <c r="G27" s="38">
        <v>111</v>
      </c>
      <c r="H27" s="38">
        <v>180</v>
      </c>
      <c r="I27" s="38">
        <v>1800</v>
      </c>
      <c r="J27" s="38">
        <v>80</v>
      </c>
    </row>
    <row r="28" spans="1:10">
      <c r="A28" s="38">
        <v>5</v>
      </c>
      <c r="B28" s="38">
        <v>2013</v>
      </c>
      <c r="C28" s="38" t="s">
        <v>646</v>
      </c>
      <c r="D28" s="38" t="s">
        <v>666</v>
      </c>
      <c r="E28" s="38" t="s">
        <v>646</v>
      </c>
      <c r="G28" s="38">
        <v>100</v>
      </c>
      <c r="H28" s="38">
        <v>0</v>
      </c>
      <c r="J28" s="38">
        <v>25</v>
      </c>
    </row>
    <row r="29" spans="1:10">
      <c r="A29" s="38">
        <v>5</v>
      </c>
      <c r="B29" s="38">
        <v>2013</v>
      </c>
      <c r="C29" s="38" t="s">
        <v>646</v>
      </c>
      <c r="D29" s="38" t="s">
        <v>666</v>
      </c>
      <c r="E29" s="38" t="s">
        <v>646</v>
      </c>
      <c r="G29" s="38">
        <v>84.3</v>
      </c>
      <c r="H29" s="38">
        <v>7</v>
      </c>
      <c r="J29" s="38">
        <v>25</v>
      </c>
    </row>
    <row r="30" spans="1:10">
      <c r="A30" s="38">
        <v>5</v>
      </c>
      <c r="B30" s="38">
        <v>2013</v>
      </c>
      <c r="C30" s="38" t="s">
        <v>646</v>
      </c>
      <c r="D30" s="38" t="s">
        <v>666</v>
      </c>
      <c r="E30" s="38" t="s">
        <v>646</v>
      </c>
      <c r="G30" s="38">
        <v>76.7</v>
      </c>
      <c r="H30" s="38">
        <v>14</v>
      </c>
      <c r="J30" s="38">
        <v>25</v>
      </c>
    </row>
    <row r="31" spans="1:10">
      <c r="A31" s="38">
        <v>5</v>
      </c>
      <c r="B31" s="38">
        <v>2013</v>
      </c>
      <c r="C31" s="38" t="s">
        <v>646</v>
      </c>
      <c r="D31" s="38" t="s">
        <v>666</v>
      </c>
      <c r="E31" s="38" t="s">
        <v>646</v>
      </c>
      <c r="G31" s="38">
        <v>75.900000000000006</v>
      </c>
      <c r="H31" s="38">
        <v>21</v>
      </c>
      <c r="J31" s="38">
        <v>25</v>
      </c>
    </row>
    <row r="32" spans="1:10">
      <c r="A32" s="38">
        <v>5</v>
      </c>
      <c r="B32" s="38">
        <v>2013</v>
      </c>
      <c r="C32" s="38" t="s">
        <v>646</v>
      </c>
      <c r="D32" s="38" t="s">
        <v>666</v>
      </c>
      <c r="E32" s="38" t="s">
        <v>646</v>
      </c>
      <c r="G32" s="38">
        <v>67.099999999999994</v>
      </c>
      <c r="H32" s="38">
        <v>29</v>
      </c>
      <c r="J32" s="38">
        <v>25</v>
      </c>
    </row>
    <row r="33" spans="1:10">
      <c r="A33" s="38">
        <v>5</v>
      </c>
      <c r="B33" s="38">
        <v>2013</v>
      </c>
      <c r="C33" s="38" t="s">
        <v>646</v>
      </c>
      <c r="D33" s="38" t="s">
        <v>666</v>
      </c>
      <c r="E33" s="38" t="s">
        <v>646</v>
      </c>
      <c r="G33" s="38">
        <v>60.9</v>
      </c>
      <c r="H33" s="38">
        <v>42</v>
      </c>
      <c r="J33" s="38">
        <v>25</v>
      </c>
    </row>
    <row r="34" spans="1:10">
      <c r="A34" s="38">
        <v>5</v>
      </c>
      <c r="B34" s="38">
        <v>2013</v>
      </c>
      <c r="C34" s="38" t="s">
        <v>646</v>
      </c>
      <c r="D34" s="38" t="s">
        <v>666</v>
      </c>
      <c r="E34" s="38" t="s">
        <v>646</v>
      </c>
      <c r="G34" s="38">
        <v>58.9</v>
      </c>
      <c r="H34" s="38">
        <v>56</v>
      </c>
      <c r="J34" s="38">
        <v>25</v>
      </c>
    </row>
    <row r="35" spans="1:10">
      <c r="A35" s="38">
        <v>5</v>
      </c>
      <c r="B35" s="38">
        <v>2013</v>
      </c>
      <c r="C35" s="38" t="s">
        <v>646</v>
      </c>
      <c r="D35" s="38" t="s">
        <v>666</v>
      </c>
      <c r="E35" s="38" t="s">
        <v>646</v>
      </c>
      <c r="G35" s="38">
        <v>51.3</v>
      </c>
      <c r="H35" s="38">
        <v>70</v>
      </c>
      <c r="J35" s="38">
        <v>25</v>
      </c>
    </row>
    <row r="36" spans="1:10">
      <c r="A36" s="38">
        <v>5</v>
      </c>
      <c r="B36" s="38">
        <v>2013</v>
      </c>
      <c r="C36" s="38" t="s">
        <v>646</v>
      </c>
      <c r="D36" s="38" t="s">
        <v>666</v>
      </c>
      <c r="E36" s="38" t="s">
        <v>646</v>
      </c>
      <c r="G36" s="38">
        <v>49.5</v>
      </c>
      <c r="H36" s="38">
        <v>84</v>
      </c>
      <c r="J36" s="38">
        <v>25</v>
      </c>
    </row>
    <row r="37" spans="1:10">
      <c r="A37" s="38">
        <v>5</v>
      </c>
      <c r="B37" s="38">
        <v>2013</v>
      </c>
      <c r="C37" s="38" t="s">
        <v>646</v>
      </c>
      <c r="D37" s="38" t="s">
        <v>666</v>
      </c>
      <c r="E37" s="38" t="s">
        <v>646</v>
      </c>
      <c r="G37" s="38">
        <v>43.4</v>
      </c>
      <c r="H37" s="38">
        <v>98</v>
      </c>
      <c r="J37" s="38">
        <v>25</v>
      </c>
    </row>
    <row r="38" spans="1:10">
      <c r="A38" s="38">
        <v>5</v>
      </c>
      <c r="B38" s="38">
        <v>2013</v>
      </c>
      <c r="C38" s="38" t="s">
        <v>646</v>
      </c>
      <c r="D38" s="38" t="s">
        <v>666</v>
      </c>
      <c r="E38" s="38" t="s">
        <v>646</v>
      </c>
      <c r="G38" s="38">
        <v>41.7</v>
      </c>
      <c r="H38" s="38">
        <v>112</v>
      </c>
      <c r="J38" s="38">
        <v>25</v>
      </c>
    </row>
    <row r="39" spans="1:10">
      <c r="A39" s="38">
        <v>5</v>
      </c>
      <c r="B39" s="38">
        <v>2013</v>
      </c>
      <c r="C39" s="38" t="s">
        <v>646</v>
      </c>
      <c r="D39" s="38" t="s">
        <v>666</v>
      </c>
      <c r="E39" s="38" t="s">
        <v>646</v>
      </c>
      <c r="G39" s="38">
        <v>40.9</v>
      </c>
      <c r="H39" s="38">
        <v>180</v>
      </c>
      <c r="J39" s="38">
        <v>25</v>
      </c>
    </row>
    <row r="40" spans="1:10">
      <c r="A40" s="38">
        <v>6</v>
      </c>
      <c r="B40" s="38">
        <v>2013</v>
      </c>
      <c r="C40" s="38" t="s">
        <v>646</v>
      </c>
      <c r="D40" s="38" t="s">
        <v>667</v>
      </c>
      <c r="E40" s="38" t="s">
        <v>646</v>
      </c>
      <c r="G40" s="38">
        <v>100</v>
      </c>
      <c r="H40" s="38">
        <v>0</v>
      </c>
      <c r="J40" s="38">
        <v>25</v>
      </c>
    </row>
    <row r="41" spans="1:10">
      <c r="A41" s="38">
        <v>6</v>
      </c>
      <c r="B41" s="38">
        <v>2013</v>
      </c>
      <c r="C41" s="38" t="s">
        <v>646</v>
      </c>
      <c r="D41" s="38" t="s">
        <v>667</v>
      </c>
      <c r="E41" s="38" t="s">
        <v>646</v>
      </c>
      <c r="G41" s="38">
        <v>78.8</v>
      </c>
      <c r="H41" s="38">
        <v>7</v>
      </c>
      <c r="J41" s="38">
        <v>25</v>
      </c>
    </row>
    <row r="42" spans="1:10">
      <c r="A42" s="38">
        <v>6</v>
      </c>
      <c r="B42" s="38">
        <v>2013</v>
      </c>
      <c r="C42" s="38" t="s">
        <v>646</v>
      </c>
      <c r="D42" s="38" t="s">
        <v>667</v>
      </c>
      <c r="E42" s="38" t="s">
        <v>646</v>
      </c>
      <c r="G42" s="38">
        <v>67.2</v>
      </c>
      <c r="H42" s="38">
        <v>14</v>
      </c>
      <c r="J42" s="38">
        <v>25</v>
      </c>
    </row>
    <row r="43" spans="1:10">
      <c r="A43" s="38">
        <v>6</v>
      </c>
      <c r="B43" s="38">
        <v>2013</v>
      </c>
      <c r="C43" s="38" t="s">
        <v>646</v>
      </c>
      <c r="D43" s="38" t="s">
        <v>667</v>
      </c>
      <c r="E43" s="38" t="s">
        <v>646</v>
      </c>
      <c r="G43" s="38">
        <v>61.9</v>
      </c>
      <c r="H43" s="38">
        <v>21</v>
      </c>
      <c r="J43" s="38">
        <v>25</v>
      </c>
    </row>
    <row r="44" spans="1:10">
      <c r="A44" s="38">
        <v>6</v>
      </c>
      <c r="B44" s="38">
        <v>2013</v>
      </c>
      <c r="C44" s="38" t="s">
        <v>646</v>
      </c>
      <c r="D44" s="38" t="s">
        <v>667</v>
      </c>
      <c r="E44" s="38" t="s">
        <v>646</v>
      </c>
      <c r="G44" s="38">
        <v>44.3</v>
      </c>
      <c r="H44" s="38">
        <v>29</v>
      </c>
      <c r="J44" s="38">
        <v>25</v>
      </c>
    </row>
    <row r="45" spans="1:10">
      <c r="A45" s="38">
        <v>6</v>
      </c>
      <c r="B45" s="38">
        <v>2013</v>
      </c>
      <c r="C45" s="38" t="s">
        <v>646</v>
      </c>
      <c r="D45" s="38" t="s">
        <v>667</v>
      </c>
      <c r="E45" s="38" t="s">
        <v>646</v>
      </c>
      <c r="G45" s="38">
        <v>44.9</v>
      </c>
      <c r="H45" s="38">
        <v>42</v>
      </c>
      <c r="J45" s="38">
        <v>25</v>
      </c>
    </row>
    <row r="46" spans="1:10">
      <c r="A46" s="38">
        <v>6</v>
      </c>
      <c r="B46" s="38">
        <v>2013</v>
      </c>
      <c r="C46" s="38" t="s">
        <v>646</v>
      </c>
      <c r="D46" s="38" t="s">
        <v>667</v>
      </c>
      <c r="E46" s="38" t="s">
        <v>646</v>
      </c>
      <c r="G46" s="38">
        <v>39.1</v>
      </c>
      <c r="H46" s="38">
        <v>56</v>
      </c>
      <c r="J46" s="38">
        <v>25</v>
      </c>
    </row>
    <row r="47" spans="1:10">
      <c r="A47" s="38">
        <v>6</v>
      </c>
      <c r="B47" s="38">
        <v>2013</v>
      </c>
      <c r="C47" s="38" t="s">
        <v>646</v>
      </c>
      <c r="D47" s="38" t="s">
        <v>667</v>
      </c>
      <c r="E47" s="38" t="s">
        <v>646</v>
      </c>
      <c r="G47" s="38">
        <v>37.4</v>
      </c>
      <c r="H47" s="38">
        <v>70</v>
      </c>
      <c r="J47" s="38">
        <v>25</v>
      </c>
    </row>
    <row r="48" spans="1:10">
      <c r="A48" s="38">
        <v>6</v>
      </c>
      <c r="B48" s="38">
        <v>2013</v>
      </c>
      <c r="C48" s="38" t="s">
        <v>646</v>
      </c>
      <c r="D48" s="38" t="s">
        <v>667</v>
      </c>
      <c r="E48" s="38" t="s">
        <v>646</v>
      </c>
      <c r="G48" s="38">
        <v>35.799999999999997</v>
      </c>
      <c r="H48" s="38">
        <v>84</v>
      </c>
      <c r="J48" s="38">
        <v>25</v>
      </c>
    </row>
    <row r="49" spans="1:10">
      <c r="A49" s="38">
        <v>6</v>
      </c>
      <c r="B49" s="38">
        <v>2013</v>
      </c>
      <c r="C49" s="38" t="s">
        <v>646</v>
      </c>
      <c r="D49" s="38" t="s">
        <v>667</v>
      </c>
      <c r="E49" s="38" t="s">
        <v>646</v>
      </c>
      <c r="G49" s="38">
        <v>32.900000000000006</v>
      </c>
      <c r="H49" s="38">
        <v>98</v>
      </c>
      <c r="J49" s="38">
        <v>25</v>
      </c>
    </row>
    <row r="50" spans="1:10">
      <c r="A50" s="38">
        <v>6</v>
      </c>
      <c r="B50" s="38">
        <v>2013</v>
      </c>
      <c r="C50" s="38" t="s">
        <v>646</v>
      </c>
      <c r="D50" s="38" t="s">
        <v>667</v>
      </c>
      <c r="E50" s="38" t="s">
        <v>646</v>
      </c>
      <c r="G50" s="38">
        <v>31.5</v>
      </c>
      <c r="H50" s="38">
        <v>112</v>
      </c>
      <c r="J50" s="38">
        <v>25</v>
      </c>
    </row>
    <row r="51" spans="1:10">
      <c r="A51" s="38">
        <v>6</v>
      </c>
      <c r="B51" s="38">
        <v>2013</v>
      </c>
      <c r="C51" s="38" t="s">
        <v>646</v>
      </c>
      <c r="D51" s="38" t="s">
        <v>667</v>
      </c>
      <c r="E51" s="38" t="s">
        <v>646</v>
      </c>
      <c r="G51" s="38">
        <v>31.5</v>
      </c>
      <c r="H51" s="38">
        <v>180</v>
      </c>
      <c r="J51" s="38">
        <v>25</v>
      </c>
    </row>
    <row r="52" spans="1:10">
      <c r="A52" s="38">
        <v>5</v>
      </c>
      <c r="B52" s="38">
        <v>2013</v>
      </c>
      <c r="C52" s="38" t="s">
        <v>646</v>
      </c>
      <c r="D52" s="38" t="s">
        <v>668</v>
      </c>
      <c r="E52" s="38" t="s">
        <v>646</v>
      </c>
      <c r="G52" s="38">
        <v>100</v>
      </c>
      <c r="H52" s="38">
        <v>0</v>
      </c>
      <c r="J52" s="38">
        <v>25</v>
      </c>
    </row>
    <row r="53" spans="1:10">
      <c r="A53" s="38">
        <v>5</v>
      </c>
      <c r="B53" s="38">
        <v>2013</v>
      </c>
      <c r="C53" s="38" t="s">
        <v>646</v>
      </c>
      <c r="D53" s="38" t="s">
        <v>668</v>
      </c>
      <c r="E53" s="38" t="s">
        <v>646</v>
      </c>
      <c r="G53" s="38">
        <v>73.3</v>
      </c>
      <c r="H53" s="38">
        <v>7</v>
      </c>
      <c r="J53" s="38">
        <v>25</v>
      </c>
    </row>
    <row r="54" spans="1:10">
      <c r="A54" s="38">
        <v>5</v>
      </c>
      <c r="B54" s="38">
        <v>2013</v>
      </c>
      <c r="C54" s="38" t="s">
        <v>646</v>
      </c>
      <c r="D54" s="38" t="s">
        <v>668</v>
      </c>
      <c r="E54" s="38" t="s">
        <v>646</v>
      </c>
      <c r="G54" s="38">
        <v>59.8</v>
      </c>
      <c r="H54" s="38">
        <v>14</v>
      </c>
      <c r="J54" s="38">
        <v>25</v>
      </c>
    </row>
    <row r="55" spans="1:10">
      <c r="A55" s="38">
        <v>5</v>
      </c>
      <c r="B55" s="38">
        <v>2013</v>
      </c>
      <c r="C55" s="38" t="s">
        <v>646</v>
      </c>
      <c r="D55" s="38" t="s">
        <v>668</v>
      </c>
      <c r="E55" s="38" t="s">
        <v>646</v>
      </c>
      <c r="G55" s="38">
        <v>39.700000000000003</v>
      </c>
      <c r="H55" s="38">
        <v>21</v>
      </c>
      <c r="J55" s="38">
        <v>25</v>
      </c>
    </row>
    <row r="56" spans="1:10">
      <c r="A56" s="38">
        <v>5</v>
      </c>
      <c r="B56" s="38">
        <v>2013</v>
      </c>
      <c r="C56" s="38" t="s">
        <v>646</v>
      </c>
      <c r="D56" s="38" t="s">
        <v>668</v>
      </c>
      <c r="E56" s="38" t="s">
        <v>646</v>
      </c>
      <c r="G56" s="38">
        <v>33.700000000000003</v>
      </c>
      <c r="H56" s="38">
        <v>29</v>
      </c>
      <c r="J56" s="38">
        <v>25</v>
      </c>
    </row>
    <row r="57" spans="1:10">
      <c r="A57" s="38">
        <v>5</v>
      </c>
      <c r="B57" s="38">
        <v>2013</v>
      </c>
      <c r="C57" s="38" t="s">
        <v>646</v>
      </c>
      <c r="D57" s="38" t="s">
        <v>668</v>
      </c>
      <c r="E57" s="38" t="s">
        <v>646</v>
      </c>
      <c r="G57" s="38">
        <v>30.900000000000006</v>
      </c>
      <c r="H57" s="38">
        <v>42</v>
      </c>
      <c r="J57" s="38">
        <v>25</v>
      </c>
    </row>
    <row r="58" spans="1:10">
      <c r="A58" s="38">
        <v>5</v>
      </c>
      <c r="B58" s="38">
        <v>2013</v>
      </c>
      <c r="C58" s="38" t="s">
        <v>646</v>
      </c>
      <c r="D58" s="38" t="s">
        <v>668</v>
      </c>
      <c r="E58" s="38" t="s">
        <v>646</v>
      </c>
      <c r="G58" s="38">
        <v>26.400000000000006</v>
      </c>
      <c r="H58" s="38">
        <v>56</v>
      </c>
      <c r="J58" s="38">
        <v>25</v>
      </c>
    </row>
    <row r="59" spans="1:10">
      <c r="A59" s="38">
        <v>5</v>
      </c>
      <c r="B59" s="38">
        <v>2013</v>
      </c>
      <c r="C59" s="38" t="s">
        <v>646</v>
      </c>
      <c r="D59" s="38" t="s">
        <v>668</v>
      </c>
      <c r="E59" s="38" t="s">
        <v>646</v>
      </c>
      <c r="G59" s="38">
        <v>24.5</v>
      </c>
      <c r="H59" s="38">
        <v>70</v>
      </c>
      <c r="J59" s="38">
        <v>25</v>
      </c>
    </row>
    <row r="60" spans="1:10">
      <c r="A60" s="38">
        <v>5</v>
      </c>
      <c r="B60" s="38">
        <v>2013</v>
      </c>
      <c r="C60" s="38" t="s">
        <v>646</v>
      </c>
      <c r="D60" s="38" t="s">
        <v>668</v>
      </c>
      <c r="E60" s="38" t="s">
        <v>646</v>
      </c>
      <c r="G60" s="38">
        <v>20</v>
      </c>
      <c r="H60" s="38">
        <v>84</v>
      </c>
      <c r="J60" s="38">
        <v>25</v>
      </c>
    </row>
    <row r="61" spans="1:10">
      <c r="A61" s="38">
        <v>5</v>
      </c>
      <c r="B61" s="38">
        <v>2013</v>
      </c>
      <c r="C61" s="38" t="s">
        <v>646</v>
      </c>
      <c r="D61" s="38" t="s">
        <v>668</v>
      </c>
      <c r="E61" s="38" t="s">
        <v>646</v>
      </c>
      <c r="G61" s="38">
        <v>11.299999999999997</v>
      </c>
      <c r="H61" s="38">
        <v>98</v>
      </c>
      <c r="J61" s="38">
        <v>25</v>
      </c>
    </row>
    <row r="62" spans="1:10">
      <c r="A62" s="38">
        <v>5</v>
      </c>
      <c r="B62" s="38">
        <v>2013</v>
      </c>
      <c r="C62" s="38" t="s">
        <v>646</v>
      </c>
      <c r="D62" s="38" t="s">
        <v>668</v>
      </c>
      <c r="E62" s="38" t="s">
        <v>646</v>
      </c>
      <c r="G62" s="38">
        <v>18.5</v>
      </c>
      <c r="H62" s="38">
        <v>112</v>
      </c>
      <c r="J62" s="38">
        <v>25</v>
      </c>
    </row>
    <row r="63" spans="1:10">
      <c r="A63" s="38">
        <v>5</v>
      </c>
      <c r="B63" s="38">
        <v>2013</v>
      </c>
      <c r="C63" s="38" t="s">
        <v>646</v>
      </c>
      <c r="D63" s="38" t="s">
        <v>668</v>
      </c>
      <c r="E63" s="38" t="s">
        <v>646</v>
      </c>
      <c r="G63" s="38">
        <v>0</v>
      </c>
      <c r="H63" s="38">
        <v>180</v>
      </c>
      <c r="J63" s="38">
        <v>25</v>
      </c>
    </row>
    <row r="64" spans="1:10">
      <c r="A64" s="38">
        <v>6</v>
      </c>
      <c r="B64" s="38">
        <v>2013</v>
      </c>
      <c r="C64" s="38" t="s">
        <v>646</v>
      </c>
      <c r="D64" s="38" t="s">
        <v>669</v>
      </c>
      <c r="E64" s="38" t="s">
        <v>646</v>
      </c>
      <c r="G64" s="38">
        <v>100</v>
      </c>
      <c r="H64" s="38">
        <v>0</v>
      </c>
      <c r="J64" s="38">
        <v>25</v>
      </c>
    </row>
    <row r="65" spans="1:10">
      <c r="A65" s="38">
        <v>6</v>
      </c>
      <c r="B65" s="38">
        <v>2013</v>
      </c>
      <c r="C65" s="38" t="s">
        <v>646</v>
      </c>
      <c r="D65" s="38" t="s">
        <v>669</v>
      </c>
      <c r="E65" s="38" t="s">
        <v>646</v>
      </c>
      <c r="G65" s="38">
        <v>41.1</v>
      </c>
      <c r="H65" s="38">
        <v>7</v>
      </c>
      <c r="J65" s="38">
        <v>25</v>
      </c>
    </row>
    <row r="66" spans="1:10">
      <c r="A66" s="38">
        <v>6</v>
      </c>
      <c r="B66" s="38">
        <v>2013</v>
      </c>
      <c r="C66" s="38" t="s">
        <v>646</v>
      </c>
      <c r="D66" s="38" t="s">
        <v>669</v>
      </c>
      <c r="E66" s="38" t="s">
        <v>646</v>
      </c>
      <c r="G66" s="38">
        <v>28.099999999999994</v>
      </c>
      <c r="H66" s="38">
        <v>14</v>
      </c>
      <c r="J66" s="38">
        <v>25</v>
      </c>
    </row>
    <row r="67" spans="1:10">
      <c r="A67" s="38">
        <v>6</v>
      </c>
      <c r="B67" s="38">
        <v>2013</v>
      </c>
      <c r="C67" s="38" t="s">
        <v>646</v>
      </c>
      <c r="D67" s="38" t="s">
        <v>669</v>
      </c>
      <c r="E67" s="38" t="s">
        <v>646</v>
      </c>
      <c r="G67" s="38">
        <v>16.700000000000003</v>
      </c>
      <c r="H67" s="38">
        <v>21</v>
      </c>
      <c r="J67" s="38">
        <v>25</v>
      </c>
    </row>
    <row r="68" spans="1:10">
      <c r="A68" s="38">
        <v>6</v>
      </c>
      <c r="B68" s="38">
        <v>2013</v>
      </c>
      <c r="C68" s="38" t="s">
        <v>646</v>
      </c>
      <c r="D68" s="38" t="s">
        <v>669</v>
      </c>
      <c r="E68" s="38" t="s">
        <v>646</v>
      </c>
      <c r="G68" s="38">
        <v>10.599999999999994</v>
      </c>
      <c r="H68" s="38">
        <v>29</v>
      </c>
      <c r="J68" s="38">
        <v>25</v>
      </c>
    </row>
    <row r="69" spans="1:10">
      <c r="A69" s="38">
        <v>6</v>
      </c>
      <c r="B69" s="38">
        <v>2013</v>
      </c>
      <c r="C69" s="38" t="s">
        <v>646</v>
      </c>
      <c r="D69" s="38" t="s">
        <v>669</v>
      </c>
      <c r="E69" s="38" t="s">
        <v>646</v>
      </c>
      <c r="G69" s="38">
        <v>9.2999999999999972</v>
      </c>
      <c r="H69" s="38">
        <v>42</v>
      </c>
      <c r="J69" s="38">
        <v>25</v>
      </c>
    </row>
    <row r="70" spans="1:10">
      <c r="A70" s="38">
        <v>6</v>
      </c>
      <c r="B70" s="38">
        <v>2013</v>
      </c>
      <c r="C70" s="38" t="s">
        <v>646</v>
      </c>
      <c r="D70" s="38" t="s">
        <v>669</v>
      </c>
      <c r="E70" s="38" t="s">
        <v>646</v>
      </c>
      <c r="G70" s="38">
        <v>7</v>
      </c>
      <c r="H70" s="38">
        <v>56</v>
      </c>
      <c r="J70" s="38">
        <v>25</v>
      </c>
    </row>
    <row r="71" spans="1:10">
      <c r="A71" s="38">
        <v>6</v>
      </c>
      <c r="B71" s="38">
        <v>2013</v>
      </c>
      <c r="C71" s="38" t="s">
        <v>646</v>
      </c>
      <c r="D71" s="38" t="s">
        <v>669</v>
      </c>
      <c r="E71" s="38" t="s">
        <v>646</v>
      </c>
      <c r="G71" s="38">
        <v>12.700000000000003</v>
      </c>
      <c r="H71" s="38">
        <v>70</v>
      </c>
      <c r="J71" s="38">
        <v>25</v>
      </c>
    </row>
    <row r="72" spans="1:10">
      <c r="A72" s="38">
        <v>6</v>
      </c>
      <c r="B72" s="38">
        <v>2013</v>
      </c>
      <c r="C72" s="38" t="s">
        <v>646</v>
      </c>
      <c r="D72" s="38" t="s">
        <v>669</v>
      </c>
      <c r="E72" s="38" t="s">
        <v>646</v>
      </c>
      <c r="G72" s="38">
        <v>9.2999999999999972</v>
      </c>
      <c r="H72" s="38">
        <v>84</v>
      </c>
      <c r="J72" s="38">
        <v>25</v>
      </c>
    </row>
    <row r="73" spans="1:10">
      <c r="A73" s="38">
        <v>6</v>
      </c>
      <c r="B73" s="38">
        <v>2013</v>
      </c>
      <c r="C73" s="38" t="s">
        <v>646</v>
      </c>
      <c r="D73" s="38" t="s">
        <v>669</v>
      </c>
      <c r="E73" s="38" t="s">
        <v>646</v>
      </c>
      <c r="G73" s="38">
        <v>7.7000000000000028</v>
      </c>
      <c r="H73" s="38">
        <v>98</v>
      </c>
      <c r="J73" s="38">
        <v>25</v>
      </c>
    </row>
    <row r="74" spans="1:10">
      <c r="A74" s="38">
        <v>6</v>
      </c>
      <c r="B74" s="38">
        <v>2013</v>
      </c>
      <c r="C74" s="38" t="s">
        <v>646</v>
      </c>
      <c r="D74" s="38" t="s">
        <v>669</v>
      </c>
      <c r="E74" s="38" t="s">
        <v>646</v>
      </c>
      <c r="G74" s="38">
        <v>7</v>
      </c>
      <c r="H74" s="38">
        <v>112</v>
      </c>
      <c r="J74" s="38">
        <v>25</v>
      </c>
    </row>
    <row r="75" spans="1:10">
      <c r="A75" s="38">
        <v>6</v>
      </c>
      <c r="B75" s="38">
        <v>2013</v>
      </c>
      <c r="C75" s="38" t="s">
        <v>646</v>
      </c>
      <c r="D75" s="38" t="s">
        <v>669</v>
      </c>
      <c r="E75" s="38" t="s">
        <v>646</v>
      </c>
      <c r="G75" s="38">
        <v>0</v>
      </c>
      <c r="H75" s="38">
        <v>180</v>
      </c>
      <c r="J75" s="38">
        <v>25</v>
      </c>
    </row>
    <row r="76" spans="1:10">
      <c r="A76" s="38">
        <v>7</v>
      </c>
      <c r="B76" s="38">
        <v>2013</v>
      </c>
      <c r="C76" s="38" t="s">
        <v>646</v>
      </c>
      <c r="D76" s="38" t="s">
        <v>670</v>
      </c>
      <c r="E76" s="38" t="s">
        <v>646</v>
      </c>
      <c r="G76" s="38">
        <v>100</v>
      </c>
      <c r="H76" s="38">
        <v>0</v>
      </c>
      <c r="J76" s="38">
        <v>25</v>
      </c>
    </row>
    <row r="77" spans="1:10">
      <c r="A77" s="38">
        <v>7</v>
      </c>
      <c r="B77" s="38">
        <v>2013</v>
      </c>
      <c r="C77" s="38" t="s">
        <v>646</v>
      </c>
      <c r="D77" s="38" t="s">
        <v>670</v>
      </c>
      <c r="E77" s="38" t="s">
        <v>646</v>
      </c>
      <c r="G77" s="38">
        <v>146.30000000000001</v>
      </c>
      <c r="H77" s="38">
        <v>7</v>
      </c>
      <c r="J77" s="38">
        <v>25</v>
      </c>
    </row>
    <row r="78" spans="1:10">
      <c r="A78" s="38">
        <v>7</v>
      </c>
      <c r="B78" s="38">
        <v>2013</v>
      </c>
      <c r="C78" s="38" t="s">
        <v>646</v>
      </c>
      <c r="D78" s="38" t="s">
        <v>670</v>
      </c>
      <c r="E78" s="38" t="s">
        <v>646</v>
      </c>
      <c r="G78" s="38">
        <v>140.1</v>
      </c>
      <c r="H78" s="38">
        <v>14</v>
      </c>
      <c r="J78" s="38">
        <v>25</v>
      </c>
    </row>
    <row r="79" spans="1:10">
      <c r="A79" s="38">
        <v>7</v>
      </c>
      <c r="B79" s="38">
        <v>2013</v>
      </c>
      <c r="C79" s="38" t="s">
        <v>646</v>
      </c>
      <c r="D79" s="38" t="s">
        <v>670</v>
      </c>
      <c r="E79" s="38" t="s">
        <v>646</v>
      </c>
      <c r="G79" s="38">
        <v>122.9</v>
      </c>
      <c r="H79" s="38">
        <v>21</v>
      </c>
      <c r="J79" s="38">
        <v>25</v>
      </c>
    </row>
    <row r="80" spans="1:10">
      <c r="A80" s="38">
        <v>7</v>
      </c>
      <c r="B80" s="38">
        <v>2013</v>
      </c>
      <c r="C80" s="38" t="s">
        <v>646</v>
      </c>
      <c r="D80" s="38" t="s">
        <v>670</v>
      </c>
      <c r="E80" s="38" t="s">
        <v>646</v>
      </c>
      <c r="G80" s="38">
        <v>145</v>
      </c>
      <c r="H80" s="38">
        <v>29</v>
      </c>
      <c r="J80" s="38">
        <v>25</v>
      </c>
    </row>
    <row r="81" spans="1:10">
      <c r="A81" s="38">
        <v>7</v>
      </c>
      <c r="B81" s="38">
        <v>2013</v>
      </c>
      <c r="C81" s="38" t="s">
        <v>646</v>
      </c>
      <c r="D81" s="38" t="s">
        <v>670</v>
      </c>
      <c r="E81" s="38" t="s">
        <v>646</v>
      </c>
      <c r="G81" s="38">
        <v>168.9</v>
      </c>
      <c r="H81" s="38">
        <v>42</v>
      </c>
      <c r="J81" s="38">
        <v>25</v>
      </c>
    </row>
    <row r="82" spans="1:10">
      <c r="A82" s="38">
        <v>7</v>
      </c>
      <c r="B82" s="38">
        <v>2013</v>
      </c>
      <c r="C82" s="38" t="s">
        <v>646</v>
      </c>
      <c r="D82" s="38" t="s">
        <v>670</v>
      </c>
      <c r="E82" s="38" t="s">
        <v>646</v>
      </c>
      <c r="G82" s="38">
        <v>177.4</v>
      </c>
      <c r="H82" s="38">
        <v>56</v>
      </c>
      <c r="J82" s="38">
        <v>25</v>
      </c>
    </row>
    <row r="83" spans="1:10">
      <c r="A83" s="38">
        <v>7</v>
      </c>
      <c r="B83" s="38">
        <v>2013</v>
      </c>
      <c r="C83" s="38" t="s">
        <v>646</v>
      </c>
      <c r="D83" s="38" t="s">
        <v>670</v>
      </c>
      <c r="E83" s="38" t="s">
        <v>646</v>
      </c>
      <c r="G83" s="38">
        <v>200.3</v>
      </c>
      <c r="H83" s="38">
        <v>70</v>
      </c>
      <c r="J83" s="38">
        <v>25</v>
      </c>
    </row>
    <row r="84" spans="1:10">
      <c r="A84" s="38">
        <v>7</v>
      </c>
      <c r="B84" s="38">
        <v>2013</v>
      </c>
      <c r="C84" s="38" t="s">
        <v>646</v>
      </c>
      <c r="D84" s="38" t="s">
        <v>670</v>
      </c>
      <c r="E84" s="38" t="s">
        <v>646</v>
      </c>
      <c r="G84" s="38">
        <v>203.3</v>
      </c>
      <c r="H84" s="38">
        <v>84</v>
      </c>
      <c r="J84" s="38">
        <v>25</v>
      </c>
    </row>
    <row r="85" spans="1:10">
      <c r="A85" s="38">
        <v>7</v>
      </c>
      <c r="B85" s="38">
        <v>2013</v>
      </c>
      <c r="C85" s="38" t="s">
        <v>646</v>
      </c>
      <c r="D85" s="38" t="s">
        <v>670</v>
      </c>
      <c r="E85" s="38" t="s">
        <v>646</v>
      </c>
      <c r="G85" s="38">
        <v>191.5</v>
      </c>
      <c r="H85" s="38">
        <v>98</v>
      </c>
      <c r="J85" s="38">
        <v>25</v>
      </c>
    </row>
    <row r="86" spans="1:10">
      <c r="A86" s="38">
        <v>7</v>
      </c>
      <c r="B86" s="38">
        <v>2013</v>
      </c>
      <c r="C86" s="38" t="s">
        <v>646</v>
      </c>
      <c r="D86" s="38" t="s">
        <v>670</v>
      </c>
      <c r="E86" s="38" t="s">
        <v>646</v>
      </c>
      <c r="G86" s="38">
        <v>183</v>
      </c>
      <c r="H86" s="38">
        <v>112</v>
      </c>
      <c r="J86" s="38">
        <v>25</v>
      </c>
    </row>
    <row r="87" spans="1:10">
      <c r="A87" s="38">
        <v>7</v>
      </c>
      <c r="B87" s="38">
        <v>2013</v>
      </c>
      <c r="C87" s="38" t="s">
        <v>646</v>
      </c>
      <c r="D87" s="38" t="s">
        <v>670</v>
      </c>
      <c r="E87" s="38" t="s">
        <v>646</v>
      </c>
      <c r="G87" s="38">
        <v>0</v>
      </c>
      <c r="H87" s="38">
        <v>180</v>
      </c>
      <c r="J87" s="38">
        <v>25</v>
      </c>
    </row>
    <row r="88" spans="1:10">
      <c r="A88" s="38">
        <v>8</v>
      </c>
      <c r="B88" s="38">
        <v>2003</v>
      </c>
      <c r="C88" s="38" t="s">
        <v>646</v>
      </c>
      <c r="D88" s="38" t="s">
        <v>671</v>
      </c>
      <c r="E88" s="38" t="s">
        <v>646</v>
      </c>
      <c r="F88" s="38">
        <v>3.2</v>
      </c>
      <c r="G88" s="38">
        <v>100</v>
      </c>
      <c r="H88" s="38">
        <v>1</v>
      </c>
      <c r="J88" s="38">
        <v>30</v>
      </c>
    </row>
    <row r="89" spans="1:10">
      <c r="A89" s="38">
        <v>8</v>
      </c>
      <c r="B89" s="38">
        <v>2003</v>
      </c>
      <c r="C89" s="38" t="s">
        <v>646</v>
      </c>
      <c r="D89" s="38" t="s">
        <v>671</v>
      </c>
      <c r="E89" s="38" t="s">
        <v>646</v>
      </c>
      <c r="F89" s="38">
        <v>1.1000000000000001</v>
      </c>
      <c r="G89" s="38">
        <v>65.625</v>
      </c>
      <c r="H89" s="38">
        <v>4</v>
      </c>
      <c r="J89" s="38">
        <v>30</v>
      </c>
    </row>
    <row r="90" spans="1:10">
      <c r="A90" s="38">
        <v>8</v>
      </c>
      <c r="B90" s="38">
        <v>2003</v>
      </c>
      <c r="C90" s="38" t="s">
        <v>646</v>
      </c>
      <c r="D90" s="38" t="s">
        <v>671</v>
      </c>
      <c r="E90" s="38" t="s">
        <v>646</v>
      </c>
      <c r="F90" s="38">
        <v>0.9</v>
      </c>
      <c r="G90" s="38">
        <v>18.181818181818183</v>
      </c>
      <c r="H90" s="38">
        <v>7</v>
      </c>
      <c r="J90" s="38">
        <v>30</v>
      </c>
    </row>
    <row r="91" spans="1:10">
      <c r="A91" s="38">
        <v>9</v>
      </c>
      <c r="B91" s="38">
        <v>2003</v>
      </c>
      <c r="C91" s="38" t="s">
        <v>646</v>
      </c>
      <c r="D91" s="38" t="s">
        <v>672</v>
      </c>
      <c r="E91" s="38" t="s">
        <v>646</v>
      </c>
      <c r="F91" s="38">
        <v>7</v>
      </c>
      <c r="G91" s="38">
        <v>100</v>
      </c>
      <c r="H91" s="38">
        <v>1</v>
      </c>
      <c r="I91" s="38">
        <v>750</v>
      </c>
      <c r="J91" s="38">
        <v>30</v>
      </c>
    </row>
    <row r="92" spans="1:10">
      <c r="A92" s="38">
        <v>9</v>
      </c>
      <c r="B92" s="38">
        <v>2003</v>
      </c>
      <c r="C92" s="38" t="s">
        <v>646</v>
      </c>
      <c r="D92" s="38" t="s">
        <v>672</v>
      </c>
      <c r="E92" s="38" t="s">
        <v>646</v>
      </c>
      <c r="F92" s="38">
        <v>3.9</v>
      </c>
      <c r="G92" s="38">
        <v>44.285714285714292</v>
      </c>
      <c r="H92" s="38">
        <v>4</v>
      </c>
      <c r="I92" s="38">
        <v>750</v>
      </c>
      <c r="J92" s="38">
        <v>30</v>
      </c>
    </row>
    <row r="93" spans="1:10">
      <c r="A93" s="38">
        <v>9</v>
      </c>
      <c r="B93" s="38">
        <v>2003</v>
      </c>
      <c r="C93" s="38" t="s">
        <v>646</v>
      </c>
      <c r="D93" s="38" t="s">
        <v>672</v>
      </c>
      <c r="E93" s="38" t="s">
        <v>646</v>
      </c>
      <c r="F93" s="38">
        <v>4.5</v>
      </c>
      <c r="G93" s="38">
        <v>13.333333333333336</v>
      </c>
      <c r="H93" s="38">
        <v>7</v>
      </c>
      <c r="I93" s="38">
        <v>750</v>
      </c>
      <c r="J93" s="38">
        <v>30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7839-274F-48C2-936A-104F17B4983E}">
  <dimension ref="A1:P38"/>
  <sheetViews>
    <sheetView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4.5"/>
  <cols>
    <col min="1" max="1" width="8.5" style="19" bestFit="1" customWidth="1"/>
    <col min="2" max="2" width="12.08203125" style="19" bestFit="1" customWidth="1"/>
    <col min="3" max="3" width="17.5" style="19" bestFit="1" customWidth="1"/>
    <col min="4" max="4" width="21.08203125" style="19" bestFit="1" customWidth="1"/>
    <col min="5" max="5" width="21.83203125" style="19" bestFit="1" customWidth="1"/>
    <col min="6" max="6" width="18.33203125" style="19" bestFit="1" customWidth="1"/>
    <col min="7" max="7" width="19" style="19" bestFit="1" customWidth="1"/>
    <col min="8" max="8" width="20.6640625" style="19" bestFit="1" customWidth="1"/>
    <col min="9" max="9" width="29" style="19" bestFit="1" customWidth="1"/>
    <col min="10" max="10" width="30.58203125" style="19" bestFit="1" customWidth="1"/>
    <col min="11" max="11" width="22.83203125" style="19" bestFit="1" customWidth="1"/>
    <col min="12" max="12" width="25.25" style="19" bestFit="1" customWidth="1"/>
    <col min="13" max="13" width="24.58203125" style="19" bestFit="1" customWidth="1"/>
    <col min="14" max="14" width="22.75" style="19" bestFit="1" customWidth="1"/>
    <col min="15" max="15" width="26.58203125" style="19" bestFit="1" customWidth="1"/>
    <col min="16" max="16" width="27.25" style="19" bestFit="1" customWidth="1"/>
    <col min="17" max="16384" width="8.6640625" style="19"/>
  </cols>
  <sheetData>
    <row r="1" spans="1:16">
      <c r="A1" s="124" t="s">
        <v>361</v>
      </c>
      <c r="B1" s="124" t="s">
        <v>673</v>
      </c>
      <c r="C1" s="125" t="s">
        <v>674</v>
      </c>
      <c r="D1" s="126" t="s">
        <v>675</v>
      </c>
      <c r="E1" s="126" t="s">
        <v>676</v>
      </c>
      <c r="F1" s="126" t="s">
        <v>677</v>
      </c>
      <c r="G1" s="126" t="s">
        <v>678</v>
      </c>
      <c r="H1" s="126" t="s">
        <v>679</v>
      </c>
      <c r="I1" s="126" t="s">
        <v>680</v>
      </c>
      <c r="J1" s="126" t="s">
        <v>681</v>
      </c>
      <c r="K1" s="126" t="s">
        <v>682</v>
      </c>
      <c r="L1" s="126" t="s">
        <v>683</v>
      </c>
      <c r="M1" s="125" t="s">
        <v>684</v>
      </c>
      <c r="N1" s="125" t="s">
        <v>685</v>
      </c>
      <c r="O1" s="125" t="s">
        <v>686</v>
      </c>
      <c r="P1" s="125" t="s">
        <v>687</v>
      </c>
    </row>
    <row r="2" spans="1:16">
      <c r="A2" s="19" t="s">
        <v>688</v>
      </c>
      <c r="B2" s="19" t="s">
        <v>689</v>
      </c>
      <c r="C2" s="127">
        <v>137.61000000000001</v>
      </c>
      <c r="D2" s="19">
        <v>33.700000000000003</v>
      </c>
      <c r="E2" s="19">
        <v>46.4</v>
      </c>
      <c r="F2" s="19">
        <v>25</v>
      </c>
      <c r="G2" s="19">
        <v>59.1</v>
      </c>
      <c r="H2" s="19">
        <v>47.7</v>
      </c>
      <c r="I2" s="19">
        <v>12411</v>
      </c>
      <c r="J2" s="19">
        <v>8274</v>
      </c>
      <c r="K2" s="19">
        <v>17505</v>
      </c>
      <c r="L2" s="19">
        <v>102</v>
      </c>
      <c r="M2" s="19" t="s">
        <v>690</v>
      </c>
      <c r="N2" s="19" t="s">
        <v>691</v>
      </c>
      <c r="O2" s="19">
        <v>19</v>
      </c>
      <c r="P2" s="19">
        <v>26</v>
      </c>
    </row>
    <row r="3" spans="1:16">
      <c r="A3" s="19" t="s">
        <v>688</v>
      </c>
      <c r="B3" s="19" t="s">
        <v>692</v>
      </c>
      <c r="C3" s="127">
        <v>235.12</v>
      </c>
      <c r="D3" s="19">
        <v>39.200000000000003</v>
      </c>
      <c r="E3" s="19">
        <v>92.2</v>
      </c>
      <c r="F3" s="19">
        <v>25</v>
      </c>
      <c r="G3" s="19">
        <v>61.9</v>
      </c>
      <c r="H3" s="19">
        <v>51.9</v>
      </c>
      <c r="I3" s="19">
        <v>12411</v>
      </c>
      <c r="J3" s="19">
        <v>8274</v>
      </c>
      <c r="K3" s="19">
        <v>17505</v>
      </c>
      <c r="L3" s="19">
        <v>102</v>
      </c>
      <c r="M3" s="19" t="s">
        <v>690</v>
      </c>
      <c r="N3" s="19" t="s">
        <v>693</v>
      </c>
      <c r="O3" s="19">
        <v>17</v>
      </c>
      <c r="P3" s="19">
        <v>40</v>
      </c>
    </row>
    <row r="4" spans="1:16">
      <c r="A4" s="19" t="s">
        <v>688</v>
      </c>
      <c r="B4" s="19" t="s">
        <v>694</v>
      </c>
      <c r="C4" s="127">
        <v>86.93</v>
      </c>
      <c r="D4" s="19">
        <v>39.6</v>
      </c>
      <c r="E4" s="19">
        <v>34.4</v>
      </c>
      <c r="F4" s="19">
        <v>25</v>
      </c>
      <c r="G4" s="19">
        <v>66.599999999999994</v>
      </c>
      <c r="H4" s="19">
        <v>52.2</v>
      </c>
      <c r="I4" s="19">
        <v>12411</v>
      </c>
      <c r="J4" s="19">
        <v>9653</v>
      </c>
      <c r="K4" s="19">
        <v>17505</v>
      </c>
      <c r="L4" s="19">
        <v>102</v>
      </c>
      <c r="M4" s="19" t="s">
        <v>690</v>
      </c>
      <c r="N4" s="19" t="s">
        <v>695</v>
      </c>
      <c r="O4" s="19">
        <v>9</v>
      </c>
      <c r="P4" s="19">
        <v>8</v>
      </c>
    </row>
    <row r="5" spans="1:16">
      <c r="A5" s="19" t="s">
        <v>696</v>
      </c>
      <c r="B5" s="19" t="s">
        <v>697</v>
      </c>
      <c r="C5" s="127">
        <v>124.1</v>
      </c>
      <c r="D5" s="19">
        <v>31.1</v>
      </c>
      <c r="E5" s="19">
        <v>38.6</v>
      </c>
      <c r="F5" s="19">
        <v>28</v>
      </c>
      <c r="G5" s="19">
        <v>66</v>
      </c>
      <c r="H5" s="19">
        <v>52.8</v>
      </c>
      <c r="I5" s="19">
        <v>12169</v>
      </c>
      <c r="J5" s="19">
        <v>8274</v>
      </c>
      <c r="K5" s="19">
        <v>16826</v>
      </c>
      <c r="L5" s="19">
        <v>99</v>
      </c>
      <c r="M5" s="19" t="s">
        <v>698</v>
      </c>
      <c r="N5" s="19" t="s">
        <v>699</v>
      </c>
      <c r="O5" s="19">
        <v>7</v>
      </c>
      <c r="P5" s="128">
        <v>17</v>
      </c>
    </row>
    <row r="6" spans="1:16">
      <c r="A6" s="19" t="s">
        <v>696</v>
      </c>
      <c r="B6" s="19" t="s">
        <v>700</v>
      </c>
      <c r="C6" s="127">
        <v>90.18</v>
      </c>
      <c r="D6" s="19">
        <v>30.6</v>
      </c>
      <c r="E6" s="19">
        <v>27.6</v>
      </c>
      <c r="F6" s="19">
        <v>28</v>
      </c>
      <c r="G6" s="19">
        <v>65.3</v>
      </c>
      <c r="H6" s="19">
        <v>52.4</v>
      </c>
      <c r="I6" s="19">
        <v>12066</v>
      </c>
      <c r="J6" s="19">
        <v>9653</v>
      </c>
      <c r="K6" s="19">
        <v>16827</v>
      </c>
      <c r="L6" s="19">
        <v>99</v>
      </c>
      <c r="M6" s="19" t="s">
        <v>701</v>
      </c>
      <c r="N6" s="19" t="s">
        <v>702</v>
      </c>
      <c r="O6" s="19">
        <v>22</v>
      </c>
      <c r="P6" s="129">
        <f t="shared" ref="P6:P38" si="0">O6*C6/100</f>
        <v>19.839600000000001</v>
      </c>
    </row>
    <row r="7" spans="1:16">
      <c r="A7" s="19" t="s">
        <v>703</v>
      </c>
      <c r="B7" s="19" t="s">
        <v>704</v>
      </c>
      <c r="C7" s="127">
        <v>53.8</v>
      </c>
      <c r="D7" s="19">
        <v>36</v>
      </c>
      <c r="E7" s="19">
        <v>9.4</v>
      </c>
      <c r="F7" s="19">
        <v>23</v>
      </c>
      <c r="G7" s="19">
        <v>60</v>
      </c>
      <c r="H7" s="19">
        <v>59.3</v>
      </c>
      <c r="I7" s="19">
        <v>20616</v>
      </c>
      <c r="J7" s="19">
        <v>20340</v>
      </c>
      <c r="K7" s="19">
        <v>28660</v>
      </c>
      <c r="L7" s="19">
        <v>116</v>
      </c>
      <c r="M7" s="19" t="s">
        <v>690</v>
      </c>
      <c r="N7" s="19" t="s">
        <v>705</v>
      </c>
      <c r="O7" s="19">
        <v>50</v>
      </c>
      <c r="P7" s="129">
        <f t="shared" si="0"/>
        <v>26.9</v>
      </c>
    </row>
    <row r="8" spans="1:16">
      <c r="A8" s="19" t="s">
        <v>703</v>
      </c>
      <c r="B8" s="19" t="s">
        <v>706</v>
      </c>
      <c r="C8" s="127">
        <v>9.6</v>
      </c>
      <c r="D8" s="19">
        <v>32</v>
      </c>
      <c r="E8" s="19">
        <v>3</v>
      </c>
      <c r="F8" s="19">
        <v>15</v>
      </c>
      <c r="G8" s="19">
        <v>50</v>
      </c>
      <c r="H8" s="19">
        <v>48.4</v>
      </c>
      <c r="I8" s="19">
        <v>22133</v>
      </c>
      <c r="J8" s="19">
        <v>20244</v>
      </c>
      <c r="K8" s="19">
        <v>32012</v>
      </c>
      <c r="L8" s="19">
        <v>127</v>
      </c>
      <c r="M8" s="19" t="s">
        <v>707</v>
      </c>
      <c r="N8" s="19" t="s">
        <v>690</v>
      </c>
      <c r="O8" s="19">
        <v>14</v>
      </c>
      <c r="P8" s="129">
        <f t="shared" si="0"/>
        <v>1.3440000000000001</v>
      </c>
    </row>
    <row r="9" spans="1:16">
      <c r="A9" s="19" t="s">
        <v>708</v>
      </c>
      <c r="B9" s="19" t="s">
        <v>709</v>
      </c>
      <c r="C9" s="127">
        <v>8.5</v>
      </c>
      <c r="D9" s="19">
        <v>18.8</v>
      </c>
      <c r="E9" s="19">
        <v>1.6</v>
      </c>
      <c r="F9" s="19">
        <v>16</v>
      </c>
      <c r="G9" s="19">
        <v>44</v>
      </c>
      <c r="H9" s="19">
        <v>43</v>
      </c>
      <c r="I9" s="19">
        <v>27125</v>
      </c>
      <c r="J9" s="19">
        <v>27125</v>
      </c>
      <c r="K9" s="19">
        <v>37290.36</v>
      </c>
      <c r="L9" s="19">
        <v>144</v>
      </c>
      <c r="M9" s="19" t="s">
        <v>707</v>
      </c>
      <c r="N9" s="19" t="s">
        <v>710</v>
      </c>
      <c r="O9" s="19">
        <v>41</v>
      </c>
      <c r="P9" s="129">
        <f t="shared" si="0"/>
        <v>3.4849999999999999</v>
      </c>
    </row>
    <row r="10" spans="1:16">
      <c r="A10" s="19" t="s">
        <v>711</v>
      </c>
      <c r="B10" s="19" t="s">
        <v>706</v>
      </c>
      <c r="C10" s="127">
        <v>30.34</v>
      </c>
      <c r="D10" s="19">
        <v>56.6</v>
      </c>
      <c r="E10" s="19">
        <v>17.2</v>
      </c>
      <c r="F10" s="19">
        <v>18.399999999999999</v>
      </c>
      <c r="G10" s="19">
        <v>64</v>
      </c>
      <c r="H10" s="19">
        <v>63.4</v>
      </c>
      <c r="I10" s="19">
        <v>22533</v>
      </c>
      <c r="J10" s="19">
        <v>22533</v>
      </c>
      <c r="K10" s="19">
        <v>31373</v>
      </c>
      <c r="L10" s="19">
        <v>132</v>
      </c>
      <c r="M10" s="19" t="s">
        <v>712</v>
      </c>
      <c r="N10" s="19" t="s">
        <v>695</v>
      </c>
      <c r="O10" s="19">
        <v>25</v>
      </c>
      <c r="P10" s="129">
        <f t="shared" si="0"/>
        <v>7.585</v>
      </c>
    </row>
    <row r="11" spans="1:16">
      <c r="A11" s="19" t="s">
        <v>713</v>
      </c>
      <c r="B11" s="19" t="s">
        <v>714</v>
      </c>
      <c r="C11" s="127">
        <v>61.36</v>
      </c>
      <c r="D11" s="19">
        <v>45.8</v>
      </c>
      <c r="E11" s="19">
        <v>28.1</v>
      </c>
      <c r="F11" s="19">
        <v>21.2</v>
      </c>
      <c r="G11" s="19">
        <v>73.3</v>
      </c>
      <c r="H11" s="19">
        <v>63.6</v>
      </c>
      <c r="I11" s="19">
        <v>19761</v>
      </c>
      <c r="J11" s="19">
        <v>17237</v>
      </c>
      <c r="K11" s="19">
        <v>27791</v>
      </c>
      <c r="L11" s="19">
        <v>118</v>
      </c>
      <c r="M11" s="19" t="s">
        <v>707</v>
      </c>
      <c r="N11" s="128" t="s">
        <v>715</v>
      </c>
      <c r="O11" s="128">
        <v>26</v>
      </c>
      <c r="P11" s="129">
        <f t="shared" si="0"/>
        <v>15.9536</v>
      </c>
    </row>
    <row r="12" spans="1:16">
      <c r="A12" s="19" t="s">
        <v>713</v>
      </c>
      <c r="B12" s="19" t="s">
        <v>716</v>
      </c>
      <c r="C12" s="127">
        <v>17.13</v>
      </c>
      <c r="D12" s="19">
        <v>24.2</v>
      </c>
      <c r="E12" s="19">
        <v>4.0999999999999996</v>
      </c>
      <c r="F12" s="19">
        <v>0.182</v>
      </c>
      <c r="G12" s="19">
        <v>56.3</v>
      </c>
      <c r="H12" s="19">
        <v>49.3</v>
      </c>
      <c r="I12" s="19">
        <v>21870</v>
      </c>
      <c r="J12" s="19">
        <v>18272</v>
      </c>
      <c r="K12" s="19">
        <v>30329</v>
      </c>
      <c r="L12" s="19">
        <v>128</v>
      </c>
      <c r="M12" s="19" t="s">
        <v>707</v>
      </c>
      <c r="N12" s="19" t="s">
        <v>690</v>
      </c>
      <c r="O12" s="19">
        <v>35</v>
      </c>
      <c r="P12" s="129">
        <f t="shared" si="0"/>
        <v>5.9954999999999998</v>
      </c>
    </row>
    <row r="13" spans="1:16">
      <c r="A13" s="19" t="s">
        <v>717</v>
      </c>
      <c r="B13" s="19" t="s">
        <v>718</v>
      </c>
      <c r="C13" s="127">
        <v>44.05</v>
      </c>
      <c r="D13" s="19">
        <v>55</v>
      </c>
      <c r="E13" s="19">
        <v>24</v>
      </c>
      <c r="F13" s="19">
        <v>25</v>
      </c>
      <c r="G13" s="19">
        <v>73.7</v>
      </c>
      <c r="H13" s="19">
        <v>40</v>
      </c>
      <c r="I13" s="19">
        <v>17602</v>
      </c>
      <c r="J13" s="19">
        <v>15079</v>
      </c>
      <c r="K13" s="19">
        <v>24507</v>
      </c>
      <c r="L13" s="19">
        <v>87</v>
      </c>
      <c r="M13" s="19" t="s">
        <v>719</v>
      </c>
      <c r="N13" s="19" t="s">
        <v>720</v>
      </c>
      <c r="O13" s="19">
        <v>5</v>
      </c>
      <c r="P13" s="129">
        <f t="shared" si="0"/>
        <v>2.2025000000000001</v>
      </c>
    </row>
    <row r="14" spans="1:16">
      <c r="A14" s="19" t="s">
        <v>721</v>
      </c>
      <c r="B14" s="19" t="s">
        <v>722</v>
      </c>
      <c r="C14" s="127">
        <v>105.6</v>
      </c>
      <c r="D14" s="19">
        <v>34</v>
      </c>
      <c r="E14" s="19">
        <v>36</v>
      </c>
      <c r="F14" s="19">
        <v>24</v>
      </c>
      <c r="G14" s="19">
        <v>67</v>
      </c>
      <c r="H14" s="19">
        <v>51.4</v>
      </c>
      <c r="I14" s="19">
        <v>15580</v>
      </c>
      <c r="J14" s="19">
        <v>14610</v>
      </c>
      <c r="K14" s="19">
        <v>20002</v>
      </c>
      <c r="L14" s="19">
        <v>103</v>
      </c>
      <c r="M14" s="19" t="s">
        <v>723</v>
      </c>
      <c r="N14" s="19" t="s">
        <v>514</v>
      </c>
      <c r="O14" s="19">
        <v>5</v>
      </c>
      <c r="P14" s="129">
        <f t="shared" si="0"/>
        <v>5.28</v>
      </c>
    </row>
    <row r="15" spans="1:16">
      <c r="A15" s="19" t="s">
        <v>724</v>
      </c>
      <c r="B15" s="19" t="s">
        <v>725</v>
      </c>
      <c r="C15" s="127">
        <v>96.1</v>
      </c>
      <c r="D15" s="19">
        <v>43.1</v>
      </c>
      <c r="E15" s="19">
        <v>41.4</v>
      </c>
      <c r="F15" s="19">
        <v>31.4</v>
      </c>
      <c r="G15" s="19">
        <v>79</v>
      </c>
      <c r="H15" s="19">
        <v>65.7</v>
      </c>
      <c r="I15" s="19">
        <v>9749</v>
      </c>
      <c r="J15" s="19">
        <v>8549</v>
      </c>
      <c r="K15" s="19">
        <v>13624</v>
      </c>
      <c r="L15" s="19">
        <v>85</v>
      </c>
      <c r="M15" s="19" t="s">
        <v>723</v>
      </c>
      <c r="N15" s="19" t="s">
        <v>514</v>
      </c>
      <c r="O15" s="19">
        <v>3</v>
      </c>
      <c r="P15" s="129">
        <f t="shared" si="0"/>
        <v>2.8829999999999996</v>
      </c>
    </row>
    <row r="16" spans="1:16">
      <c r="A16" s="19" t="s">
        <v>726</v>
      </c>
      <c r="B16" s="19" t="s">
        <v>727</v>
      </c>
      <c r="C16" s="127">
        <v>146.47999999999999</v>
      </c>
      <c r="D16" s="19">
        <v>28.6</v>
      </c>
      <c r="E16" s="19">
        <v>18</v>
      </c>
      <c r="G16" s="19">
        <v>45</v>
      </c>
      <c r="H16" s="19">
        <v>34.4</v>
      </c>
      <c r="I16" s="19">
        <v>19060</v>
      </c>
      <c r="J16" s="19">
        <v>15620</v>
      </c>
      <c r="K16" s="19">
        <v>25471</v>
      </c>
      <c r="L16" s="19">
        <v>118</v>
      </c>
      <c r="M16" s="19" t="s">
        <v>690</v>
      </c>
      <c r="N16" s="19" t="s">
        <v>514</v>
      </c>
      <c r="O16" s="19">
        <v>14</v>
      </c>
      <c r="P16" s="129">
        <f t="shared" si="0"/>
        <v>20.507199999999997</v>
      </c>
    </row>
    <row r="17" spans="1:16">
      <c r="A17" s="19" t="s">
        <v>728</v>
      </c>
      <c r="B17" s="19" t="s">
        <v>729</v>
      </c>
      <c r="C17" s="127">
        <v>208.2</v>
      </c>
      <c r="D17" s="19">
        <v>32</v>
      </c>
      <c r="E17" s="19">
        <v>67.5</v>
      </c>
      <c r="F17" s="19">
        <v>20</v>
      </c>
      <c r="G17" s="19">
        <v>43.7</v>
      </c>
      <c r="H17" s="19">
        <v>31.3</v>
      </c>
      <c r="I17" s="19">
        <v>15620</v>
      </c>
      <c r="J17" s="19">
        <v>11550</v>
      </c>
      <c r="K17" s="19">
        <v>21997</v>
      </c>
      <c r="L17" s="19">
        <v>118</v>
      </c>
      <c r="M17" s="19" t="s">
        <v>707</v>
      </c>
      <c r="N17" s="19" t="s">
        <v>690</v>
      </c>
      <c r="O17" s="19">
        <v>7</v>
      </c>
      <c r="P17" s="129">
        <f t="shared" si="0"/>
        <v>14.573999999999998</v>
      </c>
    </row>
    <row r="18" spans="1:16">
      <c r="A18" s="19" t="s">
        <v>730</v>
      </c>
      <c r="B18" s="19" t="s">
        <v>731</v>
      </c>
      <c r="C18" s="127">
        <v>145.19999999999999</v>
      </c>
      <c r="D18" s="19">
        <v>42.2</v>
      </c>
      <c r="E18" s="19">
        <v>61.3</v>
      </c>
      <c r="F18" s="19">
        <v>20</v>
      </c>
      <c r="G18" s="19">
        <v>50</v>
      </c>
      <c r="H18" s="19">
        <v>32</v>
      </c>
      <c r="I18" s="19">
        <v>17000</v>
      </c>
      <c r="J18" s="19">
        <v>13000</v>
      </c>
      <c r="K18" s="19">
        <v>21916</v>
      </c>
      <c r="L18" s="19">
        <v>110</v>
      </c>
      <c r="M18" s="19" t="s">
        <v>707</v>
      </c>
      <c r="N18" s="19" t="s">
        <v>690</v>
      </c>
      <c r="O18" s="19">
        <v>18</v>
      </c>
      <c r="P18" s="129">
        <f t="shared" si="0"/>
        <v>26.135999999999999</v>
      </c>
    </row>
    <row r="19" spans="1:16">
      <c r="A19" s="19" t="s">
        <v>732</v>
      </c>
      <c r="B19" s="19" t="s">
        <v>733</v>
      </c>
      <c r="C19" s="127">
        <v>208.2</v>
      </c>
      <c r="D19" s="19">
        <v>45.6</v>
      </c>
      <c r="E19" s="19">
        <v>375.1</v>
      </c>
      <c r="F19" s="19">
        <v>20.5</v>
      </c>
      <c r="G19" s="19">
        <v>50</v>
      </c>
      <c r="H19" s="19">
        <v>31.4</v>
      </c>
      <c r="I19" s="19">
        <v>18500</v>
      </c>
      <c r="J19" s="19">
        <v>15500</v>
      </c>
      <c r="K19" s="19">
        <v>24399</v>
      </c>
      <c r="L19" s="19">
        <v>120</v>
      </c>
      <c r="M19" s="19" t="s">
        <v>707</v>
      </c>
      <c r="N19" s="19" t="s">
        <v>690</v>
      </c>
      <c r="O19" s="19">
        <v>22</v>
      </c>
      <c r="P19" s="129">
        <f t="shared" si="0"/>
        <v>45.803999999999995</v>
      </c>
    </row>
    <row r="20" spans="1:16">
      <c r="A20" s="19" t="s">
        <v>734</v>
      </c>
      <c r="B20" s="19" t="s">
        <v>729</v>
      </c>
      <c r="C20" s="127">
        <v>527.29999999999995</v>
      </c>
      <c r="M20" s="19" t="s">
        <v>707</v>
      </c>
      <c r="O20" s="19">
        <v>26</v>
      </c>
      <c r="P20" s="129">
        <f t="shared" si="0"/>
        <v>137.09799999999998</v>
      </c>
    </row>
    <row r="21" spans="1:16">
      <c r="A21" s="19" t="s">
        <v>734</v>
      </c>
      <c r="B21" s="19" t="s">
        <v>727</v>
      </c>
      <c r="C21" s="127">
        <v>260.60000000000002</v>
      </c>
      <c r="M21" s="19" t="s">
        <v>707</v>
      </c>
      <c r="O21" s="19">
        <v>22</v>
      </c>
      <c r="P21" s="129">
        <f t="shared" si="0"/>
        <v>57.332000000000008</v>
      </c>
    </row>
    <row r="22" spans="1:16">
      <c r="A22" s="19" t="s">
        <v>735</v>
      </c>
      <c r="B22" s="19" t="s">
        <v>736</v>
      </c>
      <c r="C22" s="127">
        <v>248</v>
      </c>
      <c r="M22" s="19" t="s">
        <v>93</v>
      </c>
      <c r="O22" s="19">
        <v>23</v>
      </c>
      <c r="P22" s="129">
        <f t="shared" si="0"/>
        <v>57.04</v>
      </c>
    </row>
    <row r="23" spans="1:16">
      <c r="A23" s="19" t="s">
        <v>737</v>
      </c>
      <c r="B23" s="19" t="s">
        <v>738</v>
      </c>
      <c r="C23" s="127">
        <v>98.45</v>
      </c>
      <c r="D23" s="19">
        <v>59</v>
      </c>
      <c r="E23" s="19">
        <v>58</v>
      </c>
      <c r="F23" s="19">
        <v>27</v>
      </c>
      <c r="G23" s="19">
        <v>59.4</v>
      </c>
      <c r="H23" s="19">
        <v>25.4</v>
      </c>
      <c r="I23" s="19">
        <v>13135</v>
      </c>
      <c r="J23" s="19">
        <v>11239</v>
      </c>
      <c r="K23" s="19">
        <v>18156</v>
      </c>
      <c r="L23" s="19">
        <v>91</v>
      </c>
      <c r="M23" s="19" t="s">
        <v>707</v>
      </c>
      <c r="N23" s="19" t="s">
        <v>739</v>
      </c>
      <c r="O23" s="19">
        <v>5</v>
      </c>
      <c r="P23" s="129">
        <f t="shared" si="0"/>
        <v>4.9225000000000003</v>
      </c>
    </row>
    <row r="24" spans="1:16">
      <c r="A24" s="19" t="s">
        <v>740</v>
      </c>
      <c r="B24" s="19" t="s">
        <v>741</v>
      </c>
      <c r="C24" s="127">
        <v>92.8</v>
      </c>
      <c r="D24" s="19">
        <v>66.7</v>
      </c>
      <c r="E24" s="19">
        <v>61.9</v>
      </c>
      <c r="F24" s="19">
        <v>17.5</v>
      </c>
      <c r="G24" s="19">
        <v>60</v>
      </c>
      <c r="H24" s="19">
        <v>46.5</v>
      </c>
      <c r="I24" s="19">
        <v>23580</v>
      </c>
      <c r="J24" s="19">
        <v>22918</v>
      </c>
      <c r="K24" s="19">
        <v>32392</v>
      </c>
      <c r="L24" s="19">
        <v>80</v>
      </c>
      <c r="M24" s="19" t="s">
        <v>690</v>
      </c>
      <c r="N24" s="19" t="s">
        <v>514</v>
      </c>
      <c r="O24" s="19">
        <v>34</v>
      </c>
      <c r="P24" s="129">
        <f t="shared" si="0"/>
        <v>31.552</v>
      </c>
    </row>
    <row r="25" spans="1:16">
      <c r="A25" s="19" t="s">
        <v>742</v>
      </c>
      <c r="B25" s="19" t="s">
        <v>743</v>
      </c>
      <c r="C25" s="127">
        <v>111.3</v>
      </c>
      <c r="D25" s="19">
        <v>54.7</v>
      </c>
      <c r="E25" s="19">
        <v>60.9</v>
      </c>
      <c r="F25" s="19">
        <v>23</v>
      </c>
      <c r="G25" s="19">
        <v>77</v>
      </c>
      <c r="H25" s="19">
        <v>49.8</v>
      </c>
      <c r="I25" s="19">
        <v>7191</v>
      </c>
      <c r="J25" s="19">
        <v>4033</v>
      </c>
      <c r="K25" s="19">
        <v>8278</v>
      </c>
      <c r="L25" s="19">
        <v>52.8</v>
      </c>
      <c r="M25" s="19" t="s">
        <v>744</v>
      </c>
      <c r="N25" s="19" t="s">
        <v>514</v>
      </c>
      <c r="O25" s="19">
        <v>2</v>
      </c>
      <c r="P25" s="129">
        <f t="shared" si="0"/>
        <v>2.226</v>
      </c>
    </row>
    <row r="26" spans="1:16">
      <c r="A26" s="19" t="s">
        <v>745</v>
      </c>
      <c r="B26" s="19" t="s">
        <v>746</v>
      </c>
      <c r="C26" s="127">
        <v>70.8</v>
      </c>
      <c r="M26" s="19" t="s">
        <v>690</v>
      </c>
      <c r="O26" s="19">
        <v>18</v>
      </c>
      <c r="P26" s="129">
        <f t="shared" si="0"/>
        <v>12.743999999999998</v>
      </c>
    </row>
    <row r="27" spans="1:16">
      <c r="A27" s="19" t="s">
        <v>747</v>
      </c>
      <c r="B27" s="19" t="s">
        <v>748</v>
      </c>
      <c r="C27" s="127">
        <v>51.2</v>
      </c>
      <c r="D27" s="19">
        <v>57.7</v>
      </c>
      <c r="E27" s="19">
        <v>29.6</v>
      </c>
      <c r="F27" s="19">
        <v>26.4</v>
      </c>
      <c r="G27" s="19">
        <v>73</v>
      </c>
      <c r="H27" s="19">
        <v>31.9</v>
      </c>
      <c r="I27" s="19">
        <v>23546</v>
      </c>
      <c r="J27" s="19">
        <v>17065</v>
      </c>
      <c r="K27" s="19">
        <v>32256</v>
      </c>
      <c r="L27" s="19">
        <v>89</v>
      </c>
      <c r="M27" s="19" t="s">
        <v>690</v>
      </c>
      <c r="N27" s="19" t="s">
        <v>749</v>
      </c>
      <c r="O27" s="19">
        <v>9</v>
      </c>
      <c r="P27" s="129">
        <f t="shared" si="0"/>
        <v>4.6080000000000005</v>
      </c>
    </row>
    <row r="28" spans="1:16">
      <c r="A28" s="19" t="s">
        <v>750</v>
      </c>
      <c r="B28" s="19" t="s">
        <v>751</v>
      </c>
      <c r="C28" s="127">
        <v>123</v>
      </c>
      <c r="D28" s="19">
        <v>19.5</v>
      </c>
      <c r="E28" s="19">
        <v>24</v>
      </c>
      <c r="F28" s="19">
        <v>25</v>
      </c>
      <c r="G28" s="19">
        <v>50</v>
      </c>
      <c r="H28" s="19">
        <v>39.1</v>
      </c>
      <c r="I28" s="19">
        <v>12273</v>
      </c>
      <c r="J28" s="19">
        <v>9653</v>
      </c>
      <c r="K28" s="19">
        <v>16541</v>
      </c>
      <c r="L28" s="19">
        <v>94</v>
      </c>
      <c r="M28" s="19" t="s">
        <v>690</v>
      </c>
      <c r="N28" s="19" t="s">
        <v>749</v>
      </c>
      <c r="O28" s="19">
        <v>23</v>
      </c>
      <c r="P28" s="129">
        <f t="shared" si="0"/>
        <v>28.29</v>
      </c>
    </row>
    <row r="29" spans="1:16">
      <c r="A29" s="19" t="s">
        <v>752</v>
      </c>
      <c r="B29" s="19" t="s">
        <v>753</v>
      </c>
      <c r="C29" s="127">
        <v>86.84</v>
      </c>
      <c r="M29" s="19" t="s">
        <v>690</v>
      </c>
      <c r="O29" s="19">
        <v>16</v>
      </c>
      <c r="P29" s="129">
        <f t="shared" si="0"/>
        <v>13.894400000000001</v>
      </c>
    </row>
    <row r="30" spans="1:16">
      <c r="A30" s="19" t="s">
        <v>754</v>
      </c>
      <c r="B30" s="19" t="s">
        <v>755</v>
      </c>
      <c r="C30" s="127">
        <v>69.2</v>
      </c>
      <c r="D30" s="19">
        <v>13</v>
      </c>
      <c r="E30" s="19">
        <v>9</v>
      </c>
      <c r="F30" s="19">
        <v>22</v>
      </c>
      <c r="G30" s="19">
        <v>59</v>
      </c>
      <c r="H30" s="19">
        <v>48.4</v>
      </c>
      <c r="I30" s="19">
        <v>11549</v>
      </c>
      <c r="J30" s="19">
        <v>5516</v>
      </c>
      <c r="K30" s="19">
        <v>14479</v>
      </c>
      <c r="L30" s="19">
        <v>64</v>
      </c>
      <c r="M30" s="19" t="s">
        <v>756</v>
      </c>
      <c r="N30" s="19" t="s">
        <v>744</v>
      </c>
      <c r="O30" s="19">
        <v>8</v>
      </c>
      <c r="P30" s="129">
        <f t="shared" si="0"/>
        <v>5.5360000000000005</v>
      </c>
    </row>
    <row r="31" spans="1:16">
      <c r="A31" s="19" t="s">
        <v>754</v>
      </c>
      <c r="B31" s="19" t="s">
        <v>757</v>
      </c>
      <c r="C31" s="127">
        <v>47.1</v>
      </c>
      <c r="D31" s="19">
        <v>19.100000000000001</v>
      </c>
      <c r="E31" s="19">
        <v>9</v>
      </c>
      <c r="F31" s="19">
        <v>22</v>
      </c>
      <c r="G31" s="19">
        <v>59</v>
      </c>
      <c r="H31" s="19">
        <v>46</v>
      </c>
      <c r="I31" s="19">
        <v>8274</v>
      </c>
      <c r="J31" s="19">
        <v>4137</v>
      </c>
      <c r="K31" s="19">
        <v>10340</v>
      </c>
      <c r="L31" s="19">
        <v>56</v>
      </c>
      <c r="M31" s="19" t="s">
        <v>756</v>
      </c>
      <c r="O31" s="19">
        <v>3</v>
      </c>
      <c r="P31" s="129">
        <f t="shared" si="0"/>
        <v>1.413</v>
      </c>
    </row>
    <row r="32" spans="1:16">
      <c r="A32" s="19" t="s">
        <v>758</v>
      </c>
      <c r="B32" s="19" t="s">
        <v>759</v>
      </c>
      <c r="C32" s="127">
        <v>41.7</v>
      </c>
      <c r="D32" s="19">
        <v>21.6</v>
      </c>
      <c r="E32" s="19">
        <v>9</v>
      </c>
      <c r="F32" s="19">
        <v>22</v>
      </c>
      <c r="G32" s="19">
        <v>65</v>
      </c>
      <c r="H32" s="19">
        <v>49.7</v>
      </c>
      <c r="I32" s="19">
        <v>7998</v>
      </c>
      <c r="J32" s="19">
        <v>4137</v>
      </c>
      <c r="K32" s="19">
        <v>10340</v>
      </c>
      <c r="L32" s="19">
        <v>56</v>
      </c>
      <c r="M32" s="19" t="s">
        <v>756</v>
      </c>
      <c r="N32" s="19" t="s">
        <v>744</v>
      </c>
      <c r="O32" s="19">
        <v>1</v>
      </c>
      <c r="P32" s="129">
        <f t="shared" si="0"/>
        <v>0.41700000000000004</v>
      </c>
    </row>
    <row r="33" spans="1:16">
      <c r="A33" s="19" t="s">
        <v>760</v>
      </c>
      <c r="B33" s="19" t="s">
        <v>761</v>
      </c>
      <c r="C33" s="127">
        <v>552</v>
      </c>
      <c r="D33" s="19">
        <v>37.9</v>
      </c>
      <c r="E33" s="19">
        <v>208.9</v>
      </c>
      <c r="F33" s="19">
        <v>20</v>
      </c>
      <c r="G33" s="19">
        <v>73</v>
      </c>
      <c r="H33" s="19">
        <v>53</v>
      </c>
      <c r="I33" s="19">
        <v>7205</v>
      </c>
      <c r="J33" s="19">
        <v>3344</v>
      </c>
      <c r="K33" s="19">
        <v>9309</v>
      </c>
      <c r="L33" s="19">
        <v>52</v>
      </c>
      <c r="M33" s="19" t="s">
        <v>701</v>
      </c>
      <c r="N33" s="19" t="s">
        <v>762</v>
      </c>
      <c r="O33" s="19">
        <v>18</v>
      </c>
      <c r="P33" s="129">
        <f t="shared" si="0"/>
        <v>99.36</v>
      </c>
    </row>
    <row r="34" spans="1:16">
      <c r="A34" s="19" t="s">
        <v>763</v>
      </c>
      <c r="B34" s="19" t="s">
        <v>764</v>
      </c>
      <c r="C34" s="127">
        <v>51.1</v>
      </c>
      <c r="D34" s="19">
        <v>32.5</v>
      </c>
      <c r="E34" s="19">
        <v>16.600000000000001</v>
      </c>
      <c r="F34" s="19">
        <v>15</v>
      </c>
      <c r="G34" s="19">
        <v>47</v>
      </c>
      <c r="H34" s="19">
        <v>42.9</v>
      </c>
      <c r="I34" s="19">
        <v>28814</v>
      </c>
      <c r="J34" s="19">
        <v>24132</v>
      </c>
      <c r="K34" s="19">
        <v>33911</v>
      </c>
      <c r="L34" s="19">
        <v>93</v>
      </c>
      <c r="M34" s="19" t="s">
        <v>690</v>
      </c>
      <c r="N34" s="19" t="s">
        <v>765</v>
      </c>
      <c r="O34" s="19">
        <v>37</v>
      </c>
      <c r="P34" s="129">
        <f t="shared" si="0"/>
        <v>18.907</v>
      </c>
    </row>
    <row r="35" spans="1:16">
      <c r="A35" s="19" t="s">
        <v>766</v>
      </c>
      <c r="B35" s="19" t="s">
        <v>767</v>
      </c>
      <c r="C35" s="127">
        <v>32.700000000000003</v>
      </c>
      <c r="D35" s="19">
        <v>22.7</v>
      </c>
      <c r="E35" s="19">
        <v>7.4</v>
      </c>
      <c r="F35" s="19">
        <v>16</v>
      </c>
      <c r="G35" s="19">
        <v>60</v>
      </c>
      <c r="H35" s="19">
        <v>47.9</v>
      </c>
      <c r="I35" s="19">
        <v>11880</v>
      </c>
      <c r="J35" s="19">
        <v>10866</v>
      </c>
      <c r="K35" s="19">
        <v>16378</v>
      </c>
      <c r="L35" s="19">
        <v>93</v>
      </c>
      <c r="M35" s="19" t="s">
        <v>690</v>
      </c>
      <c r="N35" s="19" t="s">
        <v>749</v>
      </c>
      <c r="O35" s="19">
        <v>32</v>
      </c>
      <c r="P35" s="129">
        <f t="shared" si="0"/>
        <v>10.464</v>
      </c>
    </row>
    <row r="36" spans="1:16">
      <c r="A36" s="19" t="s">
        <v>768</v>
      </c>
      <c r="B36" s="19" t="s">
        <v>769</v>
      </c>
      <c r="C36" s="127">
        <v>56.3</v>
      </c>
      <c r="D36" s="19">
        <v>21.5</v>
      </c>
      <c r="E36" s="19">
        <v>12.1</v>
      </c>
      <c r="F36" s="19">
        <v>20</v>
      </c>
      <c r="G36" s="19">
        <v>65</v>
      </c>
      <c r="H36" s="19">
        <v>58.5</v>
      </c>
      <c r="I36" s="19">
        <v>18202</v>
      </c>
      <c r="J36" s="19">
        <v>13790</v>
      </c>
      <c r="K36" s="19">
        <v>23992</v>
      </c>
      <c r="L36" s="19">
        <v>113</v>
      </c>
      <c r="M36" s="19" t="s">
        <v>701</v>
      </c>
      <c r="N36" s="19" t="s">
        <v>770</v>
      </c>
      <c r="O36" s="19">
        <v>35</v>
      </c>
      <c r="P36" s="129">
        <f t="shared" si="0"/>
        <v>19.704999999999998</v>
      </c>
    </row>
    <row r="37" spans="1:16">
      <c r="A37" s="19" t="s">
        <v>768</v>
      </c>
      <c r="B37" s="19" t="s">
        <v>771</v>
      </c>
      <c r="C37" s="127">
        <v>145.80000000000001</v>
      </c>
      <c r="D37" s="19">
        <v>29.7</v>
      </c>
      <c r="E37" s="19">
        <v>43.3</v>
      </c>
      <c r="F37" s="19">
        <v>20</v>
      </c>
      <c r="G37" s="19">
        <v>65</v>
      </c>
      <c r="H37" s="19">
        <v>48.5</v>
      </c>
      <c r="I37" s="19">
        <v>18202</v>
      </c>
      <c r="J37" s="19">
        <v>11721</v>
      </c>
      <c r="K37" s="19">
        <v>23992</v>
      </c>
      <c r="L37" s="19">
        <v>113</v>
      </c>
      <c r="M37" s="19" t="s">
        <v>690</v>
      </c>
      <c r="N37" s="19" t="s">
        <v>749</v>
      </c>
      <c r="O37" s="19">
        <v>17</v>
      </c>
      <c r="P37" s="129">
        <f t="shared" si="0"/>
        <v>24.786000000000005</v>
      </c>
    </row>
    <row r="38" spans="1:16">
      <c r="A38" s="19" t="s">
        <v>772</v>
      </c>
      <c r="B38" s="19" t="s">
        <v>773</v>
      </c>
      <c r="C38" s="127">
        <v>22</v>
      </c>
      <c r="D38" s="19">
        <v>27.3</v>
      </c>
      <c r="E38" s="19">
        <v>6</v>
      </c>
      <c r="F38" s="19">
        <v>18.5</v>
      </c>
      <c r="G38" s="19">
        <v>57</v>
      </c>
      <c r="H38" s="19">
        <v>43.5</v>
      </c>
      <c r="I38" s="19">
        <v>13886</v>
      </c>
      <c r="J38" s="19">
        <v>13865</v>
      </c>
      <c r="K38" s="19">
        <v>19147</v>
      </c>
      <c r="L38" s="19">
        <v>68</v>
      </c>
      <c r="M38" s="19" t="s">
        <v>690</v>
      </c>
      <c r="N38" s="19" t="s">
        <v>749</v>
      </c>
      <c r="O38" s="19">
        <v>25</v>
      </c>
      <c r="P38" s="129">
        <f t="shared" si="0"/>
        <v>5.5</v>
      </c>
    </row>
  </sheetData>
  <pageMargins left="0.7" right="0.7" top="0.75" bottom="0.75" header="0.3" footer="0.3"/>
  <headerFooter>
    <oddHeader>&amp;C&amp;"Aptos"&amp;10&amp;K0078D7 [Open]&amp;1#_x000D_</oddHeader>
  </headerFooter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8858-E016-4003-A07A-57FD05842538}">
  <dimension ref="A1:F23"/>
  <sheetViews>
    <sheetView workbookViewId="0">
      <selection activeCell="D6" sqref="D6"/>
    </sheetView>
  </sheetViews>
  <sheetFormatPr defaultRowHeight="14.5"/>
  <cols>
    <col min="1" max="1" width="15.25" style="19" bestFit="1" customWidth="1"/>
    <col min="2" max="2" width="9.75" style="19" customWidth="1"/>
    <col min="3" max="3" width="14.4140625" style="19" customWidth="1"/>
    <col min="4" max="4" width="20.4140625" style="19" customWidth="1"/>
    <col min="5" max="5" width="24.08203125" style="19" customWidth="1"/>
    <col min="6" max="6" width="22.6640625" style="19" customWidth="1"/>
    <col min="7" max="16384" width="8.6640625" style="19"/>
  </cols>
  <sheetData>
    <row r="1" spans="1:6">
      <c r="A1" s="126" t="s">
        <v>361</v>
      </c>
      <c r="B1" s="126" t="s">
        <v>673</v>
      </c>
      <c r="C1" s="126" t="s">
        <v>791</v>
      </c>
      <c r="D1" s="126" t="s">
        <v>790</v>
      </c>
      <c r="E1" s="126" t="s">
        <v>789</v>
      </c>
      <c r="F1" s="126" t="s">
        <v>788</v>
      </c>
    </row>
    <row r="2" spans="1:6">
      <c r="A2" s="19" t="s">
        <v>696</v>
      </c>
      <c r="B2" s="19" t="s">
        <v>787</v>
      </c>
      <c r="C2" s="19">
        <v>137.61000000000001</v>
      </c>
      <c r="D2" s="19" t="s">
        <v>690</v>
      </c>
      <c r="E2" s="19">
        <v>19</v>
      </c>
      <c r="F2" s="19">
        <v>26</v>
      </c>
    </row>
    <row r="3" spans="1:6">
      <c r="A3" s="19" t="s">
        <v>696</v>
      </c>
      <c r="B3" s="19" t="s">
        <v>786</v>
      </c>
      <c r="C3" s="19">
        <v>235.12</v>
      </c>
      <c r="D3" s="19" t="s">
        <v>690</v>
      </c>
      <c r="E3" s="19">
        <v>17</v>
      </c>
      <c r="F3" s="19">
        <v>40</v>
      </c>
    </row>
    <row r="4" spans="1:6">
      <c r="A4" s="19" t="s">
        <v>696</v>
      </c>
      <c r="B4" s="19" t="s">
        <v>785</v>
      </c>
      <c r="C4" s="19">
        <v>86.93</v>
      </c>
      <c r="D4" s="19" t="s">
        <v>690</v>
      </c>
      <c r="E4" s="19">
        <v>9</v>
      </c>
      <c r="F4" s="19">
        <v>8</v>
      </c>
    </row>
    <row r="5" spans="1:6">
      <c r="A5" s="19" t="s">
        <v>696</v>
      </c>
      <c r="B5" s="19" t="s">
        <v>784</v>
      </c>
      <c r="C5" s="19">
        <v>124.1</v>
      </c>
      <c r="D5" s="19" t="s">
        <v>690</v>
      </c>
      <c r="E5" s="19">
        <v>14</v>
      </c>
      <c r="F5" s="19">
        <v>17</v>
      </c>
    </row>
    <row r="6" spans="1:6">
      <c r="A6" s="19" t="s">
        <v>783</v>
      </c>
      <c r="B6" s="19" t="s">
        <v>782</v>
      </c>
      <c r="C6" s="19">
        <v>96.1</v>
      </c>
      <c r="D6" s="19" t="s">
        <v>723</v>
      </c>
      <c r="E6" s="19">
        <v>3</v>
      </c>
      <c r="F6" s="19">
        <v>3</v>
      </c>
    </row>
    <row r="7" spans="1:6">
      <c r="A7" s="19" t="s">
        <v>778</v>
      </c>
      <c r="B7" s="19" t="s">
        <v>704</v>
      </c>
      <c r="C7" s="19">
        <v>53.8</v>
      </c>
      <c r="D7" s="19" t="s">
        <v>690</v>
      </c>
      <c r="E7" s="19">
        <v>50</v>
      </c>
      <c r="F7" s="19">
        <v>27</v>
      </c>
    </row>
    <row r="8" spans="1:6">
      <c r="A8" s="19" t="s">
        <v>713</v>
      </c>
      <c r="B8" s="19" t="s">
        <v>714</v>
      </c>
      <c r="C8" s="19">
        <v>61.36</v>
      </c>
      <c r="D8" s="19" t="s">
        <v>781</v>
      </c>
      <c r="E8" s="19">
        <v>33</v>
      </c>
      <c r="F8" s="19">
        <v>20</v>
      </c>
    </row>
    <row r="9" spans="1:6">
      <c r="A9" s="19" t="s">
        <v>717</v>
      </c>
      <c r="B9" s="19" t="s">
        <v>738</v>
      </c>
      <c r="C9" s="19">
        <v>44.05</v>
      </c>
      <c r="D9" s="19" t="s">
        <v>707</v>
      </c>
      <c r="E9" s="19">
        <v>27</v>
      </c>
      <c r="F9" s="19">
        <v>12</v>
      </c>
    </row>
    <row r="10" spans="1:6">
      <c r="A10" s="19" t="s">
        <v>737</v>
      </c>
      <c r="B10" s="19" t="s">
        <v>738</v>
      </c>
      <c r="C10" s="19">
        <v>98.45</v>
      </c>
      <c r="D10" s="19" t="s">
        <v>707</v>
      </c>
      <c r="E10" s="19">
        <v>5</v>
      </c>
      <c r="F10" s="19">
        <v>5</v>
      </c>
    </row>
    <row r="11" spans="1:6">
      <c r="A11" s="19" t="s">
        <v>780</v>
      </c>
      <c r="B11" s="19" t="s">
        <v>779</v>
      </c>
      <c r="C11" s="19">
        <v>248</v>
      </c>
      <c r="D11" s="19" t="s">
        <v>707</v>
      </c>
      <c r="E11" s="19">
        <v>23</v>
      </c>
      <c r="F11" s="19">
        <v>58</v>
      </c>
    </row>
    <row r="12" spans="1:6">
      <c r="A12" s="19" t="s">
        <v>713</v>
      </c>
      <c r="B12" s="19" t="s">
        <v>716</v>
      </c>
      <c r="C12" s="19">
        <v>17.13</v>
      </c>
      <c r="D12" s="19" t="s">
        <v>707</v>
      </c>
      <c r="E12" s="19">
        <v>35</v>
      </c>
      <c r="F12" s="19">
        <v>6</v>
      </c>
    </row>
    <row r="13" spans="1:6">
      <c r="A13" s="19" t="s">
        <v>778</v>
      </c>
      <c r="B13" s="19" t="s">
        <v>706</v>
      </c>
      <c r="C13" s="19">
        <v>9.6</v>
      </c>
      <c r="D13" s="19" t="s">
        <v>690</v>
      </c>
      <c r="E13" s="19">
        <v>31</v>
      </c>
      <c r="F13" s="19">
        <v>3</v>
      </c>
    </row>
    <row r="14" spans="1:6">
      <c r="A14" s="19" t="s">
        <v>711</v>
      </c>
      <c r="B14" s="19" t="s">
        <v>706</v>
      </c>
      <c r="C14" s="19">
        <v>30.34</v>
      </c>
      <c r="D14" s="19" t="s">
        <v>707</v>
      </c>
      <c r="E14" s="19">
        <v>25</v>
      </c>
      <c r="F14" s="19">
        <v>8</v>
      </c>
    </row>
    <row r="15" spans="1:6">
      <c r="A15" s="19" t="s">
        <v>721</v>
      </c>
      <c r="B15" s="19" t="s">
        <v>722</v>
      </c>
      <c r="C15" s="19">
        <v>105.6</v>
      </c>
      <c r="D15" s="19" t="s">
        <v>777</v>
      </c>
      <c r="E15" s="19">
        <v>4</v>
      </c>
      <c r="F15" s="19">
        <v>5</v>
      </c>
    </row>
    <row r="16" spans="1:6">
      <c r="A16" s="19" t="s">
        <v>776</v>
      </c>
      <c r="B16" s="19" t="s">
        <v>709</v>
      </c>
      <c r="C16" s="19">
        <v>8.5</v>
      </c>
      <c r="D16" s="19" t="s">
        <v>707</v>
      </c>
      <c r="E16" s="19">
        <v>41</v>
      </c>
      <c r="F16" s="19">
        <v>3</v>
      </c>
    </row>
    <row r="17" spans="1:6">
      <c r="A17" s="19" t="s">
        <v>696</v>
      </c>
      <c r="B17" s="19" t="s">
        <v>775</v>
      </c>
      <c r="C17" s="19">
        <v>90.18</v>
      </c>
      <c r="D17" s="19" t="s">
        <v>701</v>
      </c>
      <c r="E17" s="19">
        <v>22</v>
      </c>
      <c r="F17" s="19">
        <v>20</v>
      </c>
    </row>
    <row r="18" spans="1:6">
      <c r="A18" s="19" t="s">
        <v>774</v>
      </c>
      <c r="B18" s="19" t="s">
        <v>727</v>
      </c>
      <c r="C18" s="19">
        <v>260.60000000000002</v>
      </c>
      <c r="D18" s="19" t="s">
        <v>707</v>
      </c>
      <c r="E18" s="19">
        <v>22</v>
      </c>
      <c r="F18" s="19">
        <v>58</v>
      </c>
    </row>
    <row r="19" spans="1:6">
      <c r="A19" s="19" t="s">
        <v>726</v>
      </c>
      <c r="B19" s="19" t="s">
        <v>727</v>
      </c>
      <c r="C19" s="19">
        <v>146.47999999999999</v>
      </c>
      <c r="D19" s="19" t="s">
        <v>690</v>
      </c>
      <c r="E19" s="19">
        <v>14</v>
      </c>
      <c r="F19" s="19">
        <v>21</v>
      </c>
    </row>
    <row r="20" spans="1:6">
      <c r="A20" s="19" t="s">
        <v>730</v>
      </c>
      <c r="B20" s="19" t="s">
        <v>733</v>
      </c>
      <c r="C20" s="19">
        <v>821.78</v>
      </c>
      <c r="D20" s="19" t="s">
        <v>707</v>
      </c>
      <c r="E20" s="19">
        <v>22</v>
      </c>
      <c r="F20" s="19">
        <v>184</v>
      </c>
    </row>
    <row r="21" spans="1:6">
      <c r="A21" s="19" t="s">
        <v>774</v>
      </c>
      <c r="B21" s="19" t="s">
        <v>729</v>
      </c>
      <c r="C21" s="19">
        <v>527.29999999999995</v>
      </c>
      <c r="D21" s="19" t="s">
        <v>707</v>
      </c>
      <c r="E21" s="19">
        <v>26</v>
      </c>
      <c r="F21" s="19">
        <v>135</v>
      </c>
    </row>
    <row r="22" spans="1:6">
      <c r="A22" s="19" t="s">
        <v>726</v>
      </c>
      <c r="B22" s="19" t="s">
        <v>729</v>
      </c>
      <c r="C22" s="19">
        <v>208.2</v>
      </c>
      <c r="D22" s="19" t="s">
        <v>707</v>
      </c>
      <c r="E22" s="19">
        <v>7</v>
      </c>
      <c r="F22" s="19">
        <v>15</v>
      </c>
    </row>
    <row r="23" spans="1:6">
      <c r="A23" s="19" t="s">
        <v>730</v>
      </c>
      <c r="B23" s="19" t="s">
        <v>731</v>
      </c>
      <c r="C23" s="19">
        <v>145.19999999999999</v>
      </c>
      <c r="D23" s="19" t="s">
        <v>707</v>
      </c>
      <c r="E23" s="19">
        <v>18</v>
      </c>
      <c r="F23" s="19">
        <v>27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49F7D-44D3-4D69-9EA6-3555C0F9899D}">
  <dimension ref="A1:Q328"/>
  <sheetViews>
    <sheetView zoomScale="159" workbookViewId="0">
      <selection activeCell="C2" sqref="C2:H13"/>
    </sheetView>
  </sheetViews>
  <sheetFormatPr defaultRowHeight="14.5"/>
  <cols>
    <col min="1" max="4" width="8" style="19" customWidth="1"/>
    <col min="5" max="16384" width="8.6640625" style="19"/>
  </cols>
  <sheetData>
    <row r="1" spans="1:17">
      <c r="A1" s="130" t="s">
        <v>792</v>
      </c>
      <c r="B1" s="130" t="s">
        <v>793</v>
      </c>
      <c r="C1" s="130" t="s">
        <v>794</v>
      </c>
      <c r="D1" s="130" t="s">
        <v>795</v>
      </c>
      <c r="E1" s="130" t="s">
        <v>796</v>
      </c>
      <c r="F1" s="130" t="s">
        <v>797</v>
      </c>
      <c r="G1" s="130" t="s">
        <v>798</v>
      </c>
      <c r="H1" s="130" t="s">
        <v>799</v>
      </c>
      <c r="I1" s="130" t="s">
        <v>800</v>
      </c>
      <c r="J1" s="130" t="s">
        <v>801</v>
      </c>
      <c r="K1" s="130" t="s">
        <v>802</v>
      </c>
      <c r="L1" s="130" t="s">
        <v>803</v>
      </c>
      <c r="M1" s="130" t="s">
        <v>804</v>
      </c>
      <c r="N1" s="130" t="s">
        <v>805</v>
      </c>
      <c r="O1" s="130" t="s">
        <v>806</v>
      </c>
      <c r="P1" s="130" t="s">
        <v>807</v>
      </c>
      <c r="Q1" s="130" t="s">
        <v>808</v>
      </c>
    </row>
    <row r="2" spans="1:17">
      <c r="A2" s="19" t="s">
        <v>809</v>
      </c>
      <c r="B2" s="19" t="s">
        <v>810</v>
      </c>
      <c r="C2" s="19" t="s">
        <v>811</v>
      </c>
      <c r="D2" s="19">
        <v>18</v>
      </c>
      <c r="E2" s="19" t="s">
        <v>812</v>
      </c>
      <c r="F2" s="19" t="s">
        <v>813</v>
      </c>
      <c r="G2" s="19">
        <v>18</v>
      </c>
      <c r="H2" s="19">
        <v>1.61130899376669</v>
      </c>
    </row>
    <row r="3" spans="1:17">
      <c r="A3" s="19" t="s">
        <v>809</v>
      </c>
      <c r="B3" s="19" t="s">
        <v>810</v>
      </c>
      <c r="C3" s="19" t="s">
        <v>811</v>
      </c>
      <c r="D3" s="19">
        <v>18</v>
      </c>
      <c r="E3" s="19" t="s">
        <v>812</v>
      </c>
      <c r="F3" s="19" t="s">
        <v>813</v>
      </c>
      <c r="G3" s="19">
        <v>12.55</v>
      </c>
      <c r="H3" s="19">
        <v>2.1366874443455002</v>
      </c>
    </row>
    <row r="4" spans="1:17">
      <c r="A4" s="19" t="s">
        <v>809</v>
      </c>
      <c r="B4" s="19" t="s">
        <v>810</v>
      </c>
      <c r="C4" s="19" t="s">
        <v>811</v>
      </c>
      <c r="D4" s="19">
        <v>18</v>
      </c>
      <c r="E4" s="19" t="s">
        <v>812</v>
      </c>
      <c r="F4" s="19" t="s">
        <v>813</v>
      </c>
      <c r="G4" s="19">
        <v>8.3282674772036405</v>
      </c>
      <c r="H4" s="19">
        <v>2.6576135351736401</v>
      </c>
    </row>
    <row r="5" spans="1:17">
      <c r="A5" s="19" t="s">
        <v>809</v>
      </c>
      <c r="B5" s="19" t="s">
        <v>810</v>
      </c>
      <c r="C5" s="19" t="s">
        <v>811</v>
      </c>
      <c r="D5" s="19">
        <v>18</v>
      </c>
      <c r="E5" s="19" t="s">
        <v>812</v>
      </c>
      <c r="F5" s="19" t="s">
        <v>813</v>
      </c>
      <c r="G5" s="19">
        <v>4</v>
      </c>
      <c r="H5" s="19">
        <v>3.1651825467497701</v>
      </c>
    </row>
    <row r="6" spans="1:17">
      <c r="A6" s="19" t="s">
        <v>809</v>
      </c>
      <c r="B6" s="19" t="s">
        <v>810</v>
      </c>
      <c r="C6" s="19" t="s">
        <v>811</v>
      </c>
      <c r="D6" s="19">
        <v>18</v>
      </c>
      <c r="E6" s="19" t="s">
        <v>812</v>
      </c>
      <c r="F6" s="19" t="s">
        <v>813</v>
      </c>
      <c r="G6" s="19">
        <v>2.95</v>
      </c>
      <c r="H6" s="19">
        <v>3.68</v>
      </c>
    </row>
    <row r="7" spans="1:17">
      <c r="A7" s="19" t="s">
        <v>809</v>
      </c>
      <c r="B7" s="19" t="s">
        <v>810</v>
      </c>
      <c r="C7" s="19" t="s">
        <v>811</v>
      </c>
      <c r="D7" s="19">
        <v>18</v>
      </c>
      <c r="E7" s="19" t="s">
        <v>812</v>
      </c>
      <c r="F7" s="19" t="s">
        <v>813</v>
      </c>
      <c r="G7" s="19">
        <v>2</v>
      </c>
      <c r="H7" s="19">
        <v>5.1999109528049798</v>
      </c>
    </row>
    <row r="8" spans="1:17">
      <c r="A8" s="19" t="s">
        <v>809</v>
      </c>
      <c r="B8" s="19" t="s">
        <v>810</v>
      </c>
      <c r="C8" s="19" t="s">
        <v>811</v>
      </c>
      <c r="D8" s="19">
        <v>18</v>
      </c>
      <c r="E8" s="19" t="s">
        <v>812</v>
      </c>
      <c r="F8" s="19" t="s">
        <v>814</v>
      </c>
      <c r="G8" s="19">
        <v>3.2218844984802399</v>
      </c>
      <c r="H8" s="19">
        <v>2.6576135351736401</v>
      </c>
    </row>
    <row r="9" spans="1:17">
      <c r="A9" s="19" t="s">
        <v>809</v>
      </c>
      <c r="B9" s="19" t="s">
        <v>810</v>
      </c>
      <c r="C9" s="19" t="s">
        <v>811</v>
      </c>
      <c r="D9" s="19">
        <v>18</v>
      </c>
      <c r="E9" s="19" t="s">
        <v>812</v>
      </c>
      <c r="F9" s="19" t="s">
        <v>814</v>
      </c>
      <c r="G9" s="19">
        <v>6.5045592705167099</v>
      </c>
      <c r="H9" s="19">
        <v>3.1696349065004399</v>
      </c>
    </row>
    <row r="10" spans="1:17">
      <c r="A10" s="19" t="s">
        <v>809</v>
      </c>
      <c r="B10" s="19" t="s">
        <v>810</v>
      </c>
      <c r="C10" s="19" t="s">
        <v>811</v>
      </c>
      <c r="D10" s="19">
        <v>18</v>
      </c>
      <c r="E10" s="19" t="s">
        <v>812</v>
      </c>
      <c r="F10" s="19" t="s">
        <v>814</v>
      </c>
      <c r="G10" s="19">
        <v>9.5744680851063801</v>
      </c>
      <c r="H10" s="19">
        <v>3.68610863757791</v>
      </c>
    </row>
    <row r="11" spans="1:17">
      <c r="A11" s="19" t="s">
        <v>809</v>
      </c>
      <c r="B11" s="19" t="s">
        <v>810</v>
      </c>
      <c r="C11" s="19" t="s">
        <v>811</v>
      </c>
      <c r="D11" s="19">
        <v>18</v>
      </c>
      <c r="E11" s="19" t="s">
        <v>812</v>
      </c>
      <c r="F11" s="19" t="s">
        <v>814</v>
      </c>
      <c r="G11" s="19">
        <v>15.2</v>
      </c>
      <c r="H11" s="19">
        <v>4.1892252894033799</v>
      </c>
    </row>
    <row r="12" spans="1:17">
      <c r="A12" s="19" t="s">
        <v>809</v>
      </c>
      <c r="B12" s="19" t="s">
        <v>810</v>
      </c>
      <c r="C12" s="19" t="s">
        <v>811</v>
      </c>
      <c r="D12" s="19">
        <v>18</v>
      </c>
      <c r="E12" s="19" t="s">
        <v>812</v>
      </c>
      <c r="F12" s="19" t="s">
        <v>814</v>
      </c>
      <c r="G12" s="19">
        <v>20</v>
      </c>
      <c r="H12" s="19">
        <v>4.6967943009795103</v>
      </c>
    </row>
    <row r="13" spans="1:17">
      <c r="A13" s="19" t="s">
        <v>809</v>
      </c>
      <c r="B13" s="19" t="s">
        <v>810</v>
      </c>
      <c r="C13" s="19" t="s">
        <v>811</v>
      </c>
      <c r="D13" s="19">
        <v>18</v>
      </c>
      <c r="E13" s="19" t="s">
        <v>812</v>
      </c>
      <c r="F13" s="19" t="s">
        <v>814</v>
      </c>
      <c r="G13" s="19">
        <v>0.51671732522796299</v>
      </c>
      <c r="H13" s="19">
        <v>5.6941228851291097</v>
      </c>
    </row>
    <row r="14" spans="1:17">
      <c r="A14" s="19" t="s">
        <v>809</v>
      </c>
      <c r="B14" s="19" t="s">
        <v>810</v>
      </c>
      <c r="C14" s="19" t="s">
        <v>815</v>
      </c>
      <c r="D14" s="19">
        <v>19</v>
      </c>
      <c r="E14" s="19" t="s">
        <v>812</v>
      </c>
      <c r="F14" s="19" t="s">
        <v>813</v>
      </c>
      <c r="G14" s="19">
        <v>19</v>
      </c>
      <c r="H14" s="19">
        <v>1.6063829787234001</v>
      </c>
    </row>
    <row r="15" spans="1:17">
      <c r="A15" s="19" t="s">
        <v>809</v>
      </c>
      <c r="B15" s="19" t="s">
        <v>810</v>
      </c>
      <c r="C15" s="19" t="s">
        <v>815</v>
      </c>
      <c r="D15" s="19">
        <v>19</v>
      </c>
      <c r="E15" s="19" t="s">
        <v>812</v>
      </c>
      <c r="F15" s="19" t="s">
        <v>813</v>
      </c>
      <c r="G15" s="19">
        <v>15.082956259426799</v>
      </c>
      <c r="H15" s="19">
        <v>2.13</v>
      </c>
    </row>
    <row r="16" spans="1:17">
      <c r="A16" s="19" t="s">
        <v>809</v>
      </c>
      <c r="B16" s="19" t="s">
        <v>810</v>
      </c>
      <c r="C16" s="19" t="s">
        <v>815</v>
      </c>
      <c r="D16" s="19">
        <v>19</v>
      </c>
      <c r="E16" s="19" t="s">
        <v>812</v>
      </c>
      <c r="F16" s="19" t="s">
        <v>813</v>
      </c>
      <c r="G16" s="19">
        <v>9.6530920060331802</v>
      </c>
      <c r="H16" s="19">
        <v>2.6569148936170199</v>
      </c>
    </row>
    <row r="17" spans="1:8">
      <c r="A17" s="19" t="s">
        <v>809</v>
      </c>
      <c r="B17" s="19" t="s">
        <v>810</v>
      </c>
      <c r="C17" s="19" t="s">
        <v>815</v>
      </c>
      <c r="D17" s="19">
        <v>19</v>
      </c>
      <c r="E17" s="19" t="s">
        <v>812</v>
      </c>
      <c r="F17" s="19" t="s">
        <v>813</v>
      </c>
      <c r="G17" s="19">
        <v>7.1493212669683199</v>
      </c>
      <c r="H17" s="19">
        <v>3.16</v>
      </c>
    </row>
    <row r="18" spans="1:8">
      <c r="A18" s="19" t="s">
        <v>809</v>
      </c>
      <c r="B18" s="19" t="s">
        <v>810</v>
      </c>
      <c r="C18" s="19" t="s">
        <v>815</v>
      </c>
      <c r="D18" s="19">
        <v>19</v>
      </c>
      <c r="E18" s="19" t="s">
        <v>812</v>
      </c>
      <c r="F18" s="19" t="s">
        <v>813</v>
      </c>
      <c r="G18" s="19">
        <v>5.6108597285067798</v>
      </c>
      <c r="H18" s="19">
        <v>3.68</v>
      </c>
    </row>
    <row r="19" spans="1:8">
      <c r="A19" s="19" t="s">
        <v>809</v>
      </c>
      <c r="B19" s="19" t="s">
        <v>810</v>
      </c>
      <c r="C19" s="19" t="s">
        <v>815</v>
      </c>
      <c r="D19" s="19">
        <v>19</v>
      </c>
      <c r="E19" s="19" t="s">
        <v>812</v>
      </c>
      <c r="F19" s="19" t="s">
        <v>813</v>
      </c>
      <c r="G19" s="19">
        <v>1.44796380090497</v>
      </c>
      <c r="H19" s="19">
        <v>4.1861702127659504</v>
      </c>
    </row>
    <row r="20" spans="1:8">
      <c r="A20" s="19" t="s">
        <v>809</v>
      </c>
      <c r="B20" s="19" t="s">
        <v>810</v>
      </c>
      <c r="C20" s="19" t="s">
        <v>815</v>
      </c>
      <c r="D20" s="19">
        <v>19</v>
      </c>
      <c r="E20" s="19" t="s">
        <v>812</v>
      </c>
      <c r="F20" s="19" t="s">
        <v>814</v>
      </c>
      <c r="G20" s="19">
        <v>2.83559577677224</v>
      </c>
      <c r="H20" s="19">
        <v>3.67</v>
      </c>
    </row>
    <row r="21" spans="1:8">
      <c r="A21" s="19" t="s">
        <v>809</v>
      </c>
      <c r="B21" s="19" t="s">
        <v>810</v>
      </c>
      <c r="C21" s="19" t="s">
        <v>815</v>
      </c>
      <c r="D21" s="19">
        <v>19</v>
      </c>
      <c r="E21" s="19" t="s">
        <v>812</v>
      </c>
      <c r="F21" s="19" t="s">
        <v>814</v>
      </c>
      <c r="G21" s="19">
        <v>4.3</v>
      </c>
      <c r="H21" s="19">
        <v>4.18</v>
      </c>
    </row>
    <row r="22" spans="1:8">
      <c r="A22" s="19" t="s">
        <v>809</v>
      </c>
      <c r="B22" s="19" t="s">
        <v>810</v>
      </c>
      <c r="C22" s="19" t="s">
        <v>815</v>
      </c>
      <c r="D22" s="19">
        <v>19</v>
      </c>
      <c r="E22" s="19" t="s">
        <v>812</v>
      </c>
      <c r="F22" s="19" t="s">
        <v>814</v>
      </c>
      <c r="G22" s="19">
        <v>4.2533936651583701</v>
      </c>
      <c r="H22" s="19">
        <v>4.6959219858156001</v>
      </c>
    </row>
    <row r="23" spans="1:8">
      <c r="A23" s="19" t="s">
        <v>809</v>
      </c>
      <c r="B23" s="19" t="s">
        <v>810</v>
      </c>
      <c r="C23" s="19" t="s">
        <v>815</v>
      </c>
      <c r="D23" s="19">
        <v>19</v>
      </c>
      <c r="E23" s="19" t="s">
        <v>812</v>
      </c>
      <c r="F23" s="19" t="s">
        <v>814</v>
      </c>
      <c r="G23" s="19">
        <v>5.62</v>
      </c>
      <c r="H23" s="19">
        <v>5.19237588652482</v>
      </c>
    </row>
    <row r="24" spans="1:8">
      <c r="A24" s="19" t="s">
        <v>809</v>
      </c>
      <c r="B24" s="19" t="s">
        <v>810</v>
      </c>
      <c r="C24" s="19" t="s">
        <v>815</v>
      </c>
      <c r="D24" s="19">
        <v>19</v>
      </c>
      <c r="E24" s="19" t="s">
        <v>812</v>
      </c>
      <c r="F24" s="19" t="s">
        <v>814</v>
      </c>
      <c r="G24" s="19">
        <v>5.8220211161387603</v>
      </c>
      <c r="H24" s="19">
        <v>5.69</v>
      </c>
    </row>
    <row r="25" spans="1:8">
      <c r="A25" s="19" t="s">
        <v>809</v>
      </c>
      <c r="B25" s="19" t="s">
        <v>810</v>
      </c>
      <c r="C25" s="19" t="s">
        <v>815</v>
      </c>
      <c r="D25" s="19">
        <v>19</v>
      </c>
      <c r="E25" s="19" t="s">
        <v>812</v>
      </c>
      <c r="F25" s="19" t="s">
        <v>814</v>
      </c>
      <c r="G25" s="19">
        <v>10.1357466063348</v>
      </c>
      <c r="H25" s="19">
        <v>6.18</v>
      </c>
    </row>
    <row r="26" spans="1:8">
      <c r="A26" s="19" t="s">
        <v>809</v>
      </c>
      <c r="B26" s="19" t="s">
        <v>816</v>
      </c>
      <c r="C26" s="19" t="s">
        <v>817</v>
      </c>
      <c r="D26" s="19">
        <v>19</v>
      </c>
      <c r="E26" s="19" t="s">
        <v>812</v>
      </c>
      <c r="F26" s="19" t="s">
        <v>813</v>
      </c>
      <c r="G26" s="19">
        <v>19</v>
      </c>
      <c r="H26" s="19">
        <v>1E-4</v>
      </c>
    </row>
    <row r="27" spans="1:8">
      <c r="A27" s="19" t="s">
        <v>809</v>
      </c>
      <c r="B27" s="19" t="s">
        <v>816</v>
      </c>
      <c r="C27" s="19" t="s">
        <v>817</v>
      </c>
      <c r="D27" s="19">
        <v>19</v>
      </c>
      <c r="E27" s="19" t="s">
        <v>812</v>
      </c>
      <c r="F27" s="19" t="s">
        <v>813</v>
      </c>
      <c r="G27" s="19">
        <v>17.850000000000001</v>
      </c>
      <c r="H27" s="19">
        <v>0.54298642533936603</v>
      </c>
    </row>
    <row r="28" spans="1:8">
      <c r="A28" s="19" t="s">
        <v>809</v>
      </c>
      <c r="B28" s="19" t="s">
        <v>816</v>
      </c>
      <c r="C28" s="19" t="s">
        <v>817</v>
      </c>
      <c r="D28" s="19">
        <v>19</v>
      </c>
      <c r="E28" s="19" t="s">
        <v>812</v>
      </c>
      <c r="F28" s="19" t="s">
        <v>813</v>
      </c>
      <c r="G28" s="19">
        <v>11.8</v>
      </c>
      <c r="H28" s="19">
        <v>1.07692307692307</v>
      </c>
    </row>
    <row r="29" spans="1:8">
      <c r="A29" s="19" t="s">
        <v>809</v>
      </c>
      <c r="B29" s="19" t="s">
        <v>816</v>
      </c>
      <c r="C29" s="19" t="s">
        <v>817</v>
      </c>
      <c r="D29" s="19">
        <v>19</v>
      </c>
      <c r="E29" s="19" t="s">
        <v>812</v>
      </c>
      <c r="F29" s="19" t="s">
        <v>813</v>
      </c>
      <c r="G29" s="19">
        <v>2.9249999999999998</v>
      </c>
      <c r="H29" s="19">
        <v>1.605</v>
      </c>
    </row>
    <row r="30" spans="1:8">
      <c r="A30" s="19" t="s">
        <v>809</v>
      </c>
      <c r="B30" s="19" t="s">
        <v>816</v>
      </c>
      <c r="C30" s="19" t="s">
        <v>817</v>
      </c>
      <c r="D30" s="19">
        <v>19</v>
      </c>
      <c r="E30" s="19" t="s">
        <v>812</v>
      </c>
      <c r="F30" s="19" t="s">
        <v>813</v>
      </c>
      <c r="G30" s="19">
        <v>1.425</v>
      </c>
      <c r="H30" s="19">
        <v>3.68778280542986</v>
      </c>
    </row>
    <row r="31" spans="1:8">
      <c r="A31" s="19" t="s">
        <v>809</v>
      </c>
      <c r="B31" s="19" t="s">
        <v>816</v>
      </c>
      <c r="C31" s="19" t="s">
        <v>817</v>
      </c>
      <c r="D31" s="19">
        <v>19</v>
      </c>
      <c r="E31" s="19" t="s">
        <v>812</v>
      </c>
      <c r="F31" s="19" t="s">
        <v>814</v>
      </c>
      <c r="G31" s="19">
        <v>0.95</v>
      </c>
      <c r="H31" s="19">
        <v>1.61</v>
      </c>
    </row>
    <row r="32" spans="1:8">
      <c r="A32" s="19" t="s">
        <v>809</v>
      </c>
      <c r="B32" s="19" t="s">
        <v>816</v>
      </c>
      <c r="C32" s="19" t="s">
        <v>817</v>
      </c>
      <c r="D32" s="19">
        <v>19</v>
      </c>
      <c r="E32" s="19" t="s">
        <v>812</v>
      </c>
      <c r="F32" s="19" t="s">
        <v>814</v>
      </c>
      <c r="G32" s="19">
        <v>1.4197530864197501</v>
      </c>
      <c r="H32" s="19">
        <v>2.1349999999999998</v>
      </c>
    </row>
    <row r="33" spans="1:8">
      <c r="A33" s="19" t="s">
        <v>809</v>
      </c>
      <c r="B33" s="19" t="s">
        <v>816</v>
      </c>
      <c r="C33" s="19" t="s">
        <v>817</v>
      </c>
      <c r="D33" s="19">
        <v>19</v>
      </c>
      <c r="E33" s="19" t="s">
        <v>812</v>
      </c>
      <c r="F33" s="19" t="s">
        <v>814</v>
      </c>
      <c r="G33" s="19">
        <v>5.85</v>
      </c>
      <c r="H33" s="19">
        <v>2.66</v>
      </c>
    </row>
    <row r="34" spans="1:8">
      <c r="A34" s="19" t="s">
        <v>809</v>
      </c>
      <c r="B34" s="19" t="s">
        <v>816</v>
      </c>
      <c r="C34" s="19" t="s">
        <v>817</v>
      </c>
      <c r="D34" s="19">
        <v>19</v>
      </c>
      <c r="E34" s="19" t="s">
        <v>812</v>
      </c>
      <c r="F34" s="19" t="s">
        <v>814</v>
      </c>
      <c r="G34" s="19">
        <v>18.899999999999999</v>
      </c>
      <c r="H34" s="19">
        <v>3.1764705882352899</v>
      </c>
    </row>
    <row r="35" spans="1:8">
      <c r="A35" s="19" t="s">
        <v>809</v>
      </c>
      <c r="B35" s="19" t="s">
        <v>816</v>
      </c>
      <c r="C35" s="19" t="s">
        <v>817</v>
      </c>
      <c r="D35" s="19">
        <v>19</v>
      </c>
      <c r="E35" s="19" t="s">
        <v>812</v>
      </c>
      <c r="F35" s="19" t="s">
        <v>814</v>
      </c>
      <c r="G35" s="19">
        <v>0.5</v>
      </c>
      <c r="H35" s="19">
        <v>4.1950000000000003</v>
      </c>
    </row>
    <row r="36" spans="1:8">
      <c r="A36" s="19" t="s">
        <v>809</v>
      </c>
      <c r="B36" s="19" t="s">
        <v>818</v>
      </c>
      <c r="C36" s="19" t="s">
        <v>819</v>
      </c>
      <c r="D36" s="19">
        <v>20</v>
      </c>
      <c r="E36" s="19" t="s">
        <v>812</v>
      </c>
      <c r="F36" s="19" t="s">
        <v>813</v>
      </c>
      <c r="G36" s="19">
        <v>20</v>
      </c>
      <c r="H36" s="19">
        <v>0.53717472118959098</v>
      </c>
    </row>
    <row r="37" spans="1:8">
      <c r="A37" s="19" t="s">
        <v>809</v>
      </c>
      <c r="B37" s="19" t="s">
        <v>818</v>
      </c>
      <c r="C37" s="19" t="s">
        <v>819</v>
      </c>
      <c r="D37" s="19">
        <v>20</v>
      </c>
      <c r="E37" s="19" t="s">
        <v>812</v>
      </c>
      <c r="F37" s="19" t="s">
        <v>813</v>
      </c>
      <c r="G37" s="19">
        <v>19.100000000000001</v>
      </c>
      <c r="H37" s="19">
        <v>1.07156133828996</v>
      </c>
    </row>
    <row r="38" spans="1:8">
      <c r="A38" s="19" t="s">
        <v>809</v>
      </c>
      <c r="B38" s="19" t="s">
        <v>818</v>
      </c>
      <c r="C38" s="19" t="s">
        <v>819</v>
      </c>
      <c r="D38" s="19">
        <v>20</v>
      </c>
      <c r="E38" s="19" t="s">
        <v>812</v>
      </c>
      <c r="F38" s="19" t="s">
        <v>813</v>
      </c>
      <c r="G38" s="19">
        <v>2.51582278481012</v>
      </c>
      <c r="H38" s="19">
        <v>1.6013011152416301</v>
      </c>
    </row>
    <row r="39" spans="1:8">
      <c r="A39" s="19" t="s">
        <v>809</v>
      </c>
      <c r="B39" s="19" t="s">
        <v>818</v>
      </c>
      <c r="C39" s="19" t="s">
        <v>819</v>
      </c>
      <c r="D39" s="19">
        <v>20</v>
      </c>
      <c r="E39" s="19" t="s">
        <v>812</v>
      </c>
      <c r="F39" s="19" t="s">
        <v>813</v>
      </c>
      <c r="G39" s="19">
        <v>4.6993670886075902</v>
      </c>
      <c r="H39" s="19">
        <v>2.6514869888475801</v>
      </c>
    </row>
    <row r="40" spans="1:8">
      <c r="A40" s="19" t="s">
        <v>809</v>
      </c>
      <c r="B40" s="19" t="s">
        <v>818</v>
      </c>
      <c r="C40" s="19" t="s">
        <v>819</v>
      </c>
      <c r="D40" s="19">
        <v>20</v>
      </c>
      <c r="E40" s="19" t="s">
        <v>812</v>
      </c>
      <c r="F40" s="19" t="s">
        <v>813</v>
      </c>
      <c r="G40" s="19">
        <v>6.2183544303797396</v>
      </c>
      <c r="H40" s="19">
        <v>3.7</v>
      </c>
    </row>
    <row r="41" spans="1:8">
      <c r="A41" s="19" t="s">
        <v>809</v>
      </c>
      <c r="B41" s="19" t="s">
        <v>818</v>
      </c>
      <c r="C41" s="19" t="s">
        <v>819</v>
      </c>
      <c r="D41" s="19">
        <v>20</v>
      </c>
      <c r="E41" s="19" t="s">
        <v>812</v>
      </c>
      <c r="F41" s="19" t="s">
        <v>814</v>
      </c>
      <c r="G41" s="19">
        <v>1</v>
      </c>
      <c r="H41" s="19">
        <v>4.7</v>
      </c>
    </row>
    <row r="42" spans="1:8">
      <c r="A42" s="19" t="s">
        <v>809</v>
      </c>
      <c r="B42" s="19" t="s">
        <v>818</v>
      </c>
      <c r="C42" s="19" t="s">
        <v>819</v>
      </c>
      <c r="D42" s="19">
        <v>20</v>
      </c>
      <c r="E42" s="19" t="s">
        <v>812</v>
      </c>
      <c r="F42" s="19" t="s">
        <v>814</v>
      </c>
      <c r="G42" s="19">
        <v>1.32911392405063</v>
      </c>
      <c r="H42" s="19">
        <v>5.2</v>
      </c>
    </row>
    <row r="43" spans="1:8">
      <c r="A43" s="19" t="s">
        <v>809</v>
      </c>
      <c r="B43" s="19" t="s">
        <v>818</v>
      </c>
      <c r="C43" s="19" t="s">
        <v>819</v>
      </c>
      <c r="D43" s="19">
        <v>20</v>
      </c>
      <c r="E43" s="19" t="s">
        <v>812</v>
      </c>
      <c r="F43" s="19" t="s">
        <v>814</v>
      </c>
      <c r="G43" s="19">
        <v>3.70253164556962</v>
      </c>
      <c r="H43" s="19">
        <v>2.14</v>
      </c>
    </row>
    <row r="44" spans="1:8">
      <c r="A44" s="19" t="s">
        <v>809</v>
      </c>
      <c r="B44" s="19" t="s">
        <v>818</v>
      </c>
      <c r="C44" s="19" t="s">
        <v>819</v>
      </c>
      <c r="D44" s="19">
        <v>20</v>
      </c>
      <c r="E44" s="19" t="s">
        <v>812</v>
      </c>
      <c r="F44" s="19" t="s">
        <v>814</v>
      </c>
      <c r="G44" s="19">
        <v>6.17088607594936</v>
      </c>
      <c r="H44" s="19">
        <v>3.1765799256505498</v>
      </c>
    </row>
    <row r="45" spans="1:8">
      <c r="A45" s="19" t="s">
        <v>809</v>
      </c>
      <c r="B45" s="19" t="s">
        <v>818</v>
      </c>
      <c r="C45" s="19" t="s">
        <v>819</v>
      </c>
      <c r="D45" s="19">
        <v>20</v>
      </c>
      <c r="E45" s="19" t="s">
        <v>812</v>
      </c>
      <c r="F45" s="19" t="s">
        <v>814</v>
      </c>
      <c r="G45" s="19">
        <v>8.9715189873417707</v>
      </c>
      <c r="H45" s="19">
        <v>4.1942379182156104</v>
      </c>
    </row>
    <row r="46" spans="1:8">
      <c r="A46" s="19" t="s">
        <v>809</v>
      </c>
      <c r="B46" s="19" t="s">
        <v>820</v>
      </c>
      <c r="C46" s="19" t="s">
        <v>821</v>
      </c>
      <c r="D46" s="19">
        <v>20</v>
      </c>
      <c r="E46" s="19" t="s">
        <v>812</v>
      </c>
      <c r="F46" s="19" t="s">
        <v>813</v>
      </c>
      <c r="G46" s="19">
        <v>20</v>
      </c>
      <c r="H46" s="19">
        <v>0.54</v>
      </c>
    </row>
    <row r="47" spans="1:8">
      <c r="A47" s="19" t="s">
        <v>809</v>
      </c>
      <c r="B47" s="19" t="s">
        <v>820</v>
      </c>
      <c r="C47" s="19" t="s">
        <v>821</v>
      </c>
      <c r="D47" s="19">
        <v>20</v>
      </c>
      <c r="E47" s="19" t="s">
        <v>812</v>
      </c>
      <c r="F47" s="19" t="s">
        <v>813</v>
      </c>
      <c r="G47" s="19">
        <v>13.95</v>
      </c>
      <c r="H47" s="19">
        <v>1.08067375886524</v>
      </c>
    </row>
    <row r="48" spans="1:8">
      <c r="A48" s="19" t="s">
        <v>809</v>
      </c>
      <c r="B48" s="19" t="s">
        <v>820</v>
      </c>
      <c r="C48" s="19" t="s">
        <v>821</v>
      </c>
      <c r="D48" s="19">
        <v>20</v>
      </c>
      <c r="E48" s="19" t="s">
        <v>812</v>
      </c>
      <c r="F48" s="19" t="s">
        <v>813</v>
      </c>
      <c r="G48" s="19">
        <v>7.55</v>
      </c>
      <c r="H48" s="19">
        <v>1.6</v>
      </c>
    </row>
    <row r="49" spans="1:8">
      <c r="A49" s="19" t="s">
        <v>809</v>
      </c>
      <c r="B49" s="19" t="s">
        <v>820</v>
      </c>
      <c r="C49" s="19" t="s">
        <v>821</v>
      </c>
      <c r="D49" s="19">
        <v>20</v>
      </c>
      <c r="E49" s="19" t="s">
        <v>812</v>
      </c>
      <c r="F49" s="19" t="s">
        <v>813</v>
      </c>
      <c r="G49" s="19">
        <v>4.3</v>
      </c>
      <c r="H49" s="19">
        <v>2.1312056737588598</v>
      </c>
    </row>
    <row r="50" spans="1:8">
      <c r="A50" s="19" t="s">
        <v>809</v>
      </c>
      <c r="B50" s="19" t="s">
        <v>820</v>
      </c>
      <c r="C50" s="19" t="s">
        <v>821</v>
      </c>
      <c r="D50" s="19">
        <v>20</v>
      </c>
      <c r="E50" s="19" t="s">
        <v>812</v>
      </c>
      <c r="F50" s="19" t="s">
        <v>813</v>
      </c>
      <c r="G50" s="19">
        <v>3.2980332829046901</v>
      </c>
      <c r="H50" s="19">
        <v>2.65868794326241</v>
      </c>
    </row>
    <row r="51" spans="1:8">
      <c r="A51" s="19" t="s">
        <v>809</v>
      </c>
      <c r="B51" s="19" t="s">
        <v>820</v>
      </c>
      <c r="C51" s="19" t="s">
        <v>821</v>
      </c>
      <c r="D51" s="19">
        <v>20</v>
      </c>
      <c r="E51" s="19" t="s">
        <v>812</v>
      </c>
      <c r="F51" s="19" t="s">
        <v>813</v>
      </c>
      <c r="G51" s="19">
        <v>6.05</v>
      </c>
      <c r="H51" s="19">
        <v>3.6870567375886498</v>
      </c>
    </row>
    <row r="52" spans="1:8">
      <c r="A52" s="19" t="s">
        <v>809</v>
      </c>
      <c r="B52" s="19" t="s">
        <v>820</v>
      </c>
      <c r="C52" s="19" t="s">
        <v>821</v>
      </c>
      <c r="D52" s="19">
        <v>20</v>
      </c>
      <c r="E52" s="19" t="s">
        <v>812</v>
      </c>
      <c r="F52" s="19" t="s">
        <v>814</v>
      </c>
      <c r="G52" s="19">
        <v>0.85</v>
      </c>
      <c r="H52" s="19">
        <v>3.6826241134751698</v>
      </c>
    </row>
    <row r="53" spans="1:8">
      <c r="A53" s="19" t="s">
        <v>809</v>
      </c>
      <c r="B53" s="19" t="s">
        <v>820</v>
      </c>
      <c r="C53" s="19" t="s">
        <v>821</v>
      </c>
      <c r="D53" s="19">
        <v>20</v>
      </c>
      <c r="E53" s="19" t="s">
        <v>812</v>
      </c>
      <c r="F53" s="19" t="s">
        <v>814</v>
      </c>
      <c r="G53" s="19">
        <v>1.35</v>
      </c>
      <c r="H53" s="19">
        <v>4.19237588652482</v>
      </c>
    </row>
    <row r="54" spans="1:8">
      <c r="A54" s="19" t="s">
        <v>809</v>
      </c>
      <c r="B54" s="19" t="s">
        <v>820</v>
      </c>
      <c r="C54" s="19" t="s">
        <v>821</v>
      </c>
      <c r="D54" s="19">
        <v>20</v>
      </c>
      <c r="E54" s="19" t="s">
        <v>812</v>
      </c>
      <c r="F54" s="19" t="s">
        <v>814</v>
      </c>
      <c r="G54" s="19">
        <v>1.85</v>
      </c>
      <c r="H54" s="19">
        <v>4.6932624113475097</v>
      </c>
    </row>
    <row r="55" spans="1:8">
      <c r="A55" s="19" t="s">
        <v>809</v>
      </c>
      <c r="B55" s="19" t="s">
        <v>820</v>
      </c>
      <c r="C55" s="19" t="s">
        <v>821</v>
      </c>
      <c r="D55" s="19">
        <v>20</v>
      </c>
      <c r="E55" s="19" t="s">
        <v>812</v>
      </c>
      <c r="F55" s="19" t="s">
        <v>814</v>
      </c>
      <c r="G55" s="19">
        <v>2.85</v>
      </c>
      <c r="H55" s="19">
        <v>5.1985815602836798</v>
      </c>
    </row>
    <row r="56" spans="1:8">
      <c r="A56" s="19" t="s">
        <v>809</v>
      </c>
      <c r="B56" s="19" t="s">
        <v>820</v>
      </c>
      <c r="C56" s="19" t="s">
        <v>821</v>
      </c>
      <c r="D56" s="19">
        <v>20</v>
      </c>
      <c r="E56" s="19" t="s">
        <v>812</v>
      </c>
      <c r="F56" s="19" t="s">
        <v>814</v>
      </c>
      <c r="G56" s="19">
        <v>3.7</v>
      </c>
      <c r="H56" s="19">
        <v>3.1749999999999998</v>
      </c>
    </row>
    <row r="57" spans="1:8">
      <c r="A57" s="19" t="s">
        <v>809</v>
      </c>
      <c r="B57" s="19" t="s">
        <v>820</v>
      </c>
      <c r="C57" s="19" t="s">
        <v>821</v>
      </c>
      <c r="D57" s="19">
        <v>20</v>
      </c>
      <c r="E57" s="19" t="s">
        <v>812</v>
      </c>
      <c r="F57" s="19" t="s">
        <v>814</v>
      </c>
      <c r="G57" s="19">
        <v>8.65</v>
      </c>
      <c r="H57" s="19">
        <v>4.19237588652482</v>
      </c>
    </row>
    <row r="58" spans="1:8">
      <c r="A58" s="19" t="s">
        <v>809</v>
      </c>
      <c r="B58" s="19" t="s">
        <v>822</v>
      </c>
      <c r="C58" s="19" t="s">
        <v>823</v>
      </c>
      <c r="D58" s="19">
        <v>21</v>
      </c>
      <c r="E58" s="19" t="s">
        <v>812</v>
      </c>
      <c r="F58" s="19" t="s">
        <v>813</v>
      </c>
      <c r="G58" s="19">
        <v>21</v>
      </c>
      <c r="H58" s="19">
        <v>0.54155124653739595</v>
      </c>
    </row>
    <row r="59" spans="1:8">
      <c r="A59" s="19" t="s">
        <v>809</v>
      </c>
      <c r="B59" s="19" t="s">
        <v>822</v>
      </c>
      <c r="C59" s="19" t="s">
        <v>823</v>
      </c>
      <c r="D59" s="19">
        <v>21</v>
      </c>
      <c r="E59" s="19" t="s">
        <v>812</v>
      </c>
      <c r="F59" s="19" t="s">
        <v>813</v>
      </c>
      <c r="G59" s="19">
        <v>6.7</v>
      </c>
      <c r="H59" s="19">
        <v>1.0817174515235399</v>
      </c>
    </row>
    <row r="60" spans="1:8">
      <c r="A60" s="19" t="s">
        <v>809</v>
      </c>
      <c r="B60" s="19" t="s">
        <v>822</v>
      </c>
      <c r="C60" s="19" t="s">
        <v>823</v>
      </c>
      <c r="D60" s="19">
        <v>21</v>
      </c>
      <c r="E60" s="19" t="s">
        <v>812</v>
      </c>
      <c r="F60" s="19" t="s">
        <v>813</v>
      </c>
      <c r="G60" s="19">
        <v>4.3642072213500702</v>
      </c>
      <c r="H60" s="19">
        <v>1.61265004616805</v>
      </c>
    </row>
    <row r="61" spans="1:8">
      <c r="A61" s="19" t="s">
        <v>809</v>
      </c>
      <c r="B61" s="19" t="s">
        <v>822</v>
      </c>
      <c r="C61" s="19" t="s">
        <v>823</v>
      </c>
      <c r="D61" s="19">
        <v>21</v>
      </c>
      <c r="E61" s="19" t="s">
        <v>812</v>
      </c>
      <c r="F61" s="19" t="s">
        <v>813</v>
      </c>
      <c r="G61" s="19">
        <v>1.9780219780219701</v>
      </c>
      <c r="H61" s="19">
        <v>2.1343490304709101</v>
      </c>
    </row>
    <row r="62" spans="1:8">
      <c r="A62" s="19" t="s">
        <v>809</v>
      </c>
      <c r="B62" s="19" t="s">
        <v>822</v>
      </c>
      <c r="C62" s="19" t="s">
        <v>823</v>
      </c>
      <c r="D62" s="19">
        <v>21</v>
      </c>
      <c r="E62" s="19" t="s">
        <v>812</v>
      </c>
      <c r="F62" s="19" t="s">
        <v>813</v>
      </c>
      <c r="G62" s="19">
        <v>0.97331240188382995</v>
      </c>
      <c r="H62" s="19">
        <v>2.6560480147737699</v>
      </c>
    </row>
    <row r="63" spans="1:8">
      <c r="A63" s="19" t="s">
        <v>809</v>
      </c>
      <c r="B63" s="19" t="s">
        <v>822</v>
      </c>
      <c r="C63" s="19" t="s">
        <v>823</v>
      </c>
      <c r="D63" s="19">
        <v>21</v>
      </c>
      <c r="E63" s="19" t="s">
        <v>812</v>
      </c>
      <c r="F63" s="19" t="s">
        <v>814</v>
      </c>
      <c r="G63" s="19">
        <v>0.91051805337519598</v>
      </c>
      <c r="H63" s="19">
        <v>3.1777469990766298</v>
      </c>
    </row>
    <row r="64" spans="1:8">
      <c r="A64" s="19" t="s">
        <v>809</v>
      </c>
      <c r="B64" s="19" t="s">
        <v>822</v>
      </c>
      <c r="C64" s="19" t="s">
        <v>823</v>
      </c>
      <c r="D64" s="19">
        <v>21</v>
      </c>
      <c r="E64" s="19" t="s">
        <v>812</v>
      </c>
      <c r="F64" s="19" t="s">
        <v>814</v>
      </c>
      <c r="G64" s="19">
        <v>1.8838304552590199</v>
      </c>
      <c r="H64" s="19">
        <v>3.6902123730378502</v>
      </c>
    </row>
    <row r="65" spans="1:8">
      <c r="A65" s="19" t="s">
        <v>809</v>
      </c>
      <c r="B65" s="19" t="s">
        <v>822</v>
      </c>
      <c r="C65" s="19" t="s">
        <v>823</v>
      </c>
      <c r="D65" s="19">
        <v>21</v>
      </c>
      <c r="E65" s="19" t="s">
        <v>812</v>
      </c>
      <c r="F65" s="19" t="s">
        <v>814</v>
      </c>
      <c r="G65" s="19">
        <v>2.8257456828885399</v>
      </c>
      <c r="H65" s="19">
        <v>4.19806094182825</v>
      </c>
    </row>
    <row r="66" spans="1:8">
      <c r="A66" s="19" t="s">
        <v>809</v>
      </c>
      <c r="B66" s="19" t="s">
        <v>822</v>
      </c>
      <c r="C66" s="19" t="s">
        <v>823</v>
      </c>
      <c r="D66" s="19">
        <v>21</v>
      </c>
      <c r="E66" s="19" t="s">
        <v>812</v>
      </c>
      <c r="F66" s="19" t="s">
        <v>814</v>
      </c>
      <c r="G66" s="19">
        <v>3.7990580847723701</v>
      </c>
      <c r="H66" s="19">
        <v>4.6966759002770004</v>
      </c>
    </row>
    <row r="67" spans="1:8">
      <c r="A67" s="19" t="s">
        <v>809</v>
      </c>
      <c r="B67" s="19" t="s">
        <v>822</v>
      </c>
      <c r="C67" s="19" t="s">
        <v>823</v>
      </c>
      <c r="D67" s="19">
        <v>21</v>
      </c>
      <c r="E67" s="19" t="s">
        <v>812</v>
      </c>
      <c r="F67" s="19" t="s">
        <v>814</v>
      </c>
      <c r="G67" s="19">
        <v>9.8000000000000007</v>
      </c>
      <c r="H67" s="19">
        <v>5.19990766389658</v>
      </c>
    </row>
    <row r="68" spans="1:8">
      <c r="A68" s="19" t="s">
        <v>809</v>
      </c>
      <c r="B68" s="19" t="s">
        <v>824</v>
      </c>
      <c r="C68" s="19" t="s">
        <v>825</v>
      </c>
      <c r="D68" s="19">
        <v>21</v>
      </c>
      <c r="E68" s="19" t="s">
        <v>812</v>
      </c>
      <c r="F68" s="19" t="s">
        <v>813</v>
      </c>
      <c r="G68" s="19">
        <v>21</v>
      </c>
      <c r="H68" s="19">
        <v>0.53500000000000003</v>
      </c>
    </row>
    <row r="69" spans="1:8">
      <c r="A69" s="19" t="s">
        <v>809</v>
      </c>
      <c r="B69" s="19" t="s">
        <v>824</v>
      </c>
      <c r="C69" s="19" t="s">
        <v>825</v>
      </c>
      <c r="D69" s="19">
        <v>21</v>
      </c>
      <c r="E69" s="19" t="s">
        <v>812</v>
      </c>
      <c r="F69" s="19" t="s">
        <v>813</v>
      </c>
      <c r="G69" s="19">
        <v>19.05</v>
      </c>
      <c r="H69" s="19">
        <v>1.075</v>
      </c>
    </row>
    <row r="70" spans="1:8">
      <c r="A70" s="19" t="s">
        <v>809</v>
      </c>
      <c r="B70" s="19" t="s">
        <v>824</v>
      </c>
      <c r="C70" s="19" t="s">
        <v>825</v>
      </c>
      <c r="D70" s="19">
        <v>21</v>
      </c>
      <c r="E70" s="19" t="s">
        <v>812</v>
      </c>
      <c r="F70" s="19" t="s">
        <v>813</v>
      </c>
      <c r="G70" s="19">
        <v>11.1</v>
      </c>
      <c r="H70" s="19">
        <v>1.6</v>
      </c>
    </row>
    <row r="71" spans="1:8">
      <c r="A71" s="19" t="s">
        <v>809</v>
      </c>
      <c r="B71" s="19" t="s">
        <v>824</v>
      </c>
      <c r="C71" s="19" t="s">
        <v>825</v>
      </c>
      <c r="D71" s="19">
        <v>21</v>
      </c>
      <c r="E71" s="19" t="s">
        <v>812</v>
      </c>
      <c r="F71" s="19" t="s">
        <v>813</v>
      </c>
      <c r="G71" s="19">
        <v>2.4500000000000002</v>
      </c>
      <c r="H71" s="19">
        <v>2.6494042163153</v>
      </c>
    </row>
    <row r="72" spans="1:8">
      <c r="A72" s="19" t="s">
        <v>809</v>
      </c>
      <c r="B72" s="19" t="s">
        <v>824</v>
      </c>
      <c r="C72" s="19" t="s">
        <v>825</v>
      </c>
      <c r="D72" s="19">
        <v>21</v>
      </c>
      <c r="E72" s="19" t="s">
        <v>812</v>
      </c>
      <c r="F72" s="19" t="s">
        <v>814</v>
      </c>
      <c r="G72" s="19">
        <v>0.95</v>
      </c>
      <c r="H72" s="19">
        <v>2.65</v>
      </c>
    </row>
    <row r="73" spans="1:8">
      <c r="A73" s="19" t="s">
        <v>809</v>
      </c>
      <c r="B73" s="19" t="s">
        <v>824</v>
      </c>
      <c r="C73" s="19" t="s">
        <v>825</v>
      </c>
      <c r="D73" s="19">
        <v>21</v>
      </c>
      <c r="E73" s="19" t="s">
        <v>812</v>
      </c>
      <c r="F73" s="19" t="s">
        <v>814</v>
      </c>
      <c r="G73" s="19">
        <v>1.4</v>
      </c>
      <c r="H73" s="19">
        <v>3.1718606779999998</v>
      </c>
    </row>
    <row r="74" spans="1:8">
      <c r="A74" s="19" t="s">
        <v>809</v>
      </c>
      <c r="B74" s="19" t="s">
        <v>824</v>
      </c>
      <c r="C74" s="19" t="s">
        <v>825</v>
      </c>
      <c r="D74" s="19">
        <v>21</v>
      </c>
      <c r="E74" s="19" t="s">
        <v>812</v>
      </c>
      <c r="F74" s="19" t="s">
        <v>814</v>
      </c>
      <c r="G74" s="19">
        <v>2.8125</v>
      </c>
      <c r="H74" s="19">
        <v>2.13</v>
      </c>
    </row>
    <row r="75" spans="1:8">
      <c r="A75" s="19" t="s">
        <v>809</v>
      </c>
      <c r="B75" s="19" t="s">
        <v>824</v>
      </c>
      <c r="C75" s="19" t="s">
        <v>825</v>
      </c>
      <c r="D75" s="19">
        <v>21</v>
      </c>
      <c r="E75" s="19" t="s">
        <v>812</v>
      </c>
      <c r="F75" s="19" t="s">
        <v>814</v>
      </c>
      <c r="G75" s="19">
        <v>7.1</v>
      </c>
      <c r="H75" s="19">
        <v>3.17186067827681</v>
      </c>
    </row>
    <row r="76" spans="1:8">
      <c r="A76" s="19" t="s">
        <v>809</v>
      </c>
      <c r="B76" s="19" t="s">
        <v>826</v>
      </c>
      <c r="C76" s="19" t="s">
        <v>810</v>
      </c>
      <c r="D76" s="19">
        <v>22</v>
      </c>
      <c r="E76" s="19" t="s">
        <v>812</v>
      </c>
      <c r="F76" s="19" t="s">
        <v>813</v>
      </c>
      <c r="G76" s="19">
        <v>22</v>
      </c>
      <c r="H76" s="19">
        <v>0.54464285714285698</v>
      </c>
    </row>
    <row r="77" spans="1:8">
      <c r="A77" s="19" t="s">
        <v>809</v>
      </c>
      <c r="B77" s="19" t="s">
        <v>826</v>
      </c>
      <c r="C77" s="19" t="s">
        <v>810</v>
      </c>
      <c r="D77" s="19">
        <v>22</v>
      </c>
      <c r="E77" s="19" t="s">
        <v>812</v>
      </c>
      <c r="F77" s="19" t="s">
        <v>813</v>
      </c>
      <c r="G77" s="19">
        <v>9.75</v>
      </c>
      <c r="H77" s="19">
        <v>1.0803571428571399</v>
      </c>
    </row>
    <row r="78" spans="1:8">
      <c r="A78" s="19" t="s">
        <v>809</v>
      </c>
      <c r="B78" s="19" t="s">
        <v>826</v>
      </c>
      <c r="C78" s="19" t="s">
        <v>810</v>
      </c>
      <c r="D78" s="19">
        <v>22</v>
      </c>
      <c r="E78" s="19" t="s">
        <v>812</v>
      </c>
      <c r="F78" s="19" t="s">
        <v>813</v>
      </c>
      <c r="G78" s="19">
        <v>4.3499999999999996</v>
      </c>
      <c r="H78" s="19">
        <v>1.6026785714285701</v>
      </c>
    </row>
    <row r="79" spans="1:8">
      <c r="A79" s="19" t="s">
        <v>809</v>
      </c>
      <c r="B79" s="19" t="s">
        <v>826</v>
      </c>
      <c r="C79" s="19" t="s">
        <v>810</v>
      </c>
      <c r="D79" s="19">
        <v>22</v>
      </c>
      <c r="E79" s="19" t="s">
        <v>812</v>
      </c>
      <c r="F79" s="19" t="s">
        <v>813</v>
      </c>
      <c r="G79" s="19">
        <v>1.925</v>
      </c>
      <c r="H79" s="19">
        <v>2.1294642857142798</v>
      </c>
    </row>
    <row r="80" spans="1:8">
      <c r="A80" s="19" t="s">
        <v>809</v>
      </c>
      <c r="B80" s="19" t="s">
        <v>826</v>
      </c>
      <c r="C80" s="19" t="s">
        <v>810</v>
      </c>
      <c r="D80" s="19">
        <v>22</v>
      </c>
      <c r="E80" s="19" t="s">
        <v>812</v>
      </c>
      <c r="F80" s="19" t="s">
        <v>813</v>
      </c>
      <c r="G80" s="19">
        <v>1.45</v>
      </c>
      <c r="H80" s="19">
        <v>2.6428571428571401</v>
      </c>
    </row>
    <row r="81" spans="1:8">
      <c r="A81" s="19" t="s">
        <v>809</v>
      </c>
      <c r="B81" s="19" t="s">
        <v>826</v>
      </c>
      <c r="C81" s="19" t="s">
        <v>810</v>
      </c>
      <c r="D81" s="19">
        <v>22</v>
      </c>
      <c r="E81" s="19" t="s">
        <v>812</v>
      </c>
      <c r="F81" s="19" t="s">
        <v>814</v>
      </c>
      <c r="G81" s="19">
        <v>0.85496183206106802</v>
      </c>
      <c r="H81" s="19">
        <v>3.1749999999999998</v>
      </c>
    </row>
    <row r="82" spans="1:8">
      <c r="A82" s="19" t="s">
        <v>809</v>
      </c>
      <c r="B82" s="19" t="s">
        <v>826</v>
      </c>
      <c r="C82" s="19" t="s">
        <v>810</v>
      </c>
      <c r="D82" s="19">
        <v>22</v>
      </c>
      <c r="E82" s="19" t="s">
        <v>812</v>
      </c>
      <c r="F82" s="19" t="s">
        <v>814</v>
      </c>
      <c r="G82" s="19">
        <v>1.89312977099236</v>
      </c>
      <c r="H82" s="19">
        <v>3.6850000000000001</v>
      </c>
    </row>
    <row r="83" spans="1:8">
      <c r="A83" s="19" t="s">
        <v>809</v>
      </c>
      <c r="B83" s="19" t="s">
        <v>826</v>
      </c>
      <c r="C83" s="19" t="s">
        <v>810</v>
      </c>
      <c r="D83" s="19">
        <v>22</v>
      </c>
      <c r="E83" s="19" t="s">
        <v>812</v>
      </c>
      <c r="F83" s="19" t="s">
        <v>814</v>
      </c>
      <c r="G83" s="19">
        <v>3.2977099236641201</v>
      </c>
      <c r="H83" s="19">
        <v>4.1964285714285703</v>
      </c>
    </row>
    <row r="84" spans="1:8">
      <c r="A84" s="19" t="s">
        <v>809</v>
      </c>
      <c r="B84" s="19" t="s">
        <v>826</v>
      </c>
      <c r="C84" s="19" t="s">
        <v>810</v>
      </c>
      <c r="D84" s="19">
        <v>22</v>
      </c>
      <c r="E84" s="19" t="s">
        <v>812</v>
      </c>
      <c r="F84" s="19" t="s">
        <v>814</v>
      </c>
      <c r="G84" s="19">
        <v>4.8244274809160297</v>
      </c>
      <c r="H84" s="19">
        <v>4.6950000000000003</v>
      </c>
    </row>
    <row r="85" spans="1:8">
      <c r="A85" s="19" t="s">
        <v>809</v>
      </c>
      <c r="B85" s="19" t="s">
        <v>826</v>
      </c>
      <c r="C85" s="19" t="s">
        <v>810</v>
      </c>
      <c r="D85" s="19">
        <v>22</v>
      </c>
      <c r="E85" s="19" t="s">
        <v>812</v>
      </c>
      <c r="F85" s="19" t="s">
        <v>814</v>
      </c>
      <c r="G85" s="19">
        <v>15.5114503816793</v>
      </c>
      <c r="H85" s="19">
        <v>5.2050000000000001</v>
      </c>
    </row>
    <row r="86" spans="1:8">
      <c r="A86" s="19" t="s">
        <v>809</v>
      </c>
      <c r="B86" s="19" t="s">
        <v>827</v>
      </c>
      <c r="C86" s="19" t="s">
        <v>828</v>
      </c>
      <c r="D86" s="19">
        <v>22</v>
      </c>
      <c r="E86" s="19" t="s">
        <v>812</v>
      </c>
      <c r="F86" s="19" t="s">
        <v>813</v>
      </c>
      <c r="G86" s="19">
        <v>22</v>
      </c>
      <c r="H86" s="19">
        <v>0.540946314831665</v>
      </c>
    </row>
    <row r="87" spans="1:8">
      <c r="A87" s="19" t="s">
        <v>809</v>
      </c>
      <c r="B87" s="19" t="s">
        <v>827</v>
      </c>
      <c r="C87" s="19" t="s">
        <v>828</v>
      </c>
      <c r="D87" s="19">
        <v>22</v>
      </c>
      <c r="E87" s="19" t="s">
        <v>812</v>
      </c>
      <c r="F87" s="19" t="s">
        <v>813</v>
      </c>
      <c r="G87" s="19">
        <v>18.325581395348799</v>
      </c>
      <c r="H87" s="19">
        <v>1.07779799818016</v>
      </c>
    </row>
    <row r="88" spans="1:8">
      <c r="A88" s="19" t="s">
        <v>809</v>
      </c>
      <c r="B88" s="19" t="s">
        <v>827</v>
      </c>
      <c r="C88" s="19" t="s">
        <v>828</v>
      </c>
      <c r="D88" s="19">
        <v>22</v>
      </c>
      <c r="E88" s="19" t="s">
        <v>812</v>
      </c>
      <c r="F88" s="19" t="s">
        <v>813</v>
      </c>
      <c r="G88" s="19">
        <v>11.968992248061999</v>
      </c>
      <c r="H88" s="19">
        <v>1.60555050045495</v>
      </c>
    </row>
    <row r="89" spans="1:8">
      <c r="A89" s="19" t="s">
        <v>809</v>
      </c>
      <c r="B89" s="19" t="s">
        <v>827</v>
      </c>
      <c r="C89" s="19" t="s">
        <v>828</v>
      </c>
      <c r="D89" s="19">
        <v>22</v>
      </c>
      <c r="E89" s="19" t="s">
        <v>812</v>
      </c>
      <c r="F89" s="19" t="s">
        <v>813</v>
      </c>
      <c r="G89" s="19">
        <v>7.8449612403100701</v>
      </c>
      <c r="H89" s="19">
        <v>2.1242038216560499</v>
      </c>
    </row>
    <row r="90" spans="1:8">
      <c r="A90" s="19" t="s">
        <v>809</v>
      </c>
      <c r="B90" s="19" t="s">
        <v>827</v>
      </c>
      <c r="C90" s="19" t="s">
        <v>828</v>
      </c>
      <c r="D90" s="19">
        <v>22</v>
      </c>
      <c r="E90" s="19" t="s">
        <v>812</v>
      </c>
      <c r="F90" s="19" t="s">
        <v>813</v>
      </c>
      <c r="G90" s="19">
        <v>4.8372093023255802</v>
      </c>
      <c r="H90" s="19">
        <v>4.1897179253867103</v>
      </c>
    </row>
    <row r="91" spans="1:8">
      <c r="A91" s="19" t="s">
        <v>809</v>
      </c>
      <c r="B91" s="19" t="s">
        <v>827</v>
      </c>
      <c r="C91" s="19" t="s">
        <v>828</v>
      </c>
      <c r="D91" s="19">
        <v>22</v>
      </c>
      <c r="E91" s="19" t="s">
        <v>812</v>
      </c>
      <c r="F91" s="19" t="s">
        <v>814</v>
      </c>
      <c r="G91" s="19">
        <v>0.89922480620154999</v>
      </c>
      <c r="H91" s="19">
        <v>2.1151046405823402</v>
      </c>
    </row>
    <row r="92" spans="1:8">
      <c r="A92" s="19" t="s">
        <v>809</v>
      </c>
      <c r="B92" s="19" t="s">
        <v>827</v>
      </c>
      <c r="C92" s="19" t="s">
        <v>828</v>
      </c>
      <c r="D92" s="19">
        <v>22</v>
      </c>
      <c r="E92" s="19" t="s">
        <v>812</v>
      </c>
      <c r="F92" s="19" t="s">
        <v>814</v>
      </c>
      <c r="G92" s="19">
        <v>1.86046511627906</v>
      </c>
      <c r="H92" s="19">
        <v>2.6428571428571401</v>
      </c>
    </row>
    <row r="93" spans="1:8">
      <c r="A93" s="19" t="s">
        <v>809</v>
      </c>
      <c r="B93" s="19" t="s">
        <v>827</v>
      </c>
      <c r="C93" s="19" t="s">
        <v>828</v>
      </c>
      <c r="D93" s="19">
        <v>22</v>
      </c>
      <c r="E93" s="19" t="s">
        <v>812</v>
      </c>
      <c r="F93" s="19" t="s">
        <v>814</v>
      </c>
      <c r="G93" s="19">
        <v>4.3720930232558102</v>
      </c>
      <c r="H93" s="19">
        <v>3.1706096451319299</v>
      </c>
    </row>
    <row r="94" spans="1:8">
      <c r="A94" s="19" t="s">
        <v>809</v>
      </c>
      <c r="B94" s="19" t="s">
        <v>827</v>
      </c>
      <c r="C94" s="19" t="s">
        <v>828</v>
      </c>
      <c r="D94" s="19">
        <v>22</v>
      </c>
      <c r="E94" s="19" t="s">
        <v>812</v>
      </c>
      <c r="F94" s="19" t="s">
        <v>814</v>
      </c>
      <c r="G94" s="19">
        <v>14.4806201550387</v>
      </c>
      <c r="H94" s="19">
        <v>3.6892629663330299</v>
      </c>
    </row>
    <row r="95" spans="1:8">
      <c r="A95" s="19" t="s">
        <v>809</v>
      </c>
      <c r="B95" s="19" t="s">
        <v>827</v>
      </c>
      <c r="C95" s="19" t="s">
        <v>828</v>
      </c>
      <c r="D95" s="19">
        <v>22</v>
      </c>
      <c r="E95" s="19" t="s">
        <v>812</v>
      </c>
      <c r="F95" s="19" t="s">
        <v>814</v>
      </c>
      <c r="G95" s="19">
        <v>3.0077519379844899</v>
      </c>
      <c r="H95" s="19">
        <v>4.69472247497725</v>
      </c>
    </row>
    <row r="96" spans="1:8">
      <c r="A96" s="19" t="s">
        <v>809</v>
      </c>
      <c r="B96" s="19" t="s">
        <v>829</v>
      </c>
      <c r="C96" s="19" t="s">
        <v>830</v>
      </c>
      <c r="D96" s="19">
        <v>23</v>
      </c>
      <c r="E96" s="19" t="s">
        <v>812</v>
      </c>
      <c r="F96" s="19" t="s">
        <v>813</v>
      </c>
      <c r="G96" s="19">
        <v>23</v>
      </c>
      <c r="H96" s="19">
        <v>0.53623188405797095</v>
      </c>
    </row>
    <row r="97" spans="1:8">
      <c r="A97" s="19" t="s">
        <v>809</v>
      </c>
      <c r="B97" s="19" t="s">
        <v>829</v>
      </c>
      <c r="C97" s="19" t="s">
        <v>830</v>
      </c>
      <c r="D97" s="19">
        <v>23</v>
      </c>
      <c r="E97" s="19" t="s">
        <v>812</v>
      </c>
      <c r="F97" s="19" t="s">
        <v>813</v>
      </c>
      <c r="G97" s="19">
        <v>15.7</v>
      </c>
      <c r="H97" s="19">
        <v>1.07518115942029</v>
      </c>
    </row>
    <row r="98" spans="1:8">
      <c r="A98" s="19" t="s">
        <v>809</v>
      </c>
      <c r="B98" s="19" t="s">
        <v>829</v>
      </c>
      <c r="C98" s="19" t="s">
        <v>830</v>
      </c>
      <c r="D98" s="19">
        <v>23</v>
      </c>
      <c r="E98" s="19" t="s">
        <v>812</v>
      </c>
      <c r="F98" s="19" t="s">
        <v>813</v>
      </c>
      <c r="G98" s="19">
        <v>10.1078582434514</v>
      </c>
      <c r="H98" s="19">
        <v>1.60507246376811</v>
      </c>
    </row>
    <row r="99" spans="1:8">
      <c r="A99" s="19" t="s">
        <v>809</v>
      </c>
      <c r="B99" s="19" t="s">
        <v>829</v>
      </c>
      <c r="C99" s="19" t="s">
        <v>830</v>
      </c>
      <c r="D99" s="19">
        <v>23</v>
      </c>
      <c r="E99" s="19" t="s">
        <v>812</v>
      </c>
      <c r="F99" s="19" t="s">
        <v>813</v>
      </c>
      <c r="G99" s="19">
        <v>3.45</v>
      </c>
      <c r="H99" s="19">
        <v>2.13043478260869</v>
      </c>
    </row>
    <row r="100" spans="1:8">
      <c r="A100" s="19" t="s">
        <v>809</v>
      </c>
      <c r="B100" s="19" t="s">
        <v>829</v>
      </c>
      <c r="C100" s="19" t="s">
        <v>830</v>
      </c>
      <c r="D100" s="19">
        <v>23</v>
      </c>
      <c r="E100" s="19" t="s">
        <v>812</v>
      </c>
      <c r="F100" s="19" t="s">
        <v>813</v>
      </c>
      <c r="G100" s="19">
        <v>1.95</v>
      </c>
      <c r="H100" s="19">
        <v>2.65</v>
      </c>
    </row>
    <row r="101" spans="1:8">
      <c r="A101" s="19" t="s">
        <v>809</v>
      </c>
      <c r="B101" s="19" t="s">
        <v>829</v>
      </c>
      <c r="C101" s="19" t="s">
        <v>830</v>
      </c>
      <c r="D101" s="19">
        <v>23</v>
      </c>
      <c r="E101" s="19" t="s">
        <v>812</v>
      </c>
      <c r="F101" s="19" t="s">
        <v>814</v>
      </c>
      <c r="G101" s="19">
        <v>0.893682588597842</v>
      </c>
      <c r="H101" s="19">
        <v>3.1721014492753601</v>
      </c>
    </row>
    <row r="102" spans="1:8">
      <c r="A102" s="19" t="s">
        <v>809</v>
      </c>
      <c r="B102" s="19" t="s">
        <v>829</v>
      </c>
      <c r="C102" s="19" t="s">
        <v>830</v>
      </c>
      <c r="D102" s="19">
        <v>23</v>
      </c>
      <c r="E102" s="19" t="s">
        <v>812</v>
      </c>
      <c r="F102" s="19" t="s">
        <v>814</v>
      </c>
      <c r="G102" s="19">
        <v>1.8798151001540799</v>
      </c>
      <c r="H102" s="19">
        <v>3.6884057971014399</v>
      </c>
    </row>
    <row r="103" spans="1:8">
      <c r="A103" s="19" t="s">
        <v>809</v>
      </c>
      <c r="B103" s="19" t="s">
        <v>829</v>
      </c>
      <c r="C103" s="19" t="s">
        <v>830</v>
      </c>
      <c r="D103" s="19">
        <v>23</v>
      </c>
      <c r="E103" s="19" t="s">
        <v>812</v>
      </c>
      <c r="F103" s="19" t="s">
        <v>814</v>
      </c>
      <c r="G103" s="19">
        <v>2.86594761171032</v>
      </c>
      <c r="H103" s="19">
        <v>4.7</v>
      </c>
    </row>
    <row r="104" spans="1:8">
      <c r="A104" s="19" t="s">
        <v>809</v>
      </c>
      <c r="B104" s="19" t="s">
        <v>829</v>
      </c>
      <c r="C104" s="19" t="s">
        <v>830</v>
      </c>
      <c r="D104" s="19">
        <v>23</v>
      </c>
      <c r="E104" s="19" t="s">
        <v>812</v>
      </c>
      <c r="F104" s="19" t="s">
        <v>814</v>
      </c>
      <c r="G104" s="19">
        <v>3.2973805855161702</v>
      </c>
      <c r="H104" s="19">
        <v>5.2050000000000001</v>
      </c>
    </row>
    <row r="105" spans="1:8">
      <c r="A105" s="19" t="s">
        <v>809</v>
      </c>
      <c r="B105" s="19" t="s">
        <v>829</v>
      </c>
      <c r="C105" s="19" t="s">
        <v>830</v>
      </c>
      <c r="D105" s="19">
        <v>23</v>
      </c>
      <c r="E105" s="19" t="s">
        <v>812</v>
      </c>
      <c r="F105" s="19" t="s">
        <v>814</v>
      </c>
      <c r="G105" s="19">
        <v>4.77657935285053</v>
      </c>
      <c r="H105" s="19">
        <v>3.1749999999999998</v>
      </c>
    </row>
    <row r="106" spans="1:8">
      <c r="A106" s="19" t="s">
        <v>809</v>
      </c>
      <c r="B106" s="19" t="s">
        <v>831</v>
      </c>
      <c r="C106" s="19" t="s">
        <v>832</v>
      </c>
      <c r="D106" s="19">
        <v>23</v>
      </c>
      <c r="E106" s="19" t="s">
        <v>812</v>
      </c>
      <c r="F106" s="19" t="s">
        <v>813</v>
      </c>
      <c r="G106" s="19">
        <v>23</v>
      </c>
      <c r="H106" s="19">
        <v>0.54</v>
      </c>
    </row>
    <row r="107" spans="1:8">
      <c r="A107" s="19" t="s">
        <v>809</v>
      </c>
      <c r="B107" s="19" t="s">
        <v>831</v>
      </c>
      <c r="C107" s="19" t="s">
        <v>832</v>
      </c>
      <c r="D107" s="19">
        <v>23</v>
      </c>
      <c r="E107" s="19" t="s">
        <v>812</v>
      </c>
      <c r="F107" s="19" t="s">
        <v>813</v>
      </c>
      <c r="G107" s="19">
        <v>15.395</v>
      </c>
      <c r="H107" s="19">
        <v>1.08</v>
      </c>
    </row>
    <row r="108" spans="1:8">
      <c r="A108" s="19" t="s">
        <v>809</v>
      </c>
      <c r="B108" s="19" t="s">
        <v>831</v>
      </c>
      <c r="C108" s="19" t="s">
        <v>832</v>
      </c>
      <c r="D108" s="19">
        <v>23</v>
      </c>
      <c r="E108" s="19" t="s">
        <v>812</v>
      </c>
      <c r="F108" s="19" t="s">
        <v>813</v>
      </c>
      <c r="G108" s="19">
        <v>5.4003139717425404</v>
      </c>
      <c r="H108" s="19">
        <v>1.61</v>
      </c>
    </row>
    <row r="109" spans="1:8">
      <c r="A109" s="19" t="s">
        <v>809</v>
      </c>
      <c r="B109" s="19" t="s">
        <v>831</v>
      </c>
      <c r="C109" s="19" t="s">
        <v>832</v>
      </c>
      <c r="D109" s="19">
        <v>23</v>
      </c>
      <c r="E109" s="19" t="s">
        <v>812</v>
      </c>
      <c r="F109" s="19" t="s">
        <v>813</v>
      </c>
      <c r="G109" s="19">
        <v>2.9513343799057998</v>
      </c>
      <c r="H109" s="19">
        <v>2.6549999999999998</v>
      </c>
    </row>
    <row r="110" spans="1:8">
      <c r="A110" s="19" t="s">
        <v>809</v>
      </c>
      <c r="B110" s="19" t="s">
        <v>831</v>
      </c>
      <c r="C110" s="19" t="s">
        <v>832</v>
      </c>
      <c r="D110" s="19">
        <v>23</v>
      </c>
      <c r="E110" s="19" t="s">
        <v>812</v>
      </c>
      <c r="F110" s="19" t="s">
        <v>813</v>
      </c>
      <c r="G110" s="19">
        <v>4.3328100470957596</v>
      </c>
      <c r="H110" s="19">
        <v>3.69</v>
      </c>
    </row>
    <row r="111" spans="1:8">
      <c r="A111" s="19" t="s">
        <v>809</v>
      </c>
      <c r="B111" s="19" t="s">
        <v>831</v>
      </c>
      <c r="C111" s="19" t="s">
        <v>832</v>
      </c>
      <c r="D111" s="19">
        <v>23</v>
      </c>
      <c r="E111" s="19" t="s">
        <v>812</v>
      </c>
      <c r="F111" s="19" t="s">
        <v>813</v>
      </c>
      <c r="G111" s="19">
        <v>7.2841444270015696</v>
      </c>
      <c r="H111" s="19">
        <v>4.6950000000000003</v>
      </c>
    </row>
    <row r="112" spans="1:8">
      <c r="A112" s="19" t="s">
        <v>809</v>
      </c>
      <c r="B112" s="19" t="s">
        <v>831</v>
      </c>
      <c r="C112" s="19" t="s">
        <v>832</v>
      </c>
      <c r="D112" s="19">
        <v>23</v>
      </c>
      <c r="E112" s="19" t="s">
        <v>812</v>
      </c>
      <c r="F112" s="19" t="s">
        <v>814</v>
      </c>
      <c r="G112" s="19">
        <v>0.97331240188382995</v>
      </c>
      <c r="H112" s="19">
        <v>4.6950321987120498</v>
      </c>
    </row>
    <row r="113" spans="1:8">
      <c r="A113" s="19" t="s">
        <v>809</v>
      </c>
      <c r="B113" s="19" t="s">
        <v>831</v>
      </c>
      <c r="C113" s="19" t="s">
        <v>832</v>
      </c>
      <c r="D113" s="19">
        <v>23</v>
      </c>
      <c r="E113" s="19" t="s">
        <v>812</v>
      </c>
      <c r="F113" s="19" t="s">
        <v>814</v>
      </c>
      <c r="G113" s="19">
        <v>1.9780219780219701</v>
      </c>
      <c r="H113" s="19">
        <v>5.2</v>
      </c>
    </row>
    <row r="114" spans="1:8">
      <c r="A114" s="19" t="s">
        <v>809</v>
      </c>
      <c r="B114" s="19" t="s">
        <v>831</v>
      </c>
      <c r="C114" s="19" t="s">
        <v>832</v>
      </c>
      <c r="D114" s="19">
        <v>23</v>
      </c>
      <c r="E114" s="19" t="s">
        <v>812</v>
      </c>
      <c r="F114" s="19" t="s">
        <v>814</v>
      </c>
      <c r="G114" s="19">
        <v>2.4803767660910498</v>
      </c>
      <c r="H114" s="19">
        <v>2.13</v>
      </c>
    </row>
    <row r="115" spans="1:8">
      <c r="A115" s="19" t="s">
        <v>809</v>
      </c>
      <c r="B115" s="19" t="s">
        <v>831</v>
      </c>
      <c r="C115" s="19" t="s">
        <v>832</v>
      </c>
      <c r="D115" s="19">
        <v>23</v>
      </c>
      <c r="E115" s="19" t="s">
        <v>812</v>
      </c>
      <c r="F115" s="19" t="s">
        <v>814</v>
      </c>
      <c r="G115" s="19">
        <v>3.95604395604395</v>
      </c>
      <c r="H115" s="19">
        <v>3.1749999999999998</v>
      </c>
    </row>
    <row r="116" spans="1:8">
      <c r="A116" s="19" t="s">
        <v>809</v>
      </c>
      <c r="B116" s="19" t="s">
        <v>831</v>
      </c>
      <c r="C116" s="19" t="s">
        <v>832</v>
      </c>
      <c r="D116" s="19">
        <v>23</v>
      </c>
      <c r="E116" s="19" t="s">
        <v>812</v>
      </c>
      <c r="F116" s="19" t="s">
        <v>814</v>
      </c>
      <c r="G116" s="19">
        <v>7.9120879120879097</v>
      </c>
      <c r="H116" s="19">
        <v>4.1982520699172001</v>
      </c>
    </row>
    <row r="117" spans="1:8">
      <c r="A117" s="19" t="s">
        <v>809</v>
      </c>
      <c r="B117" s="19" t="s">
        <v>831</v>
      </c>
      <c r="C117" s="19" t="s">
        <v>832</v>
      </c>
      <c r="D117" s="19">
        <v>23</v>
      </c>
      <c r="E117" s="19" t="s">
        <v>812</v>
      </c>
      <c r="F117" s="19" t="s">
        <v>814</v>
      </c>
      <c r="G117" s="19">
        <v>9.6075353218210306</v>
      </c>
      <c r="H117" s="19">
        <v>5.2</v>
      </c>
    </row>
    <row r="118" spans="1:8">
      <c r="A118" s="19" t="s">
        <v>809</v>
      </c>
      <c r="B118" s="19" t="s">
        <v>833</v>
      </c>
      <c r="C118" s="19" t="s">
        <v>816</v>
      </c>
      <c r="D118" s="19">
        <v>24</v>
      </c>
      <c r="E118" s="19" t="s">
        <v>812</v>
      </c>
      <c r="F118" s="19" t="s">
        <v>813</v>
      </c>
      <c r="G118" s="19">
        <v>24</v>
      </c>
      <c r="H118" s="19">
        <v>0.53693444136657398</v>
      </c>
    </row>
    <row r="119" spans="1:8">
      <c r="A119" s="19" t="s">
        <v>809</v>
      </c>
      <c r="B119" s="19" t="s">
        <v>833</v>
      </c>
      <c r="C119" s="19" t="s">
        <v>816</v>
      </c>
      <c r="D119" s="19">
        <v>24</v>
      </c>
      <c r="E119" s="19" t="s">
        <v>812</v>
      </c>
      <c r="F119" s="19" t="s">
        <v>813</v>
      </c>
      <c r="G119" s="19">
        <v>12.2448979591836</v>
      </c>
      <c r="H119" s="19">
        <v>1.07710064635272</v>
      </c>
    </row>
    <row r="120" spans="1:8">
      <c r="A120" s="19" t="s">
        <v>809</v>
      </c>
      <c r="B120" s="19" t="s">
        <v>833</v>
      </c>
      <c r="C120" s="19" t="s">
        <v>816</v>
      </c>
      <c r="D120" s="19">
        <v>24</v>
      </c>
      <c r="E120" s="19" t="s">
        <v>812</v>
      </c>
      <c r="F120" s="19" t="s">
        <v>813</v>
      </c>
      <c r="G120" s="19">
        <v>5.4317111459968599</v>
      </c>
      <c r="H120" s="19">
        <v>1.5987996306555801</v>
      </c>
    </row>
    <row r="121" spans="1:8">
      <c r="A121" s="19" t="s">
        <v>809</v>
      </c>
      <c r="B121" s="19" t="s">
        <v>833</v>
      </c>
      <c r="C121" s="19" t="s">
        <v>816</v>
      </c>
      <c r="D121" s="19">
        <v>24</v>
      </c>
      <c r="E121" s="19" t="s">
        <v>812</v>
      </c>
      <c r="F121" s="19" t="s">
        <v>813</v>
      </c>
      <c r="G121" s="19">
        <v>2.9513343799057998</v>
      </c>
      <c r="H121" s="19">
        <v>2.1297322253000899</v>
      </c>
    </row>
    <row r="122" spans="1:8">
      <c r="A122" s="19" t="s">
        <v>809</v>
      </c>
      <c r="B122" s="19" t="s">
        <v>833</v>
      </c>
      <c r="C122" s="19" t="s">
        <v>816</v>
      </c>
      <c r="D122" s="19">
        <v>24</v>
      </c>
      <c r="E122" s="19" t="s">
        <v>812</v>
      </c>
      <c r="F122" s="19" t="s">
        <v>813</v>
      </c>
      <c r="G122" s="19">
        <v>2.5117739403453601</v>
      </c>
      <c r="H122" s="19">
        <v>2.64681440443213</v>
      </c>
    </row>
    <row r="123" spans="1:8">
      <c r="A123" s="19" t="s">
        <v>809</v>
      </c>
      <c r="B123" s="19" t="s">
        <v>833</v>
      </c>
      <c r="C123" s="19" t="s">
        <v>816</v>
      </c>
      <c r="D123" s="19">
        <v>24</v>
      </c>
      <c r="E123" s="19" t="s">
        <v>812</v>
      </c>
      <c r="F123" s="19" t="s">
        <v>814</v>
      </c>
      <c r="G123" s="19">
        <v>2.3861852433281001</v>
      </c>
      <c r="H123" s="19">
        <v>3.1731301939058101</v>
      </c>
    </row>
    <row r="124" spans="1:8">
      <c r="A124" s="19" t="s">
        <v>809</v>
      </c>
      <c r="B124" s="19" t="s">
        <v>833</v>
      </c>
      <c r="C124" s="19" t="s">
        <v>816</v>
      </c>
      <c r="D124" s="19">
        <v>24</v>
      </c>
      <c r="E124" s="19" t="s">
        <v>812</v>
      </c>
      <c r="F124" s="19" t="s">
        <v>814</v>
      </c>
      <c r="G124" s="19">
        <v>2.9513343799057998</v>
      </c>
      <c r="H124" s="19">
        <v>3.69482917820867</v>
      </c>
    </row>
    <row r="125" spans="1:8">
      <c r="A125" s="19" t="s">
        <v>809</v>
      </c>
      <c r="B125" s="19" t="s">
        <v>833</v>
      </c>
      <c r="C125" s="19" t="s">
        <v>816</v>
      </c>
      <c r="D125" s="19">
        <v>24</v>
      </c>
      <c r="E125" s="19" t="s">
        <v>812</v>
      </c>
      <c r="F125" s="19" t="s">
        <v>814</v>
      </c>
      <c r="G125" s="19">
        <v>5.2747252747252702</v>
      </c>
      <c r="H125" s="19">
        <v>4.19806094182825</v>
      </c>
    </row>
    <row r="126" spans="1:8">
      <c r="A126" s="19" t="s">
        <v>809</v>
      </c>
      <c r="B126" s="19" t="s">
        <v>833</v>
      </c>
      <c r="C126" s="19" t="s">
        <v>816</v>
      </c>
      <c r="D126" s="19">
        <v>24</v>
      </c>
      <c r="E126" s="19" t="s">
        <v>812</v>
      </c>
      <c r="F126" s="19" t="s">
        <v>814</v>
      </c>
      <c r="G126" s="19">
        <v>7.3155416012558803</v>
      </c>
      <c r="H126" s="19">
        <v>4.6966759002770004</v>
      </c>
    </row>
    <row r="127" spans="1:8">
      <c r="A127" s="19" t="s">
        <v>809</v>
      </c>
      <c r="B127" s="19" t="s">
        <v>833</v>
      </c>
      <c r="C127" s="19" t="s">
        <v>816</v>
      </c>
      <c r="D127" s="19">
        <v>24</v>
      </c>
      <c r="E127" s="19" t="s">
        <v>812</v>
      </c>
      <c r="F127" s="19" t="s">
        <v>814</v>
      </c>
      <c r="G127" s="19">
        <v>13.5007849293563</v>
      </c>
      <c r="H127" s="19">
        <v>5.1952908587257598</v>
      </c>
    </row>
    <row r="128" spans="1:8">
      <c r="A128" s="19" t="s">
        <v>809</v>
      </c>
      <c r="B128" s="19" t="s">
        <v>834</v>
      </c>
      <c r="C128" s="19" t="s">
        <v>818</v>
      </c>
      <c r="D128" s="19">
        <v>24</v>
      </c>
      <c r="E128" s="19" t="s">
        <v>812</v>
      </c>
      <c r="F128" s="19" t="s">
        <v>813</v>
      </c>
      <c r="G128" s="19">
        <v>24</v>
      </c>
      <c r="H128" s="19">
        <v>0.54317789291882501</v>
      </c>
    </row>
    <row r="129" spans="1:8">
      <c r="A129" s="19" t="s">
        <v>809</v>
      </c>
      <c r="B129" s="19" t="s">
        <v>834</v>
      </c>
      <c r="C129" s="19" t="s">
        <v>818</v>
      </c>
      <c r="D129" s="19">
        <v>24</v>
      </c>
      <c r="E129" s="19" t="s">
        <v>812</v>
      </c>
      <c r="F129" s="19" t="s">
        <v>813</v>
      </c>
      <c r="G129" s="19">
        <v>6.3235294117647003</v>
      </c>
      <c r="H129" s="19">
        <v>1.0785837651122601</v>
      </c>
    </row>
    <row r="130" spans="1:8">
      <c r="A130" s="19" t="s">
        <v>809</v>
      </c>
      <c r="B130" s="19" t="s">
        <v>834</v>
      </c>
      <c r="C130" s="19" t="s">
        <v>818</v>
      </c>
      <c r="D130" s="19">
        <v>24</v>
      </c>
      <c r="E130" s="19" t="s">
        <v>812</v>
      </c>
      <c r="F130" s="19" t="s">
        <v>813</v>
      </c>
      <c r="G130" s="19">
        <v>3.8823529411764701</v>
      </c>
      <c r="H130" s="19">
        <v>1.6053540587219299</v>
      </c>
    </row>
    <row r="131" spans="1:8">
      <c r="A131" s="19" t="s">
        <v>809</v>
      </c>
      <c r="B131" s="19" t="s">
        <v>834</v>
      </c>
      <c r="C131" s="19" t="s">
        <v>818</v>
      </c>
      <c r="D131" s="19">
        <v>24</v>
      </c>
      <c r="E131" s="19" t="s">
        <v>812</v>
      </c>
      <c r="F131" s="19" t="s">
        <v>813</v>
      </c>
      <c r="G131" s="19">
        <v>1.97058823529411</v>
      </c>
      <c r="H131" s="19">
        <v>2.1278065630397198</v>
      </c>
    </row>
    <row r="132" spans="1:8">
      <c r="A132" s="19" t="s">
        <v>809</v>
      </c>
      <c r="B132" s="19" t="s">
        <v>834</v>
      </c>
      <c r="C132" s="19" t="s">
        <v>818</v>
      </c>
      <c r="D132" s="19">
        <v>24</v>
      </c>
      <c r="E132" s="19" t="s">
        <v>812</v>
      </c>
      <c r="F132" s="19" t="s">
        <v>813</v>
      </c>
      <c r="G132" s="19">
        <v>1.47058823529411</v>
      </c>
      <c r="H132" s="19">
        <v>4.6925734024179597</v>
      </c>
    </row>
    <row r="133" spans="1:8">
      <c r="A133" s="19" t="s">
        <v>809</v>
      </c>
      <c r="B133" s="19" t="s">
        <v>834</v>
      </c>
      <c r="C133" s="19" t="s">
        <v>818</v>
      </c>
      <c r="D133" s="19">
        <v>24</v>
      </c>
      <c r="E133" s="19" t="s">
        <v>812</v>
      </c>
      <c r="F133" s="19" t="s">
        <v>814</v>
      </c>
      <c r="G133" s="19">
        <v>2.9411764705882302</v>
      </c>
      <c r="H133" s="19">
        <v>2.6502590673575099</v>
      </c>
    </row>
    <row r="134" spans="1:8">
      <c r="A134" s="19" t="s">
        <v>809</v>
      </c>
      <c r="B134" s="19" t="s">
        <v>834</v>
      </c>
      <c r="C134" s="19" t="s">
        <v>818</v>
      </c>
      <c r="D134" s="19">
        <v>24</v>
      </c>
      <c r="E134" s="19" t="s">
        <v>812</v>
      </c>
      <c r="F134" s="19" t="s">
        <v>814</v>
      </c>
      <c r="G134" s="19">
        <v>3.8235294117646998</v>
      </c>
      <c r="H134" s="19">
        <v>3.1727115716753</v>
      </c>
    </row>
    <row r="135" spans="1:8">
      <c r="A135" s="19" t="s">
        <v>809</v>
      </c>
      <c r="B135" s="19" t="s">
        <v>834</v>
      </c>
      <c r="C135" s="19" t="s">
        <v>818</v>
      </c>
      <c r="D135" s="19">
        <v>24</v>
      </c>
      <c r="E135" s="19" t="s">
        <v>812</v>
      </c>
      <c r="F135" s="19" t="s">
        <v>814</v>
      </c>
      <c r="G135" s="19">
        <v>5.8823529411764701</v>
      </c>
      <c r="H135" s="19">
        <v>3.6908462867012002</v>
      </c>
    </row>
    <row r="136" spans="1:8">
      <c r="A136" s="19" t="s">
        <v>809</v>
      </c>
      <c r="B136" s="19" t="s">
        <v>834</v>
      </c>
      <c r="C136" s="19" t="s">
        <v>818</v>
      </c>
      <c r="D136" s="19">
        <v>24</v>
      </c>
      <c r="E136" s="19" t="s">
        <v>812</v>
      </c>
      <c r="F136" s="19" t="s">
        <v>814</v>
      </c>
      <c r="G136" s="19">
        <v>16.029411764705799</v>
      </c>
      <c r="H136" s="19">
        <v>4.1960276338514602</v>
      </c>
    </row>
    <row r="137" spans="1:8">
      <c r="A137" s="19" t="s">
        <v>809</v>
      </c>
      <c r="B137" s="19" t="s">
        <v>834</v>
      </c>
      <c r="C137" s="19" t="s">
        <v>818</v>
      </c>
      <c r="D137" s="19">
        <v>24</v>
      </c>
      <c r="E137" s="19" t="s">
        <v>812</v>
      </c>
      <c r="F137" s="19" t="s">
        <v>814</v>
      </c>
      <c r="G137" s="19">
        <v>1</v>
      </c>
      <c r="H137" s="19">
        <v>5.2063903281519801</v>
      </c>
    </row>
    <row r="138" spans="1:8">
      <c r="A138" s="19" t="s">
        <v>809</v>
      </c>
      <c r="B138" s="19" t="s">
        <v>835</v>
      </c>
      <c r="C138" s="19" t="s">
        <v>820</v>
      </c>
      <c r="D138" s="19">
        <v>25</v>
      </c>
      <c r="E138" s="19" t="s">
        <v>812</v>
      </c>
      <c r="F138" s="19" t="s">
        <v>813</v>
      </c>
      <c r="G138" s="19">
        <v>25</v>
      </c>
      <c r="H138" s="19">
        <v>29</v>
      </c>
    </row>
    <row r="139" spans="1:8">
      <c r="A139" s="19" t="s">
        <v>809</v>
      </c>
      <c r="B139" s="19" t="s">
        <v>835</v>
      </c>
      <c r="C139" s="19" t="s">
        <v>820</v>
      </c>
      <c r="D139" s="19">
        <v>25</v>
      </c>
      <c r="E139" s="19" t="s">
        <v>812</v>
      </c>
      <c r="F139" s="19" t="s">
        <v>813</v>
      </c>
      <c r="G139" s="19">
        <v>3.6879496402877598</v>
      </c>
      <c r="H139" s="19">
        <v>11.029185867895499</v>
      </c>
    </row>
    <row r="140" spans="1:8">
      <c r="A140" s="19" t="s">
        <v>809</v>
      </c>
      <c r="B140" s="19" t="s">
        <v>835</v>
      </c>
      <c r="C140" s="19" t="s">
        <v>820</v>
      </c>
      <c r="D140" s="19">
        <v>25</v>
      </c>
      <c r="E140" s="19" t="s">
        <v>812</v>
      </c>
      <c r="F140" s="19" t="s">
        <v>813</v>
      </c>
      <c r="G140" s="19">
        <v>4.1915467625899199</v>
      </c>
      <c r="H140" s="19">
        <v>7.3732718894009199</v>
      </c>
    </row>
    <row r="141" spans="1:8">
      <c r="A141" s="19" t="s">
        <v>809</v>
      </c>
      <c r="B141" s="19" t="s">
        <v>835</v>
      </c>
      <c r="C141" s="19" t="s">
        <v>820</v>
      </c>
      <c r="D141" s="19">
        <v>25</v>
      </c>
      <c r="E141" s="19" t="s">
        <v>812</v>
      </c>
      <c r="F141" s="19" t="s">
        <v>813</v>
      </c>
      <c r="G141" s="19">
        <v>4.6951438848920803</v>
      </c>
      <c r="H141" s="19">
        <v>4.8540706605222699</v>
      </c>
    </row>
    <row r="142" spans="1:8">
      <c r="A142" s="19" t="s">
        <v>809</v>
      </c>
      <c r="B142" s="19" t="s">
        <v>835</v>
      </c>
      <c r="C142" s="19" t="s">
        <v>820</v>
      </c>
      <c r="D142" s="19">
        <v>25</v>
      </c>
      <c r="E142" s="19" t="s">
        <v>812</v>
      </c>
      <c r="F142" s="19" t="s">
        <v>813</v>
      </c>
      <c r="G142" s="19">
        <v>5.1987410071942399</v>
      </c>
      <c r="H142" s="19">
        <v>2.9800307219661999</v>
      </c>
    </row>
    <row r="143" spans="1:8">
      <c r="A143" s="19" t="s">
        <v>809</v>
      </c>
      <c r="B143" s="19" t="s">
        <v>835</v>
      </c>
      <c r="C143" s="19" t="s">
        <v>820</v>
      </c>
      <c r="D143" s="19">
        <v>25</v>
      </c>
      <c r="E143" s="19" t="s">
        <v>812</v>
      </c>
      <c r="F143" s="19" t="s">
        <v>813</v>
      </c>
      <c r="G143" s="19">
        <v>3.1798561151079099</v>
      </c>
      <c r="H143" s="19">
        <v>8.8786482334869401</v>
      </c>
    </row>
    <row r="144" spans="1:8">
      <c r="A144" s="19" t="s">
        <v>809</v>
      </c>
      <c r="B144" s="19" t="s">
        <v>835</v>
      </c>
      <c r="C144" s="19" t="s">
        <v>820</v>
      </c>
      <c r="D144" s="19">
        <v>25</v>
      </c>
      <c r="E144" s="19" t="s">
        <v>812</v>
      </c>
      <c r="F144" s="19" t="s">
        <v>814</v>
      </c>
      <c r="G144" s="19">
        <v>0.54946043165467595</v>
      </c>
      <c r="H144" s="19">
        <v>1.99692780337941</v>
      </c>
    </row>
    <row r="145" spans="1:8">
      <c r="A145" s="19" t="s">
        <v>809</v>
      </c>
      <c r="B145" s="19" t="s">
        <v>835</v>
      </c>
      <c r="C145" s="19" t="s">
        <v>820</v>
      </c>
      <c r="D145" s="19">
        <v>25</v>
      </c>
      <c r="E145" s="19" t="s">
        <v>812</v>
      </c>
      <c r="F145" s="19" t="s">
        <v>814</v>
      </c>
      <c r="G145" s="19">
        <v>1.08453237410071</v>
      </c>
      <c r="H145" s="19">
        <v>3.4408602150537599</v>
      </c>
    </row>
    <row r="146" spans="1:8">
      <c r="A146" s="19" t="s">
        <v>809</v>
      </c>
      <c r="B146" s="19" t="s">
        <v>835</v>
      </c>
      <c r="C146" s="19" t="s">
        <v>820</v>
      </c>
      <c r="D146" s="19">
        <v>25</v>
      </c>
      <c r="E146" s="19" t="s">
        <v>812</v>
      </c>
      <c r="F146" s="19" t="s">
        <v>814</v>
      </c>
      <c r="G146" s="19">
        <v>1.6106115107913599</v>
      </c>
      <c r="H146" s="19">
        <v>3.4101382488479199</v>
      </c>
    </row>
    <row r="147" spans="1:8">
      <c r="A147" s="19" t="s">
        <v>809</v>
      </c>
      <c r="B147" s="19" t="s">
        <v>835</v>
      </c>
      <c r="C147" s="19" t="s">
        <v>820</v>
      </c>
      <c r="D147" s="19">
        <v>25</v>
      </c>
      <c r="E147" s="19" t="s">
        <v>812</v>
      </c>
      <c r="F147" s="19" t="s">
        <v>814</v>
      </c>
      <c r="G147" s="19">
        <v>2.1321942446043098</v>
      </c>
      <c r="H147" s="19">
        <v>4.8540706605222699</v>
      </c>
    </row>
    <row r="148" spans="1:8">
      <c r="A148" s="19" t="s">
        <v>809</v>
      </c>
      <c r="B148" s="19" t="s">
        <v>835</v>
      </c>
      <c r="C148" s="19" t="s">
        <v>820</v>
      </c>
      <c r="D148" s="19">
        <v>25</v>
      </c>
      <c r="E148" s="19" t="s">
        <v>812</v>
      </c>
      <c r="F148" s="19" t="s">
        <v>814</v>
      </c>
      <c r="G148" s="19">
        <v>2.6582733812949599</v>
      </c>
      <c r="H148" s="19">
        <v>4.7926267281105899</v>
      </c>
    </row>
    <row r="149" spans="1:8">
      <c r="A149" s="19" t="s">
        <v>809</v>
      </c>
      <c r="B149" s="19" t="s">
        <v>835</v>
      </c>
      <c r="C149" s="19" t="s">
        <v>820</v>
      </c>
      <c r="D149" s="19">
        <v>25</v>
      </c>
      <c r="E149" s="19" t="s">
        <v>812</v>
      </c>
      <c r="F149" s="19" t="s">
        <v>814</v>
      </c>
      <c r="G149" s="19">
        <v>3.6879496402877598</v>
      </c>
      <c r="H149" s="19">
        <v>14.009216589861699</v>
      </c>
    </row>
    <row r="150" spans="1:8">
      <c r="A150" s="19" t="s">
        <v>809</v>
      </c>
      <c r="B150" s="19" t="s">
        <v>836</v>
      </c>
      <c r="C150" s="19" t="s">
        <v>822</v>
      </c>
      <c r="D150" s="19">
        <v>25</v>
      </c>
      <c r="E150" s="19" t="s">
        <v>812</v>
      </c>
      <c r="F150" s="19" t="s">
        <v>813</v>
      </c>
      <c r="G150" s="19">
        <v>25</v>
      </c>
      <c r="H150" s="19">
        <v>0.54440497335701599</v>
      </c>
    </row>
    <row r="151" spans="1:8">
      <c r="A151" s="19" t="s">
        <v>809</v>
      </c>
      <c r="B151" s="19" t="s">
        <v>836</v>
      </c>
      <c r="C151" s="19" t="s">
        <v>822</v>
      </c>
      <c r="D151" s="19">
        <v>25</v>
      </c>
      <c r="E151" s="19" t="s">
        <v>812</v>
      </c>
      <c r="F151" s="19" t="s">
        <v>813</v>
      </c>
      <c r="G151" s="19">
        <v>13.1818181818181</v>
      </c>
      <c r="H151" s="19">
        <v>1.0817051509769</v>
      </c>
    </row>
    <row r="152" spans="1:8">
      <c r="A152" s="19" t="s">
        <v>809</v>
      </c>
      <c r="B152" s="19" t="s">
        <v>836</v>
      </c>
      <c r="C152" s="19" t="s">
        <v>822</v>
      </c>
      <c r="D152" s="19">
        <v>25</v>
      </c>
      <c r="E152" s="19" t="s">
        <v>812</v>
      </c>
      <c r="F152" s="19" t="s">
        <v>813</v>
      </c>
      <c r="G152" s="19">
        <v>5.39393939393939</v>
      </c>
      <c r="H152" s="19">
        <v>1.6101243339253899</v>
      </c>
    </row>
    <row r="153" spans="1:8">
      <c r="A153" s="19" t="s">
        <v>809</v>
      </c>
      <c r="B153" s="19" t="s">
        <v>836</v>
      </c>
      <c r="C153" s="19" t="s">
        <v>822</v>
      </c>
      <c r="D153" s="19">
        <v>25</v>
      </c>
      <c r="E153" s="19" t="s">
        <v>812</v>
      </c>
      <c r="F153" s="19" t="s">
        <v>813</v>
      </c>
      <c r="G153" s="19">
        <v>4.39393939393939</v>
      </c>
      <c r="H153" s="19">
        <v>2.6580817051509702</v>
      </c>
    </row>
    <row r="154" spans="1:8">
      <c r="A154" s="19" t="s">
        <v>809</v>
      </c>
      <c r="B154" s="19" t="s">
        <v>836</v>
      </c>
      <c r="C154" s="19" t="s">
        <v>822</v>
      </c>
      <c r="D154" s="19">
        <v>25</v>
      </c>
      <c r="E154" s="19" t="s">
        <v>812</v>
      </c>
      <c r="F154" s="19" t="s">
        <v>813</v>
      </c>
      <c r="G154" s="19">
        <v>6.1818181818181799</v>
      </c>
      <c r="H154" s="19">
        <v>3.69271758436944</v>
      </c>
    </row>
    <row r="155" spans="1:8">
      <c r="A155" s="19" t="s">
        <v>809</v>
      </c>
      <c r="B155" s="19" t="s">
        <v>836</v>
      </c>
      <c r="C155" s="19" t="s">
        <v>822</v>
      </c>
      <c r="D155" s="19">
        <v>25</v>
      </c>
      <c r="E155" s="19" t="s">
        <v>812</v>
      </c>
      <c r="F155" s="19" t="s">
        <v>814</v>
      </c>
      <c r="G155" s="19">
        <v>2.39393939393939</v>
      </c>
      <c r="H155" s="19">
        <v>4.6918294849022999</v>
      </c>
    </row>
    <row r="156" spans="1:8">
      <c r="A156" s="19" t="s">
        <v>809</v>
      </c>
      <c r="B156" s="19" t="s">
        <v>836</v>
      </c>
      <c r="C156" s="19" t="s">
        <v>822</v>
      </c>
      <c r="D156" s="19">
        <v>25</v>
      </c>
      <c r="E156" s="19" t="s">
        <v>812</v>
      </c>
      <c r="F156" s="19" t="s">
        <v>814</v>
      </c>
      <c r="G156" s="19">
        <v>3.3636363636363602</v>
      </c>
      <c r="H156" s="19">
        <v>5.1980461811722902</v>
      </c>
    </row>
    <row r="157" spans="1:8">
      <c r="A157" s="19" t="s">
        <v>809</v>
      </c>
      <c r="B157" s="19" t="s">
        <v>836</v>
      </c>
      <c r="C157" s="19" t="s">
        <v>822</v>
      </c>
      <c r="D157" s="19">
        <v>25</v>
      </c>
      <c r="E157" s="19" t="s">
        <v>812</v>
      </c>
      <c r="F157" s="19" t="s">
        <v>814</v>
      </c>
      <c r="G157" s="19">
        <v>2.87878787878787</v>
      </c>
      <c r="H157" s="19">
        <v>2.13854351687388</v>
      </c>
    </row>
    <row r="158" spans="1:8">
      <c r="A158" s="19" t="s">
        <v>809</v>
      </c>
      <c r="B158" s="19" t="s">
        <v>836</v>
      </c>
      <c r="C158" s="19" t="s">
        <v>822</v>
      </c>
      <c r="D158" s="19">
        <v>25</v>
      </c>
      <c r="E158" s="19" t="s">
        <v>812</v>
      </c>
      <c r="F158" s="19" t="s">
        <v>814</v>
      </c>
      <c r="G158" s="19">
        <v>5.8484848484848397</v>
      </c>
      <c r="H158" s="19">
        <v>3.1776198934280599</v>
      </c>
    </row>
    <row r="159" spans="1:8">
      <c r="A159" s="19" t="s">
        <v>809</v>
      </c>
      <c r="B159" s="19" t="s">
        <v>836</v>
      </c>
      <c r="C159" s="19" t="s">
        <v>822</v>
      </c>
      <c r="D159" s="19">
        <v>25</v>
      </c>
      <c r="E159" s="19" t="s">
        <v>812</v>
      </c>
      <c r="F159" s="19" t="s">
        <v>814</v>
      </c>
      <c r="G159" s="19">
        <v>9.3333333333333304</v>
      </c>
      <c r="H159" s="19">
        <v>4.1989342806394303</v>
      </c>
    </row>
    <row r="160" spans="1:8">
      <c r="A160" s="19" t="s">
        <v>809</v>
      </c>
      <c r="B160" s="19" t="s">
        <v>837</v>
      </c>
      <c r="C160" s="19" t="s">
        <v>838</v>
      </c>
      <c r="D160" s="19">
        <v>26</v>
      </c>
      <c r="E160" s="19" t="s">
        <v>812</v>
      </c>
      <c r="F160" s="19" t="s">
        <v>813</v>
      </c>
      <c r="G160" s="19">
        <v>26</v>
      </c>
      <c r="H160" s="19">
        <v>0.54432624113475103</v>
      </c>
    </row>
    <row r="161" spans="1:8">
      <c r="A161" s="19" t="s">
        <v>809</v>
      </c>
      <c r="B161" s="19" t="s">
        <v>837</v>
      </c>
      <c r="C161" s="19" t="s">
        <v>838</v>
      </c>
      <c r="D161" s="19">
        <v>26</v>
      </c>
      <c r="E161" s="19" t="s">
        <v>812</v>
      </c>
      <c r="F161" s="19" t="s">
        <v>813</v>
      </c>
      <c r="G161" s="19">
        <v>15.319148936170199</v>
      </c>
      <c r="H161" s="19">
        <v>1.08067375886524</v>
      </c>
    </row>
    <row r="162" spans="1:8">
      <c r="A162" s="19" t="s">
        <v>809</v>
      </c>
      <c r="B162" s="19" t="s">
        <v>837</v>
      </c>
      <c r="C162" s="19" t="s">
        <v>838</v>
      </c>
      <c r="D162" s="19">
        <v>26</v>
      </c>
      <c r="E162" s="19" t="s">
        <v>812</v>
      </c>
      <c r="F162" s="19" t="s">
        <v>813</v>
      </c>
      <c r="G162" s="19">
        <v>6.3221884498480199</v>
      </c>
      <c r="H162" s="19">
        <v>1.6081560283687899</v>
      </c>
    </row>
    <row r="163" spans="1:8">
      <c r="A163" s="19" t="s">
        <v>809</v>
      </c>
      <c r="B163" s="19" t="s">
        <v>837</v>
      </c>
      <c r="C163" s="19" t="s">
        <v>838</v>
      </c>
      <c r="D163" s="19">
        <v>26</v>
      </c>
      <c r="E163" s="19" t="s">
        <v>812</v>
      </c>
      <c r="F163" s="19" t="s">
        <v>813</v>
      </c>
      <c r="G163" s="19">
        <v>4.8024316109422402</v>
      </c>
      <c r="H163" s="19">
        <v>2.1356382978723398</v>
      </c>
    </row>
    <row r="164" spans="1:8">
      <c r="A164" s="19" t="s">
        <v>809</v>
      </c>
      <c r="B164" s="19" t="s">
        <v>837</v>
      </c>
      <c r="C164" s="19" t="s">
        <v>838</v>
      </c>
      <c r="D164" s="19">
        <v>26</v>
      </c>
      <c r="E164" s="19" t="s">
        <v>812</v>
      </c>
      <c r="F164" s="19" t="s">
        <v>813</v>
      </c>
      <c r="G164" s="19">
        <v>3.93</v>
      </c>
      <c r="H164" s="19">
        <v>2.65868794326241</v>
      </c>
    </row>
    <row r="165" spans="1:8">
      <c r="A165" s="19" t="s">
        <v>809</v>
      </c>
      <c r="B165" s="19" t="s">
        <v>837</v>
      </c>
      <c r="C165" s="19" t="s">
        <v>838</v>
      </c>
      <c r="D165" s="19">
        <v>26</v>
      </c>
      <c r="E165" s="19" t="s">
        <v>812</v>
      </c>
      <c r="F165" s="19" t="s">
        <v>814</v>
      </c>
      <c r="G165" s="19">
        <v>2.43161094224924</v>
      </c>
      <c r="H165" s="19">
        <v>3.1684397163120499</v>
      </c>
    </row>
    <row r="166" spans="1:8">
      <c r="A166" s="19" t="s">
        <v>809</v>
      </c>
      <c r="B166" s="19" t="s">
        <v>837</v>
      </c>
      <c r="C166" s="19" t="s">
        <v>838</v>
      </c>
      <c r="D166" s="19">
        <v>26</v>
      </c>
      <c r="E166" s="19" t="s">
        <v>812</v>
      </c>
      <c r="F166" s="19" t="s">
        <v>814</v>
      </c>
      <c r="G166" s="19">
        <v>3.3434650455927</v>
      </c>
      <c r="H166" s="19">
        <v>4.19237588652482</v>
      </c>
    </row>
    <row r="167" spans="1:8">
      <c r="A167" s="19" t="s">
        <v>809</v>
      </c>
      <c r="B167" s="19" t="s">
        <v>837</v>
      </c>
      <c r="C167" s="19" t="s">
        <v>838</v>
      </c>
      <c r="D167" s="19">
        <v>26</v>
      </c>
      <c r="E167" s="19" t="s">
        <v>812</v>
      </c>
      <c r="F167" s="19" t="s">
        <v>814</v>
      </c>
      <c r="G167" s="19">
        <v>4.8936170212765902</v>
      </c>
      <c r="H167" s="19">
        <v>4.6950000000000003</v>
      </c>
    </row>
    <row r="168" spans="1:8">
      <c r="A168" s="19" t="s">
        <v>809</v>
      </c>
      <c r="B168" s="19" t="s">
        <v>837</v>
      </c>
      <c r="C168" s="19" t="s">
        <v>838</v>
      </c>
      <c r="D168" s="19">
        <v>26</v>
      </c>
      <c r="E168" s="19" t="s">
        <v>812</v>
      </c>
      <c r="F168" s="19" t="s">
        <v>814</v>
      </c>
      <c r="G168" s="19">
        <v>5.25835866261398</v>
      </c>
      <c r="H168" s="19">
        <v>5.2</v>
      </c>
    </row>
    <row r="169" spans="1:8">
      <c r="A169" s="19" t="s">
        <v>809</v>
      </c>
      <c r="B169" s="19" t="s">
        <v>837</v>
      </c>
      <c r="C169" s="19" t="s">
        <v>838</v>
      </c>
      <c r="D169" s="19">
        <v>26</v>
      </c>
      <c r="E169" s="19" t="s">
        <v>812</v>
      </c>
      <c r="F169" s="19" t="s">
        <v>814</v>
      </c>
      <c r="G169" s="19">
        <v>7.2948328267477196</v>
      </c>
      <c r="H169" s="19">
        <v>3.1773049645390001</v>
      </c>
    </row>
    <row r="170" spans="1:8">
      <c r="A170" s="19" t="s">
        <v>809</v>
      </c>
      <c r="B170" s="19" t="s">
        <v>839</v>
      </c>
      <c r="C170" s="19" t="s">
        <v>840</v>
      </c>
      <c r="D170" s="19">
        <v>26</v>
      </c>
      <c r="E170" s="19" t="s">
        <v>812</v>
      </c>
      <c r="F170" s="19" t="s">
        <v>813</v>
      </c>
      <c r="G170" s="19">
        <v>26</v>
      </c>
      <c r="H170" s="19">
        <v>0.53978779840848801</v>
      </c>
    </row>
    <row r="171" spans="1:8">
      <c r="A171" s="19" t="s">
        <v>809</v>
      </c>
      <c r="B171" s="19" t="s">
        <v>839</v>
      </c>
      <c r="C171" s="19" t="s">
        <v>840</v>
      </c>
      <c r="D171" s="19">
        <v>26</v>
      </c>
      <c r="E171" s="19" t="s">
        <v>812</v>
      </c>
      <c r="F171" s="19" t="s">
        <v>813</v>
      </c>
      <c r="G171" s="19">
        <v>11.649016639999999</v>
      </c>
      <c r="H171" s="19">
        <v>1.07471264367816</v>
      </c>
    </row>
    <row r="172" spans="1:8">
      <c r="A172" s="19" t="s">
        <v>809</v>
      </c>
      <c r="B172" s="19" t="s">
        <v>839</v>
      </c>
      <c r="C172" s="19" t="s">
        <v>840</v>
      </c>
      <c r="D172" s="19">
        <v>26</v>
      </c>
      <c r="E172" s="19" t="s">
        <v>812</v>
      </c>
      <c r="F172" s="19" t="s">
        <v>813</v>
      </c>
      <c r="G172" s="19">
        <v>6.8381240539999997</v>
      </c>
      <c r="H172" s="19">
        <v>1.60079575596816</v>
      </c>
    </row>
    <row r="173" spans="1:8">
      <c r="A173" s="19" t="s">
        <v>809</v>
      </c>
      <c r="B173" s="19" t="s">
        <v>839</v>
      </c>
      <c r="C173" s="19" t="s">
        <v>840</v>
      </c>
      <c r="D173" s="19">
        <v>26</v>
      </c>
      <c r="E173" s="19" t="s">
        <v>812</v>
      </c>
      <c r="F173" s="19" t="s">
        <v>813</v>
      </c>
      <c r="G173" s="19">
        <v>3.963691377</v>
      </c>
      <c r="H173" s="19">
        <v>2.1268788682581699</v>
      </c>
    </row>
    <row r="174" spans="1:8">
      <c r="A174" s="19" t="s">
        <v>809</v>
      </c>
      <c r="B174" s="19" t="s">
        <v>839</v>
      </c>
      <c r="C174" s="19" t="s">
        <v>840</v>
      </c>
      <c r="D174" s="19">
        <v>26</v>
      </c>
      <c r="E174" s="19" t="s">
        <v>812</v>
      </c>
      <c r="F174" s="19" t="s">
        <v>813</v>
      </c>
      <c r="G174" s="19">
        <v>1.55</v>
      </c>
      <c r="H174" s="19">
        <v>2.6485411140583501</v>
      </c>
    </row>
    <row r="175" spans="1:8">
      <c r="A175" s="19" t="s">
        <v>809</v>
      </c>
      <c r="B175" s="19" t="s">
        <v>839</v>
      </c>
      <c r="C175" s="19" t="s">
        <v>840</v>
      </c>
      <c r="D175" s="19">
        <v>26</v>
      </c>
      <c r="E175" s="19" t="s">
        <v>812</v>
      </c>
      <c r="F175" s="19" t="s">
        <v>814</v>
      </c>
      <c r="G175" s="19">
        <v>1.90620272314674</v>
      </c>
      <c r="H175" s="19">
        <v>2.65</v>
      </c>
    </row>
    <row r="176" spans="1:8">
      <c r="A176" s="19" t="s">
        <v>809</v>
      </c>
      <c r="B176" s="19" t="s">
        <v>839</v>
      </c>
      <c r="C176" s="19" t="s">
        <v>840</v>
      </c>
      <c r="D176" s="19">
        <v>26</v>
      </c>
      <c r="E176" s="19" t="s">
        <v>812</v>
      </c>
      <c r="F176" s="19" t="s">
        <v>814</v>
      </c>
      <c r="G176" s="19">
        <v>4.3570347957639903</v>
      </c>
      <c r="H176" s="19">
        <v>3.1702033599999999</v>
      </c>
    </row>
    <row r="177" spans="1:8">
      <c r="A177" s="19" t="s">
        <v>809</v>
      </c>
      <c r="B177" s="19" t="s">
        <v>839</v>
      </c>
      <c r="C177" s="19" t="s">
        <v>840</v>
      </c>
      <c r="D177" s="19">
        <v>26</v>
      </c>
      <c r="E177" s="19" t="s">
        <v>812</v>
      </c>
      <c r="F177" s="19" t="s">
        <v>814</v>
      </c>
      <c r="G177" s="19">
        <v>6.4145234493192103</v>
      </c>
      <c r="H177" s="19">
        <v>3.69</v>
      </c>
    </row>
    <row r="178" spans="1:8">
      <c r="A178" s="19" t="s">
        <v>809</v>
      </c>
      <c r="B178" s="19" t="s">
        <v>839</v>
      </c>
      <c r="C178" s="19" t="s">
        <v>840</v>
      </c>
      <c r="D178" s="19">
        <v>26</v>
      </c>
      <c r="E178" s="19" t="s">
        <v>812</v>
      </c>
      <c r="F178" s="19" t="s">
        <v>814</v>
      </c>
      <c r="G178" s="19">
        <v>9.7730711043872898</v>
      </c>
      <c r="H178" s="19">
        <v>4.2</v>
      </c>
    </row>
    <row r="179" spans="1:8">
      <c r="A179" s="19" t="s">
        <v>809</v>
      </c>
      <c r="B179" s="19" t="s">
        <v>839</v>
      </c>
      <c r="C179" s="19" t="s">
        <v>840</v>
      </c>
      <c r="D179" s="19">
        <v>26</v>
      </c>
      <c r="E179" s="19" t="s">
        <v>812</v>
      </c>
      <c r="F179" s="19" t="s">
        <v>814</v>
      </c>
      <c r="G179" s="19">
        <v>15.9757942511346</v>
      </c>
      <c r="H179" s="19">
        <v>4.7</v>
      </c>
    </row>
    <row r="180" spans="1:8">
      <c r="A180" s="19" t="s">
        <v>809</v>
      </c>
      <c r="B180" s="19" t="s">
        <v>841</v>
      </c>
      <c r="C180" s="19" t="s">
        <v>842</v>
      </c>
      <c r="D180" s="19">
        <v>27</v>
      </c>
      <c r="E180" s="19" t="s">
        <v>812</v>
      </c>
      <c r="F180" s="19" t="s">
        <v>813</v>
      </c>
      <c r="G180" s="19">
        <v>27</v>
      </c>
      <c r="H180" s="19">
        <v>0.54113345521023704</v>
      </c>
    </row>
    <row r="181" spans="1:8">
      <c r="A181" s="19" t="s">
        <v>809</v>
      </c>
      <c r="B181" s="19" t="s">
        <v>841</v>
      </c>
      <c r="C181" s="19" t="s">
        <v>842</v>
      </c>
      <c r="D181" s="19">
        <v>27</v>
      </c>
      <c r="E181" s="19" t="s">
        <v>812</v>
      </c>
      <c r="F181" s="19" t="s">
        <v>813</v>
      </c>
      <c r="G181" s="19">
        <v>10.031152647975</v>
      </c>
      <c r="H181" s="19">
        <v>1.0758683729433201</v>
      </c>
    </row>
    <row r="182" spans="1:8">
      <c r="A182" s="19" t="s">
        <v>809</v>
      </c>
      <c r="B182" s="19" t="s">
        <v>841</v>
      </c>
      <c r="C182" s="19" t="s">
        <v>842</v>
      </c>
      <c r="D182" s="19">
        <v>27</v>
      </c>
      <c r="E182" s="19" t="s">
        <v>812</v>
      </c>
      <c r="F182" s="19" t="s">
        <v>813</v>
      </c>
      <c r="G182" s="19">
        <v>5.0778816199376902</v>
      </c>
      <c r="H182" s="19">
        <v>1.6014625228519099</v>
      </c>
    </row>
    <row r="183" spans="1:8">
      <c r="A183" s="19" t="s">
        <v>809</v>
      </c>
      <c r="B183" s="19" t="s">
        <v>841</v>
      </c>
      <c r="C183" s="19" t="s">
        <v>842</v>
      </c>
      <c r="D183" s="19">
        <v>27</v>
      </c>
      <c r="E183" s="19" t="s">
        <v>812</v>
      </c>
      <c r="F183" s="19" t="s">
        <v>813</v>
      </c>
      <c r="G183" s="19">
        <v>2.5545171339563799</v>
      </c>
      <c r="H183" s="19">
        <v>2.1316270566727602</v>
      </c>
    </row>
    <row r="184" spans="1:8">
      <c r="A184" s="19" t="s">
        <v>809</v>
      </c>
      <c r="B184" s="19" t="s">
        <v>841</v>
      </c>
      <c r="C184" s="19" t="s">
        <v>842</v>
      </c>
      <c r="D184" s="19">
        <v>27</v>
      </c>
      <c r="E184" s="19" t="s">
        <v>812</v>
      </c>
      <c r="F184" s="19" t="s">
        <v>814</v>
      </c>
      <c r="G184" s="19">
        <v>3.8940809968847301</v>
      </c>
      <c r="H184" s="19">
        <v>2.65</v>
      </c>
    </row>
    <row r="185" spans="1:8">
      <c r="A185" s="19" t="s">
        <v>809</v>
      </c>
      <c r="B185" s="19" t="s">
        <v>841</v>
      </c>
      <c r="C185" s="19" t="s">
        <v>842</v>
      </c>
      <c r="D185" s="19">
        <v>27</v>
      </c>
      <c r="E185" s="19" t="s">
        <v>812</v>
      </c>
      <c r="F185" s="19" t="s">
        <v>814</v>
      </c>
      <c r="G185" s="19">
        <v>4.4859813084112101</v>
      </c>
      <c r="H185" s="19">
        <v>3.1736745886654401</v>
      </c>
    </row>
    <row r="186" spans="1:8">
      <c r="A186" s="19" t="s">
        <v>809</v>
      </c>
      <c r="B186" s="19" t="s">
        <v>841</v>
      </c>
      <c r="C186" s="19" t="s">
        <v>842</v>
      </c>
      <c r="D186" s="19">
        <v>27</v>
      </c>
      <c r="E186" s="19" t="s">
        <v>812</v>
      </c>
      <c r="F186" s="19" t="s">
        <v>814</v>
      </c>
      <c r="G186" s="19">
        <v>6.5109034267912698</v>
      </c>
      <c r="H186" s="19">
        <v>4.1900000000000004</v>
      </c>
    </row>
    <row r="187" spans="1:8">
      <c r="A187" s="19" t="s">
        <v>809</v>
      </c>
      <c r="B187" s="19" t="s">
        <v>841</v>
      </c>
      <c r="C187" s="19" t="s">
        <v>842</v>
      </c>
      <c r="D187" s="19">
        <v>27</v>
      </c>
      <c r="E187" s="19" t="s">
        <v>812</v>
      </c>
      <c r="F187" s="19" t="s">
        <v>814</v>
      </c>
      <c r="G187" s="19">
        <v>12.056074766355099</v>
      </c>
      <c r="H187" s="19">
        <v>4.6900000000000004</v>
      </c>
    </row>
    <row r="188" spans="1:8">
      <c r="A188" s="19" t="s">
        <v>809</v>
      </c>
      <c r="B188" s="19" t="s">
        <v>843</v>
      </c>
      <c r="C188" s="19" t="s">
        <v>824</v>
      </c>
      <c r="D188" s="19">
        <v>27</v>
      </c>
      <c r="E188" s="19" t="s">
        <v>812</v>
      </c>
      <c r="F188" s="19" t="s">
        <v>813</v>
      </c>
      <c r="G188" s="19">
        <v>27</v>
      </c>
      <c r="H188" s="19">
        <v>0.53</v>
      </c>
    </row>
    <row r="189" spans="1:8">
      <c r="A189" s="19" t="s">
        <v>809</v>
      </c>
      <c r="B189" s="19" t="s">
        <v>843</v>
      </c>
      <c r="C189" s="19" t="s">
        <v>824</v>
      </c>
      <c r="D189" s="19">
        <v>27</v>
      </c>
      <c r="E189" s="19" t="s">
        <v>812</v>
      </c>
      <c r="F189" s="19" t="s">
        <v>813</v>
      </c>
      <c r="G189" s="19">
        <v>18.11</v>
      </c>
      <c r="H189" s="19">
        <v>1.0649999999999999</v>
      </c>
    </row>
    <row r="190" spans="1:8">
      <c r="A190" s="19" t="s">
        <v>809</v>
      </c>
      <c r="B190" s="19" t="s">
        <v>843</v>
      </c>
      <c r="C190" s="19" t="s">
        <v>824</v>
      </c>
      <c r="D190" s="19">
        <v>27</v>
      </c>
      <c r="E190" s="19" t="s">
        <v>812</v>
      </c>
      <c r="F190" s="19" t="s">
        <v>813</v>
      </c>
      <c r="G190" s="19">
        <v>5.89</v>
      </c>
      <c r="H190" s="19">
        <v>1.60424028268551</v>
      </c>
    </row>
    <row r="191" spans="1:8">
      <c r="A191" s="19" t="s">
        <v>809</v>
      </c>
      <c r="B191" s="19" t="s">
        <v>843</v>
      </c>
      <c r="C191" s="19" t="s">
        <v>824</v>
      </c>
      <c r="D191" s="19">
        <v>27</v>
      </c>
      <c r="E191" s="19" t="s">
        <v>812</v>
      </c>
      <c r="F191" s="19" t="s">
        <v>813</v>
      </c>
      <c r="G191" s="19">
        <v>3.3</v>
      </c>
      <c r="H191" s="19">
        <v>2.12</v>
      </c>
    </row>
    <row r="192" spans="1:8">
      <c r="A192" s="19" t="s">
        <v>809</v>
      </c>
      <c r="B192" s="19" t="s">
        <v>843</v>
      </c>
      <c r="C192" s="19" t="s">
        <v>824</v>
      </c>
      <c r="D192" s="19">
        <v>27</v>
      </c>
      <c r="E192" s="19" t="s">
        <v>812</v>
      </c>
      <c r="F192" s="19" t="s">
        <v>813</v>
      </c>
      <c r="G192" s="19">
        <v>1.2951807228915599</v>
      </c>
      <c r="H192" s="19">
        <v>4.20141342756183</v>
      </c>
    </row>
    <row r="193" spans="1:8">
      <c r="A193" s="19" t="s">
        <v>809</v>
      </c>
      <c r="B193" s="19" t="s">
        <v>843</v>
      </c>
      <c r="C193" s="19" t="s">
        <v>824</v>
      </c>
      <c r="D193" s="19">
        <v>27</v>
      </c>
      <c r="E193" s="19" t="s">
        <v>812</v>
      </c>
      <c r="F193" s="19" t="s">
        <v>814</v>
      </c>
      <c r="G193" s="19">
        <v>1.28</v>
      </c>
      <c r="H193" s="19">
        <v>2.12</v>
      </c>
    </row>
    <row r="194" spans="1:8">
      <c r="A194" s="19" t="s">
        <v>809</v>
      </c>
      <c r="B194" s="19" t="s">
        <v>843</v>
      </c>
      <c r="C194" s="19" t="s">
        <v>824</v>
      </c>
      <c r="D194" s="19">
        <v>27</v>
      </c>
      <c r="E194" s="19" t="s">
        <v>812</v>
      </c>
      <c r="F194" s="19" t="s">
        <v>814</v>
      </c>
      <c r="G194" s="19">
        <v>1.9578313253012001</v>
      </c>
      <c r="H194" s="19">
        <v>2.64</v>
      </c>
    </row>
    <row r="195" spans="1:8">
      <c r="A195" s="19" t="s">
        <v>809</v>
      </c>
      <c r="B195" s="19" t="s">
        <v>843</v>
      </c>
      <c r="C195" s="19" t="s">
        <v>824</v>
      </c>
      <c r="D195" s="19">
        <v>27</v>
      </c>
      <c r="E195" s="19" t="s">
        <v>812</v>
      </c>
      <c r="F195" s="19" t="s">
        <v>814</v>
      </c>
      <c r="G195" s="19">
        <v>7.0783132530120403</v>
      </c>
      <c r="H195" s="19">
        <v>3.17</v>
      </c>
    </row>
    <row r="196" spans="1:8">
      <c r="A196" s="19" t="s">
        <v>809</v>
      </c>
      <c r="B196" s="19" t="s">
        <v>843</v>
      </c>
      <c r="C196" s="19" t="s">
        <v>824</v>
      </c>
      <c r="D196" s="19">
        <v>27</v>
      </c>
      <c r="E196" s="19" t="s">
        <v>812</v>
      </c>
      <c r="F196" s="19" t="s">
        <v>814</v>
      </c>
      <c r="G196" s="19">
        <v>15.5722891566265</v>
      </c>
      <c r="H196" s="19">
        <v>3.6934628975265</v>
      </c>
    </row>
    <row r="197" spans="1:8">
      <c r="A197" s="19" t="s">
        <v>809</v>
      </c>
      <c r="B197" s="19" t="s">
        <v>843</v>
      </c>
      <c r="C197" s="19" t="s">
        <v>824</v>
      </c>
      <c r="D197" s="19">
        <v>27</v>
      </c>
      <c r="E197" s="19" t="s">
        <v>812</v>
      </c>
      <c r="F197" s="19" t="s">
        <v>814</v>
      </c>
      <c r="G197" s="19">
        <v>0.66265060240963802</v>
      </c>
      <c r="H197" s="19">
        <v>4.7</v>
      </c>
    </row>
    <row r="198" spans="1:8">
      <c r="A198" s="19" t="s">
        <v>809</v>
      </c>
      <c r="B198" s="19" t="s">
        <v>844</v>
      </c>
      <c r="C198" s="19" t="s">
        <v>826</v>
      </c>
      <c r="D198" s="19">
        <v>28</v>
      </c>
      <c r="E198" s="19" t="s">
        <v>812</v>
      </c>
      <c r="F198" s="19" t="s">
        <v>813</v>
      </c>
      <c r="G198" s="19">
        <v>28</v>
      </c>
      <c r="H198" s="19">
        <v>0.54587155963302703</v>
      </c>
    </row>
    <row r="199" spans="1:8">
      <c r="A199" s="19" t="s">
        <v>809</v>
      </c>
      <c r="B199" s="19" t="s">
        <v>844</v>
      </c>
      <c r="C199" s="19" t="s">
        <v>826</v>
      </c>
      <c r="D199" s="19">
        <v>28</v>
      </c>
      <c r="E199" s="19" t="s">
        <v>812</v>
      </c>
      <c r="F199" s="19" t="s">
        <v>813</v>
      </c>
      <c r="G199" s="19">
        <v>29.719188767550701</v>
      </c>
      <c r="H199" s="19">
        <v>1.08</v>
      </c>
    </row>
    <row r="200" spans="1:8">
      <c r="A200" s="19" t="s">
        <v>809</v>
      </c>
      <c r="B200" s="19" t="s">
        <v>844</v>
      </c>
      <c r="C200" s="19" t="s">
        <v>826</v>
      </c>
      <c r="D200" s="19">
        <v>28</v>
      </c>
      <c r="E200" s="19" t="s">
        <v>812</v>
      </c>
      <c r="F200" s="19" t="s">
        <v>813</v>
      </c>
      <c r="G200" s="19">
        <v>15.7254290171606</v>
      </c>
      <c r="H200" s="19">
        <v>1.6055045871559599</v>
      </c>
    </row>
    <row r="201" spans="1:8">
      <c r="A201" s="19" t="s">
        <v>809</v>
      </c>
      <c r="B201" s="19" t="s">
        <v>844</v>
      </c>
      <c r="C201" s="19" t="s">
        <v>826</v>
      </c>
      <c r="D201" s="19">
        <v>28</v>
      </c>
      <c r="E201" s="19" t="s">
        <v>812</v>
      </c>
      <c r="F201" s="19" t="s">
        <v>813</v>
      </c>
      <c r="G201" s="19">
        <v>9.7815912636505402</v>
      </c>
      <c r="H201" s="19">
        <v>2.1330275229357798</v>
      </c>
    </row>
    <row r="202" spans="1:8">
      <c r="A202" s="19" t="s">
        <v>809</v>
      </c>
      <c r="B202" s="19" t="s">
        <v>844</v>
      </c>
      <c r="C202" s="19" t="s">
        <v>826</v>
      </c>
      <c r="D202" s="19">
        <v>28</v>
      </c>
      <c r="E202" s="19" t="s">
        <v>812</v>
      </c>
      <c r="F202" s="19" t="s">
        <v>813</v>
      </c>
      <c r="G202" s="19">
        <v>6.0374414976599002</v>
      </c>
      <c r="H202" s="19">
        <v>4.1972477064220097</v>
      </c>
    </row>
    <row r="203" spans="1:8">
      <c r="A203" s="19" t="s">
        <v>809</v>
      </c>
      <c r="B203" s="19" t="s">
        <v>844</v>
      </c>
      <c r="C203" s="19" t="s">
        <v>826</v>
      </c>
      <c r="D203" s="19">
        <v>28</v>
      </c>
      <c r="E203" s="19" t="s">
        <v>812</v>
      </c>
      <c r="F203" s="19" t="s">
        <v>814</v>
      </c>
      <c r="G203" s="19">
        <v>2.0124804992199601</v>
      </c>
      <c r="H203" s="19">
        <v>2.1284403669724701</v>
      </c>
    </row>
    <row r="204" spans="1:8">
      <c r="A204" s="19" t="s">
        <v>809</v>
      </c>
      <c r="B204" s="19" t="s">
        <v>844</v>
      </c>
      <c r="C204" s="19" t="s">
        <v>826</v>
      </c>
      <c r="D204" s="19">
        <v>28</v>
      </c>
      <c r="E204" s="19" t="s">
        <v>812</v>
      </c>
      <c r="F204" s="19" t="s">
        <v>814</v>
      </c>
      <c r="G204" s="19">
        <v>7.95</v>
      </c>
      <c r="H204" s="19">
        <v>2.6467889908256801</v>
      </c>
    </row>
    <row r="205" spans="1:8">
      <c r="A205" s="19" t="s">
        <v>809</v>
      </c>
      <c r="B205" s="19" t="s">
        <v>844</v>
      </c>
      <c r="C205" s="19" t="s">
        <v>826</v>
      </c>
      <c r="D205" s="19">
        <v>28</v>
      </c>
      <c r="E205" s="19" t="s">
        <v>812</v>
      </c>
      <c r="F205" s="19" t="s">
        <v>814</v>
      </c>
      <c r="G205" s="19">
        <v>13.806552262090401</v>
      </c>
      <c r="H205" s="19">
        <v>3.1697247706421998</v>
      </c>
    </row>
    <row r="206" spans="1:8">
      <c r="A206" s="19" t="s">
        <v>809</v>
      </c>
      <c r="B206" s="19" t="s">
        <v>844</v>
      </c>
      <c r="C206" s="19" t="s">
        <v>826</v>
      </c>
      <c r="D206" s="19">
        <v>28</v>
      </c>
      <c r="E206" s="19" t="s">
        <v>812</v>
      </c>
      <c r="F206" s="19" t="s">
        <v>814</v>
      </c>
      <c r="G206" s="19">
        <v>27.659906396255799</v>
      </c>
      <c r="H206" s="19">
        <v>3.6972477064220102</v>
      </c>
    </row>
    <row r="207" spans="1:8">
      <c r="A207" s="19" t="s">
        <v>809</v>
      </c>
      <c r="B207" s="19" t="s">
        <v>844</v>
      </c>
      <c r="C207" s="19" t="s">
        <v>826</v>
      </c>
      <c r="D207" s="19">
        <v>28</v>
      </c>
      <c r="E207" s="19" t="s">
        <v>812</v>
      </c>
      <c r="F207" s="19" t="s">
        <v>814</v>
      </c>
      <c r="G207" s="19">
        <v>5.8970358814352499</v>
      </c>
      <c r="H207" s="19">
        <v>4.7018348623853203</v>
      </c>
    </row>
    <row r="208" spans="1:8">
      <c r="A208" s="19" t="s">
        <v>809</v>
      </c>
      <c r="B208" s="19" t="s">
        <v>845</v>
      </c>
      <c r="C208" s="19" t="s">
        <v>827</v>
      </c>
      <c r="D208" s="19">
        <v>28</v>
      </c>
      <c r="E208" s="19" t="s">
        <v>812</v>
      </c>
      <c r="F208" s="19" t="s">
        <v>813</v>
      </c>
      <c r="G208" s="19">
        <v>28</v>
      </c>
      <c r="H208" s="19">
        <v>0.53558718861209897</v>
      </c>
    </row>
    <row r="209" spans="1:8">
      <c r="A209" s="19" t="s">
        <v>809</v>
      </c>
      <c r="B209" s="19" t="s">
        <v>845</v>
      </c>
      <c r="C209" s="19" t="s">
        <v>827</v>
      </c>
      <c r="D209" s="19">
        <v>28</v>
      </c>
      <c r="E209" s="19" t="s">
        <v>812</v>
      </c>
      <c r="F209" s="19" t="s">
        <v>813</v>
      </c>
      <c r="G209" s="19">
        <v>11.3981762917933</v>
      </c>
      <c r="H209" s="19">
        <v>1.0738434163701001</v>
      </c>
    </row>
    <row r="210" spans="1:8">
      <c r="A210" s="19" t="s">
        <v>809</v>
      </c>
      <c r="B210" s="19" t="s">
        <v>845</v>
      </c>
      <c r="C210" s="19" t="s">
        <v>827</v>
      </c>
      <c r="D210" s="19">
        <v>28</v>
      </c>
      <c r="E210" s="19" t="s">
        <v>812</v>
      </c>
      <c r="F210" s="19" t="s">
        <v>813</v>
      </c>
      <c r="G210" s="19">
        <v>5.8662613981762899</v>
      </c>
      <c r="H210" s="19">
        <v>1.6032028469750801</v>
      </c>
    </row>
    <row r="211" spans="1:8">
      <c r="A211" s="19" t="s">
        <v>809</v>
      </c>
      <c r="B211" s="19" t="s">
        <v>845</v>
      </c>
      <c r="C211" s="19" t="s">
        <v>827</v>
      </c>
      <c r="D211" s="19">
        <v>28</v>
      </c>
      <c r="E211" s="19" t="s">
        <v>812</v>
      </c>
      <c r="F211" s="19" t="s">
        <v>813</v>
      </c>
      <c r="G211" s="19">
        <v>4.3161094224924001</v>
      </c>
      <c r="H211" s="19">
        <v>2.6530249110320199</v>
      </c>
    </row>
    <row r="212" spans="1:8">
      <c r="A212" s="19" t="s">
        <v>809</v>
      </c>
      <c r="B212" s="19" t="s">
        <v>845</v>
      </c>
      <c r="C212" s="19" t="s">
        <v>827</v>
      </c>
      <c r="D212" s="19">
        <v>28</v>
      </c>
      <c r="E212" s="19" t="s">
        <v>812</v>
      </c>
      <c r="F212" s="19" t="s">
        <v>813</v>
      </c>
      <c r="G212" s="19">
        <v>6.2917933130699</v>
      </c>
      <c r="H212" s="19">
        <v>3.6895017793594298</v>
      </c>
    </row>
    <row r="213" spans="1:8">
      <c r="A213" s="19" t="s">
        <v>809</v>
      </c>
      <c r="B213" s="19" t="s">
        <v>845</v>
      </c>
      <c r="C213" s="19" t="s">
        <v>827</v>
      </c>
      <c r="D213" s="19">
        <v>28</v>
      </c>
      <c r="E213" s="19" t="s">
        <v>812</v>
      </c>
      <c r="F213" s="19" t="s">
        <v>814</v>
      </c>
      <c r="G213" s="19">
        <v>0.88145896656534894</v>
      </c>
      <c r="H213" s="19">
        <v>4.6814946619217004</v>
      </c>
    </row>
    <row r="214" spans="1:8">
      <c r="A214" s="19" t="s">
        <v>809</v>
      </c>
      <c r="B214" s="19" t="s">
        <v>845</v>
      </c>
      <c r="C214" s="19" t="s">
        <v>827</v>
      </c>
      <c r="D214" s="19">
        <v>28</v>
      </c>
      <c r="E214" s="19" t="s">
        <v>812</v>
      </c>
      <c r="F214" s="19" t="s">
        <v>814</v>
      </c>
      <c r="G214" s="19">
        <v>2.4620060790273501</v>
      </c>
      <c r="H214" s="19">
        <v>5.1975088967971503</v>
      </c>
    </row>
    <row r="215" spans="1:8">
      <c r="A215" s="19" t="s">
        <v>809</v>
      </c>
      <c r="B215" s="19" t="s">
        <v>845</v>
      </c>
      <c r="C215" s="19" t="s">
        <v>827</v>
      </c>
      <c r="D215" s="19">
        <v>28</v>
      </c>
      <c r="E215" s="19" t="s">
        <v>812</v>
      </c>
      <c r="F215" s="19" t="s">
        <v>814</v>
      </c>
      <c r="G215" s="19">
        <v>2.88753799392097</v>
      </c>
      <c r="H215" s="19">
        <v>2.1281138790035499</v>
      </c>
    </row>
    <row r="216" spans="1:8">
      <c r="A216" s="19" t="s">
        <v>809</v>
      </c>
      <c r="B216" s="19" t="s">
        <v>845</v>
      </c>
      <c r="C216" s="19" t="s">
        <v>827</v>
      </c>
      <c r="D216" s="19">
        <v>28</v>
      </c>
      <c r="E216" s="19" t="s">
        <v>812</v>
      </c>
      <c r="F216" s="19" t="s">
        <v>814</v>
      </c>
      <c r="G216" s="19">
        <v>5.18</v>
      </c>
      <c r="H216" s="19">
        <v>3.1645907473309598</v>
      </c>
    </row>
    <row r="217" spans="1:8">
      <c r="A217" s="19" t="s">
        <v>809</v>
      </c>
      <c r="B217" s="19" t="s">
        <v>845</v>
      </c>
      <c r="C217" s="19" t="s">
        <v>827</v>
      </c>
      <c r="D217" s="19">
        <v>28</v>
      </c>
      <c r="E217" s="19" t="s">
        <v>812</v>
      </c>
      <c r="F217" s="19" t="s">
        <v>814</v>
      </c>
      <c r="G217" s="19">
        <v>7.9939209726443696</v>
      </c>
      <c r="H217" s="19">
        <v>4.1877224199288197</v>
      </c>
    </row>
    <row r="218" spans="1:8">
      <c r="A218" s="19" t="s">
        <v>809</v>
      </c>
      <c r="B218" s="19" t="s">
        <v>846</v>
      </c>
      <c r="C218" s="19" t="s">
        <v>829</v>
      </c>
      <c r="D218" s="19">
        <v>29</v>
      </c>
      <c r="E218" s="19" t="s">
        <v>812</v>
      </c>
      <c r="F218" s="19" t="s">
        <v>813</v>
      </c>
      <c r="G218" s="19">
        <v>29</v>
      </c>
      <c r="H218" s="19">
        <v>0.54520795660036103</v>
      </c>
    </row>
    <row r="219" spans="1:8">
      <c r="A219" s="19" t="s">
        <v>809</v>
      </c>
      <c r="B219" s="19" t="s">
        <v>846</v>
      </c>
      <c r="C219" s="19" t="s">
        <v>829</v>
      </c>
      <c r="D219" s="19">
        <v>29</v>
      </c>
      <c r="E219" s="19" t="s">
        <v>812</v>
      </c>
      <c r="F219" s="19" t="s">
        <v>813</v>
      </c>
      <c r="G219" s="19">
        <v>17.100000000000001</v>
      </c>
      <c r="H219" s="19">
        <v>1.08318264014466</v>
      </c>
    </row>
    <row r="220" spans="1:8">
      <c r="A220" s="19" t="s">
        <v>809</v>
      </c>
      <c r="B220" s="19" t="s">
        <v>846</v>
      </c>
      <c r="C220" s="19" t="s">
        <v>829</v>
      </c>
      <c r="D220" s="19">
        <v>29</v>
      </c>
      <c r="E220" s="19" t="s">
        <v>812</v>
      </c>
      <c r="F220" s="19" t="s">
        <v>813</v>
      </c>
      <c r="G220" s="19">
        <v>9.6199999999999992</v>
      </c>
      <c r="H220" s="19">
        <v>1.62</v>
      </c>
    </row>
    <row r="221" spans="1:8">
      <c r="A221" s="19" t="s">
        <v>809</v>
      </c>
      <c r="B221" s="19" t="s">
        <v>846</v>
      </c>
      <c r="C221" s="19" t="s">
        <v>829</v>
      </c>
      <c r="D221" s="19">
        <v>29</v>
      </c>
      <c r="E221" s="19" t="s">
        <v>812</v>
      </c>
      <c r="F221" s="19" t="s">
        <v>813</v>
      </c>
      <c r="G221" s="19">
        <v>4.8499999999999996</v>
      </c>
      <c r="H221" s="19">
        <v>2.14</v>
      </c>
    </row>
    <row r="222" spans="1:8">
      <c r="A222" s="19" t="s">
        <v>809</v>
      </c>
      <c r="B222" s="19" t="s">
        <v>846</v>
      </c>
      <c r="C222" s="19" t="s">
        <v>829</v>
      </c>
      <c r="D222" s="19">
        <v>29</v>
      </c>
      <c r="E222" s="19" t="s">
        <v>812</v>
      </c>
      <c r="F222" s="19" t="s">
        <v>813</v>
      </c>
      <c r="G222" s="19">
        <v>3.9</v>
      </c>
      <c r="H222" s="19">
        <v>2.66</v>
      </c>
    </row>
    <row r="223" spans="1:8">
      <c r="A223" s="19" t="s">
        <v>809</v>
      </c>
      <c r="B223" s="19" t="s">
        <v>846</v>
      </c>
      <c r="C223" s="19" t="s">
        <v>829</v>
      </c>
      <c r="D223" s="19">
        <v>29</v>
      </c>
      <c r="E223" s="19" t="s">
        <v>812</v>
      </c>
      <c r="F223" s="19" t="s">
        <v>813</v>
      </c>
      <c r="G223" s="19">
        <v>2.4</v>
      </c>
      <c r="H223" s="19">
        <v>3.18</v>
      </c>
    </row>
    <row r="224" spans="1:8">
      <c r="A224" s="19" t="s">
        <v>809</v>
      </c>
      <c r="B224" s="19" t="s">
        <v>846</v>
      </c>
      <c r="C224" s="19" t="s">
        <v>829</v>
      </c>
      <c r="D224" s="19">
        <v>29</v>
      </c>
      <c r="E224" s="19" t="s">
        <v>812</v>
      </c>
      <c r="F224" s="19" t="s">
        <v>814</v>
      </c>
      <c r="G224" s="19">
        <v>2.37</v>
      </c>
      <c r="H224" s="19">
        <v>3.1749999999999998</v>
      </c>
    </row>
    <row r="225" spans="1:8">
      <c r="A225" s="19" t="s">
        <v>809</v>
      </c>
      <c r="B225" s="19" t="s">
        <v>846</v>
      </c>
      <c r="C225" s="19" t="s">
        <v>829</v>
      </c>
      <c r="D225" s="19">
        <v>29</v>
      </c>
      <c r="E225" s="19" t="s">
        <v>812</v>
      </c>
      <c r="F225" s="19" t="s">
        <v>814</v>
      </c>
      <c r="G225" s="19">
        <v>3.9</v>
      </c>
      <c r="H225" s="19">
        <v>3.6909999999999998</v>
      </c>
    </row>
    <row r="226" spans="1:8">
      <c r="A226" s="19" t="s">
        <v>809</v>
      </c>
      <c r="B226" s="19" t="s">
        <v>846</v>
      </c>
      <c r="C226" s="19" t="s">
        <v>829</v>
      </c>
      <c r="D226" s="19">
        <v>29</v>
      </c>
      <c r="E226" s="19" t="s">
        <v>812</v>
      </c>
      <c r="F226" s="19" t="s">
        <v>814</v>
      </c>
      <c r="G226" s="19">
        <v>5.31</v>
      </c>
      <c r="H226" s="19">
        <v>4.2</v>
      </c>
    </row>
    <row r="227" spans="1:8">
      <c r="A227" s="19" t="s">
        <v>809</v>
      </c>
      <c r="B227" s="19" t="s">
        <v>846</v>
      </c>
      <c r="C227" s="19" t="s">
        <v>829</v>
      </c>
      <c r="D227" s="19">
        <v>29</v>
      </c>
      <c r="E227" s="19" t="s">
        <v>812</v>
      </c>
      <c r="F227" s="19" t="s">
        <v>814</v>
      </c>
      <c r="G227" s="19">
        <v>7.15</v>
      </c>
      <c r="H227" s="19">
        <v>4.7</v>
      </c>
    </row>
    <row r="228" spans="1:8">
      <c r="A228" s="19" t="s">
        <v>809</v>
      </c>
      <c r="B228" s="19" t="s">
        <v>846</v>
      </c>
      <c r="C228" s="19" t="s">
        <v>829</v>
      </c>
      <c r="D228" s="19">
        <v>29</v>
      </c>
      <c r="E228" s="19" t="s">
        <v>812</v>
      </c>
      <c r="F228" s="19" t="s">
        <v>814</v>
      </c>
      <c r="G228" s="19">
        <v>10.4923076923076</v>
      </c>
      <c r="H228" s="19">
        <v>5.2050000000000001</v>
      </c>
    </row>
    <row r="229" spans="1:8">
      <c r="A229" s="19" t="s">
        <v>809</v>
      </c>
      <c r="B229" s="19" t="s">
        <v>846</v>
      </c>
      <c r="C229" s="19" t="s">
        <v>829</v>
      </c>
      <c r="D229" s="19">
        <v>29</v>
      </c>
      <c r="E229" s="19" t="s">
        <v>812</v>
      </c>
      <c r="F229" s="19" t="s">
        <v>814</v>
      </c>
      <c r="G229" s="19">
        <v>13.7846153846153</v>
      </c>
      <c r="H229" s="19">
        <v>3.6949999999999998</v>
      </c>
    </row>
    <row r="230" spans="1:8">
      <c r="A230" s="19" t="s">
        <v>809</v>
      </c>
      <c r="B230" s="19" t="s">
        <v>847</v>
      </c>
      <c r="C230" s="19" t="s">
        <v>831</v>
      </c>
      <c r="D230" s="19">
        <v>29</v>
      </c>
      <c r="E230" s="19" t="s">
        <v>812</v>
      </c>
      <c r="F230" s="19" t="s">
        <v>813</v>
      </c>
      <c r="G230" s="19">
        <v>29</v>
      </c>
      <c r="H230" s="19">
        <v>0.53533568904593598</v>
      </c>
    </row>
    <row r="231" spans="1:8">
      <c r="A231" s="19" t="s">
        <v>809</v>
      </c>
      <c r="B231" s="19" t="s">
        <v>847</v>
      </c>
      <c r="C231" s="19" t="s">
        <v>831</v>
      </c>
      <c r="D231" s="19">
        <v>29</v>
      </c>
      <c r="E231" s="19" t="s">
        <v>812</v>
      </c>
      <c r="F231" s="19" t="s">
        <v>813</v>
      </c>
      <c r="G231" s="19">
        <v>16.936936936936899</v>
      </c>
      <c r="H231" s="19">
        <v>1.0786219081271999</v>
      </c>
    </row>
    <row r="232" spans="1:8">
      <c r="A232" s="19" t="s">
        <v>809</v>
      </c>
      <c r="B232" s="19" t="s">
        <v>847</v>
      </c>
      <c r="C232" s="19" t="s">
        <v>831</v>
      </c>
      <c r="D232" s="19">
        <v>29</v>
      </c>
      <c r="E232" s="19" t="s">
        <v>812</v>
      </c>
      <c r="F232" s="19" t="s">
        <v>813</v>
      </c>
      <c r="G232" s="19">
        <v>8.7837837837837807</v>
      </c>
      <c r="H232" s="19">
        <v>1.5998233215547699</v>
      </c>
    </row>
    <row r="233" spans="1:8">
      <c r="A233" s="19" t="s">
        <v>809</v>
      </c>
      <c r="B233" s="19" t="s">
        <v>847</v>
      </c>
      <c r="C233" s="19" t="s">
        <v>831</v>
      </c>
      <c r="D233" s="19">
        <v>29</v>
      </c>
      <c r="E233" s="19" t="s">
        <v>812</v>
      </c>
      <c r="F233" s="19" t="s">
        <v>813</v>
      </c>
      <c r="G233" s="19">
        <v>4.7297297297297298</v>
      </c>
      <c r="H233" s="19">
        <v>2.1342756183745499</v>
      </c>
    </row>
    <row r="234" spans="1:8">
      <c r="A234" s="19" t="s">
        <v>809</v>
      </c>
      <c r="B234" s="19" t="s">
        <v>847</v>
      </c>
      <c r="C234" s="19" t="s">
        <v>831</v>
      </c>
      <c r="D234" s="19">
        <v>29</v>
      </c>
      <c r="E234" s="19" t="s">
        <v>812</v>
      </c>
      <c r="F234" s="19" t="s">
        <v>813</v>
      </c>
      <c r="G234" s="19">
        <v>3.91891891891891</v>
      </c>
      <c r="H234" s="19">
        <v>2.6554770318021199</v>
      </c>
    </row>
    <row r="235" spans="1:8">
      <c r="A235" s="19" t="s">
        <v>809</v>
      </c>
      <c r="B235" s="19" t="s">
        <v>847</v>
      </c>
      <c r="C235" s="19" t="s">
        <v>831</v>
      </c>
      <c r="D235" s="19">
        <v>29</v>
      </c>
      <c r="E235" s="19" t="s">
        <v>812</v>
      </c>
      <c r="F235" s="19" t="s">
        <v>813</v>
      </c>
      <c r="G235" s="19">
        <v>1.9819819819819799</v>
      </c>
      <c r="H235" s="19">
        <v>3.1678445229681902</v>
      </c>
    </row>
    <row r="236" spans="1:8">
      <c r="A236" s="19" t="s">
        <v>809</v>
      </c>
      <c r="B236" s="19" t="s">
        <v>847</v>
      </c>
      <c r="C236" s="19" t="s">
        <v>831</v>
      </c>
      <c r="D236" s="19">
        <v>29</v>
      </c>
      <c r="E236" s="19" t="s">
        <v>812</v>
      </c>
      <c r="F236" s="19" t="s">
        <v>814</v>
      </c>
      <c r="G236" s="19">
        <v>4.7297297297297298</v>
      </c>
      <c r="H236" s="19">
        <v>2.64664310954063</v>
      </c>
    </row>
    <row r="237" spans="1:8">
      <c r="A237" s="19" t="s">
        <v>809</v>
      </c>
      <c r="B237" s="19" t="s">
        <v>847</v>
      </c>
      <c r="C237" s="19" t="s">
        <v>831</v>
      </c>
      <c r="D237" s="19">
        <v>29</v>
      </c>
      <c r="E237" s="19" t="s">
        <v>812</v>
      </c>
      <c r="F237" s="19" t="s">
        <v>814</v>
      </c>
      <c r="G237" s="19">
        <v>5.6306306306306304</v>
      </c>
      <c r="H237" s="19">
        <v>3.1678445229681902</v>
      </c>
    </row>
    <row r="238" spans="1:8">
      <c r="A238" s="19" t="s">
        <v>809</v>
      </c>
      <c r="B238" s="19" t="s">
        <v>847</v>
      </c>
      <c r="C238" s="19" t="s">
        <v>831</v>
      </c>
      <c r="D238" s="19">
        <v>29</v>
      </c>
      <c r="E238" s="19" t="s">
        <v>812</v>
      </c>
      <c r="F238" s="19" t="s">
        <v>814</v>
      </c>
      <c r="G238" s="19">
        <v>9.6846846846846795</v>
      </c>
      <c r="H238" s="19">
        <v>3.6846289752650101</v>
      </c>
    </row>
    <row r="239" spans="1:8">
      <c r="A239" s="19" t="s">
        <v>809</v>
      </c>
      <c r="B239" s="19" t="s">
        <v>847</v>
      </c>
      <c r="C239" s="19" t="s">
        <v>831</v>
      </c>
      <c r="D239" s="19">
        <v>29</v>
      </c>
      <c r="E239" s="19" t="s">
        <v>812</v>
      </c>
      <c r="F239" s="19" t="s">
        <v>814</v>
      </c>
      <c r="G239" s="19">
        <v>10.495495495495399</v>
      </c>
      <c r="H239" s="19">
        <v>4.1925795053003503</v>
      </c>
    </row>
    <row r="240" spans="1:8">
      <c r="A240" s="19" t="s">
        <v>809</v>
      </c>
      <c r="B240" s="19" t="s">
        <v>847</v>
      </c>
      <c r="C240" s="19" t="s">
        <v>831</v>
      </c>
      <c r="D240" s="19">
        <v>29</v>
      </c>
      <c r="E240" s="19" t="s">
        <v>812</v>
      </c>
      <c r="F240" s="19" t="s">
        <v>814</v>
      </c>
      <c r="G240" s="19">
        <v>15</v>
      </c>
      <c r="H240" s="19">
        <v>4.6916961130742001</v>
      </c>
    </row>
    <row r="241" spans="1:8">
      <c r="A241" s="19" t="s">
        <v>809</v>
      </c>
      <c r="B241" s="19" t="s">
        <v>847</v>
      </c>
      <c r="C241" s="19" t="s">
        <v>831</v>
      </c>
      <c r="D241" s="19">
        <v>29</v>
      </c>
      <c r="E241" s="19" t="s">
        <v>812</v>
      </c>
      <c r="F241" s="19" t="s">
        <v>814</v>
      </c>
      <c r="G241" s="19">
        <v>25.270270270270199</v>
      </c>
      <c r="H241" s="19">
        <v>5.1952296819787902</v>
      </c>
    </row>
    <row r="242" spans="1:8">
      <c r="A242" s="19" t="s">
        <v>809</v>
      </c>
      <c r="B242" s="19" t="s">
        <v>848</v>
      </c>
      <c r="C242" s="19" t="s">
        <v>833</v>
      </c>
      <c r="D242" s="19">
        <v>30</v>
      </c>
      <c r="E242" s="19" t="s">
        <v>812</v>
      </c>
      <c r="F242" s="19" t="s">
        <v>813</v>
      </c>
      <c r="G242" s="19">
        <v>30</v>
      </c>
      <c r="H242" s="19">
        <v>0.531222123104371</v>
      </c>
    </row>
    <row r="243" spans="1:8">
      <c r="A243" s="19" t="s">
        <v>809</v>
      </c>
      <c r="B243" s="19" t="s">
        <v>848</v>
      </c>
      <c r="C243" s="19" t="s">
        <v>833</v>
      </c>
      <c r="D243" s="19">
        <v>30</v>
      </c>
      <c r="E243" s="19" t="s">
        <v>812</v>
      </c>
      <c r="F243" s="19" t="s">
        <v>813</v>
      </c>
      <c r="G243" s="19">
        <v>17.350000000000001</v>
      </c>
      <c r="H243" s="19">
        <v>1.07091882247992</v>
      </c>
    </row>
    <row r="244" spans="1:8">
      <c r="A244" s="19" t="s">
        <v>809</v>
      </c>
      <c r="B244" s="19" t="s">
        <v>848</v>
      </c>
      <c r="C244" s="19" t="s">
        <v>833</v>
      </c>
      <c r="D244" s="19">
        <v>30</v>
      </c>
      <c r="E244" s="19" t="s">
        <v>812</v>
      </c>
      <c r="F244" s="19" t="s">
        <v>813</v>
      </c>
      <c r="G244" s="19">
        <v>11.5</v>
      </c>
      <c r="H244" s="19">
        <v>1.59277430865298</v>
      </c>
    </row>
    <row r="245" spans="1:8">
      <c r="A245" s="19" t="s">
        <v>809</v>
      </c>
      <c r="B245" s="19" t="s">
        <v>848</v>
      </c>
      <c r="C245" s="19" t="s">
        <v>833</v>
      </c>
      <c r="D245" s="19">
        <v>30</v>
      </c>
      <c r="E245" s="19" t="s">
        <v>812</v>
      </c>
      <c r="F245" s="19" t="s">
        <v>813</v>
      </c>
      <c r="G245" s="19">
        <v>7.6255707762557003</v>
      </c>
      <c r="H245" s="19">
        <v>2.1235504014272899</v>
      </c>
    </row>
    <row r="246" spans="1:8">
      <c r="A246" s="19" t="s">
        <v>809</v>
      </c>
      <c r="B246" s="19" t="s">
        <v>848</v>
      </c>
      <c r="C246" s="19" t="s">
        <v>833</v>
      </c>
      <c r="D246" s="19">
        <v>30</v>
      </c>
      <c r="E246" s="19" t="s">
        <v>812</v>
      </c>
      <c r="F246" s="19" t="s">
        <v>813</v>
      </c>
      <c r="G246" s="19">
        <v>5.93607305936073</v>
      </c>
      <c r="H246" s="19">
        <v>4.6882247992863499</v>
      </c>
    </row>
    <row r="247" spans="1:8">
      <c r="A247" s="19" t="s">
        <v>809</v>
      </c>
      <c r="B247" s="19" t="s">
        <v>848</v>
      </c>
      <c r="C247" s="19" t="s">
        <v>833</v>
      </c>
      <c r="D247" s="19">
        <v>30</v>
      </c>
      <c r="E247" s="19" t="s">
        <v>812</v>
      </c>
      <c r="F247" s="19" t="s">
        <v>814</v>
      </c>
      <c r="G247" s="19">
        <v>9.6347031963470293</v>
      </c>
      <c r="H247" s="19">
        <v>2.65</v>
      </c>
    </row>
    <row r="248" spans="1:8">
      <c r="A248" s="19" t="s">
        <v>809</v>
      </c>
      <c r="B248" s="19" t="s">
        <v>848</v>
      </c>
      <c r="C248" s="19" t="s">
        <v>833</v>
      </c>
      <c r="D248" s="19">
        <v>30</v>
      </c>
      <c r="E248" s="19" t="s">
        <v>812</v>
      </c>
      <c r="F248" s="19" t="s">
        <v>814</v>
      </c>
      <c r="G248" s="19">
        <v>11.324200913242001</v>
      </c>
      <c r="H248" s="19">
        <v>3.1749999999999998</v>
      </c>
    </row>
    <row r="249" spans="1:8">
      <c r="A249" s="19" t="s">
        <v>809</v>
      </c>
      <c r="B249" s="19" t="s">
        <v>848</v>
      </c>
      <c r="C249" s="19" t="s">
        <v>833</v>
      </c>
      <c r="D249" s="19">
        <v>30</v>
      </c>
      <c r="E249" s="19" t="s">
        <v>812</v>
      </c>
      <c r="F249" s="19" t="s">
        <v>814</v>
      </c>
      <c r="G249" s="19">
        <v>15.570776255707701</v>
      </c>
      <c r="H249" s="19">
        <v>3.6891168599464699</v>
      </c>
    </row>
    <row r="250" spans="1:8">
      <c r="A250" s="19" t="s">
        <v>809</v>
      </c>
      <c r="B250" s="19" t="s">
        <v>848</v>
      </c>
      <c r="C250" s="19" t="s">
        <v>833</v>
      </c>
      <c r="D250" s="19">
        <v>30</v>
      </c>
      <c r="E250" s="19" t="s">
        <v>812</v>
      </c>
      <c r="F250" s="19" t="s">
        <v>814</v>
      </c>
      <c r="G250" s="19">
        <v>19.1324200913242</v>
      </c>
      <c r="H250" s="19">
        <v>4.1931311329170304</v>
      </c>
    </row>
    <row r="251" spans="1:8">
      <c r="A251" s="19" t="s">
        <v>809</v>
      </c>
      <c r="B251" s="19" t="s">
        <v>848</v>
      </c>
      <c r="C251" s="19" t="s">
        <v>833</v>
      </c>
      <c r="D251" s="19">
        <v>30</v>
      </c>
      <c r="E251" s="19" t="s">
        <v>812</v>
      </c>
      <c r="F251" s="19" t="s">
        <v>814</v>
      </c>
      <c r="G251" s="19">
        <v>4.0639269406392602</v>
      </c>
      <c r="H251" s="19">
        <v>5.2011596788581604</v>
      </c>
    </row>
    <row r="252" spans="1:8">
      <c r="A252" s="19" t="s">
        <v>809</v>
      </c>
      <c r="B252" s="19" t="s">
        <v>849</v>
      </c>
      <c r="C252" s="19" t="s">
        <v>834</v>
      </c>
      <c r="D252" s="19">
        <v>30</v>
      </c>
      <c r="E252" s="19" t="s">
        <v>812</v>
      </c>
      <c r="F252" s="19" t="s">
        <v>813</v>
      </c>
      <c r="G252" s="19">
        <v>30</v>
      </c>
      <c r="H252" s="19">
        <v>0.53913043478260803</v>
      </c>
    </row>
    <row r="253" spans="1:8">
      <c r="A253" s="19" t="s">
        <v>809</v>
      </c>
      <c r="B253" s="19" t="s">
        <v>849</v>
      </c>
      <c r="C253" s="19" t="s">
        <v>834</v>
      </c>
      <c r="D253" s="19">
        <v>30</v>
      </c>
      <c r="E253" s="19" t="s">
        <v>812</v>
      </c>
      <c r="F253" s="19" t="s">
        <v>813</v>
      </c>
      <c r="G253" s="19">
        <v>8.1008902077151301</v>
      </c>
      <c r="H253" s="19">
        <v>1.0782608695652101</v>
      </c>
    </row>
    <row r="254" spans="1:8">
      <c r="A254" s="19" t="s">
        <v>809</v>
      </c>
      <c r="B254" s="19" t="s">
        <v>849</v>
      </c>
      <c r="C254" s="19" t="s">
        <v>834</v>
      </c>
      <c r="D254" s="19">
        <v>30</v>
      </c>
      <c r="E254" s="19" t="s">
        <v>812</v>
      </c>
      <c r="F254" s="19" t="s">
        <v>813</v>
      </c>
      <c r="G254" s="19">
        <v>5.8160237388724001</v>
      </c>
      <c r="H254" s="19">
        <v>1.6</v>
      </c>
    </row>
    <row r="255" spans="1:8">
      <c r="A255" s="19" t="s">
        <v>809</v>
      </c>
      <c r="B255" s="19" t="s">
        <v>849</v>
      </c>
      <c r="C255" s="19" t="s">
        <v>834</v>
      </c>
      <c r="D255" s="19">
        <v>30</v>
      </c>
      <c r="E255" s="19" t="s">
        <v>812</v>
      </c>
      <c r="F255" s="19" t="s">
        <v>813</v>
      </c>
      <c r="G255" s="19">
        <v>3.7388724035608298</v>
      </c>
      <c r="H255" s="19">
        <v>2.64782608695652</v>
      </c>
    </row>
    <row r="256" spans="1:8">
      <c r="A256" s="19" t="s">
        <v>809</v>
      </c>
      <c r="B256" s="19" t="s">
        <v>849</v>
      </c>
      <c r="C256" s="19" t="s">
        <v>834</v>
      </c>
      <c r="D256" s="19">
        <v>30</v>
      </c>
      <c r="E256" s="19" t="s">
        <v>812</v>
      </c>
      <c r="F256" s="19" t="s">
        <v>813</v>
      </c>
      <c r="G256" s="19">
        <v>1.5133531157269999</v>
      </c>
      <c r="H256" s="19">
        <v>3.6956521739130399</v>
      </c>
    </row>
    <row r="257" spans="1:11">
      <c r="A257" s="19" t="s">
        <v>809</v>
      </c>
      <c r="B257" s="19" t="s">
        <v>849</v>
      </c>
      <c r="C257" s="19" t="s">
        <v>834</v>
      </c>
      <c r="D257" s="19">
        <v>30</v>
      </c>
      <c r="E257" s="19" t="s">
        <v>812</v>
      </c>
      <c r="F257" s="19" t="s">
        <v>813</v>
      </c>
      <c r="G257" s="19">
        <v>0.53412462908011804</v>
      </c>
      <c r="H257" s="19">
        <v>4.6956521739130404</v>
      </c>
    </row>
    <row r="258" spans="1:11">
      <c r="A258" s="19" t="s">
        <v>809</v>
      </c>
      <c r="B258" s="19" t="s">
        <v>849</v>
      </c>
      <c r="C258" s="19" t="s">
        <v>834</v>
      </c>
      <c r="D258" s="19">
        <v>30</v>
      </c>
      <c r="E258" s="19" t="s">
        <v>812</v>
      </c>
      <c r="F258" s="19" t="s">
        <v>814</v>
      </c>
      <c r="G258" s="19">
        <v>5.7566765578635</v>
      </c>
      <c r="H258" s="19">
        <v>1.07391304347826</v>
      </c>
    </row>
    <row r="259" spans="1:11">
      <c r="A259" s="19" t="s">
        <v>809</v>
      </c>
      <c r="B259" s="19" t="s">
        <v>849</v>
      </c>
      <c r="C259" s="19" t="s">
        <v>834</v>
      </c>
      <c r="D259" s="19">
        <v>30</v>
      </c>
      <c r="E259" s="19" t="s">
        <v>812</v>
      </c>
      <c r="F259" s="19" t="s">
        <v>814</v>
      </c>
      <c r="G259" s="19">
        <v>7.1513353115726996</v>
      </c>
      <c r="H259" s="19">
        <v>1.6</v>
      </c>
    </row>
    <row r="260" spans="1:11">
      <c r="A260" s="19" t="s">
        <v>809</v>
      </c>
      <c r="B260" s="19" t="s">
        <v>849</v>
      </c>
      <c r="C260" s="19" t="s">
        <v>834</v>
      </c>
      <c r="D260" s="19">
        <v>30</v>
      </c>
      <c r="E260" s="19" t="s">
        <v>812</v>
      </c>
      <c r="F260" s="19" t="s">
        <v>814</v>
      </c>
      <c r="G260" s="19">
        <v>11.1275964391691</v>
      </c>
      <c r="H260" s="19">
        <v>2.1217391304347801</v>
      </c>
    </row>
    <row r="261" spans="1:11">
      <c r="A261" s="19" t="s">
        <v>809</v>
      </c>
      <c r="B261" s="19" t="s">
        <v>849</v>
      </c>
      <c r="C261" s="19" t="s">
        <v>834</v>
      </c>
      <c r="D261" s="19">
        <v>30</v>
      </c>
      <c r="E261" s="19" t="s">
        <v>812</v>
      </c>
      <c r="F261" s="19" t="s">
        <v>814</v>
      </c>
      <c r="G261" s="19">
        <v>3.79821958456973</v>
      </c>
      <c r="H261" s="19">
        <v>3.1739130434782599</v>
      </c>
    </row>
    <row r="262" spans="1:11">
      <c r="A262" s="19" t="s">
        <v>809</v>
      </c>
      <c r="B262" s="19" t="s">
        <v>849</v>
      </c>
      <c r="C262" s="19" t="s">
        <v>834</v>
      </c>
      <c r="D262" s="19">
        <v>30</v>
      </c>
      <c r="E262" s="19" t="s">
        <v>812</v>
      </c>
      <c r="F262" s="19" t="s">
        <v>814</v>
      </c>
      <c r="G262" s="19">
        <v>0.53412462908011804</v>
      </c>
      <c r="H262" s="19">
        <v>4.2</v>
      </c>
    </row>
    <row r="263" spans="1:11">
      <c r="A263" s="19" t="s">
        <v>809</v>
      </c>
      <c r="B263" s="19" t="s">
        <v>849</v>
      </c>
      <c r="C263" s="19" t="s">
        <v>834</v>
      </c>
      <c r="D263" s="19">
        <v>30</v>
      </c>
      <c r="E263" s="19" t="s">
        <v>812</v>
      </c>
      <c r="F263" s="19" t="s">
        <v>814</v>
      </c>
      <c r="G263" s="19">
        <v>0.56379821958456899</v>
      </c>
      <c r="H263" s="19">
        <v>5.2043478260869502</v>
      </c>
    </row>
    <row r="264" spans="1:11">
      <c r="A264" s="19" t="s">
        <v>809</v>
      </c>
      <c r="B264" s="19" t="s">
        <v>819</v>
      </c>
      <c r="C264" s="19" t="s">
        <v>850</v>
      </c>
      <c r="D264" s="19">
        <v>17</v>
      </c>
      <c r="F264" s="19" t="s">
        <v>813</v>
      </c>
      <c r="G264" s="19">
        <v>17</v>
      </c>
      <c r="H264" s="19">
        <v>0.5</v>
      </c>
      <c r="I264" s="19">
        <v>4.9000000000000004</v>
      </c>
      <c r="J264" s="19">
        <v>3.9</v>
      </c>
      <c r="K264" s="19">
        <v>5.5</v>
      </c>
    </row>
    <row r="265" spans="1:11">
      <c r="A265" s="19" t="s">
        <v>809</v>
      </c>
      <c r="B265" s="19" t="s">
        <v>819</v>
      </c>
      <c r="C265" s="19" t="s">
        <v>850</v>
      </c>
      <c r="D265" s="19">
        <v>17</v>
      </c>
      <c r="F265" s="19" t="s">
        <v>813</v>
      </c>
      <c r="G265" s="19">
        <v>8.1999999999999993</v>
      </c>
      <c r="H265" s="19">
        <v>1.1000000000000001</v>
      </c>
      <c r="I265" s="19">
        <v>4.9000000000000004</v>
      </c>
      <c r="J265" s="19">
        <v>3.9</v>
      </c>
      <c r="K265" s="19">
        <v>5.5</v>
      </c>
    </row>
    <row r="266" spans="1:11">
      <c r="A266" s="19" t="s">
        <v>809</v>
      </c>
      <c r="B266" s="19" t="s">
        <v>819</v>
      </c>
      <c r="C266" s="19" t="s">
        <v>850</v>
      </c>
      <c r="D266" s="19">
        <v>17</v>
      </c>
      <c r="F266" s="19" t="s">
        <v>813</v>
      </c>
      <c r="G266" s="19">
        <v>19</v>
      </c>
      <c r="H266" s="19">
        <v>1.6</v>
      </c>
      <c r="I266" s="19">
        <v>4.9000000000000004</v>
      </c>
      <c r="J266" s="19">
        <v>3.9</v>
      </c>
      <c r="K266" s="19">
        <v>5.5</v>
      </c>
    </row>
    <row r="267" spans="1:11">
      <c r="A267" s="19" t="s">
        <v>809</v>
      </c>
      <c r="B267" s="19" t="s">
        <v>819</v>
      </c>
      <c r="C267" s="19" t="s">
        <v>850</v>
      </c>
      <c r="D267" s="19">
        <v>17</v>
      </c>
      <c r="F267" s="19" t="s">
        <v>813</v>
      </c>
      <c r="G267" s="19">
        <v>6</v>
      </c>
      <c r="H267" s="19">
        <v>2.1</v>
      </c>
      <c r="I267" s="19">
        <v>4.9000000000000004</v>
      </c>
      <c r="J267" s="19">
        <v>3.9</v>
      </c>
      <c r="K267" s="19">
        <v>5.5</v>
      </c>
    </row>
    <row r="268" spans="1:11">
      <c r="A268" s="19" t="s">
        <v>809</v>
      </c>
      <c r="B268" s="19" t="s">
        <v>819</v>
      </c>
      <c r="C268" s="19" t="s">
        <v>850</v>
      </c>
      <c r="D268" s="19">
        <v>17</v>
      </c>
      <c r="F268" s="19" t="s">
        <v>813</v>
      </c>
      <c r="G268" s="19">
        <v>2.5</v>
      </c>
      <c r="H268" s="19">
        <v>3.2</v>
      </c>
      <c r="I268" s="19">
        <v>4.9000000000000004</v>
      </c>
      <c r="J268" s="19">
        <v>3.9</v>
      </c>
      <c r="K268" s="19">
        <v>5.5</v>
      </c>
    </row>
    <row r="269" spans="1:11">
      <c r="A269" s="19" t="s">
        <v>809</v>
      </c>
      <c r="B269" s="19" t="s">
        <v>819</v>
      </c>
      <c r="C269" s="19" t="s">
        <v>850</v>
      </c>
      <c r="D269" s="19">
        <v>17</v>
      </c>
      <c r="F269" s="19" t="s">
        <v>813</v>
      </c>
      <c r="G269" s="19">
        <v>3.9</v>
      </c>
      <c r="H269" s="19">
        <v>4.2</v>
      </c>
      <c r="I269" s="19">
        <v>4.9000000000000004</v>
      </c>
      <c r="J269" s="19">
        <v>3.9</v>
      </c>
      <c r="K269" s="19">
        <v>5.5</v>
      </c>
    </row>
    <row r="270" spans="1:11">
      <c r="A270" s="19" t="s">
        <v>809</v>
      </c>
      <c r="B270" s="19" t="s">
        <v>819</v>
      </c>
      <c r="C270" s="19" t="s">
        <v>850</v>
      </c>
      <c r="D270" s="19">
        <v>17</v>
      </c>
      <c r="F270" s="19" t="s">
        <v>813</v>
      </c>
      <c r="G270" s="19">
        <v>9.5</v>
      </c>
      <c r="H270" s="19">
        <v>5.2</v>
      </c>
      <c r="I270" s="19">
        <v>4.9000000000000004</v>
      </c>
      <c r="J270" s="19">
        <v>3.9</v>
      </c>
      <c r="K270" s="19">
        <v>5.5</v>
      </c>
    </row>
    <row r="271" spans="1:11">
      <c r="A271" s="19" t="s">
        <v>809</v>
      </c>
      <c r="B271" s="19" t="s">
        <v>819</v>
      </c>
      <c r="C271" s="19" t="s">
        <v>850</v>
      </c>
      <c r="D271" s="19">
        <v>17</v>
      </c>
      <c r="F271" s="19" t="s">
        <v>813</v>
      </c>
      <c r="G271" s="19">
        <v>13</v>
      </c>
      <c r="H271" s="19">
        <v>0</v>
      </c>
      <c r="I271" s="19">
        <v>4.9000000000000004</v>
      </c>
      <c r="J271" s="19">
        <v>3.9</v>
      </c>
      <c r="K271" s="19">
        <v>5.5</v>
      </c>
    </row>
    <row r="272" spans="1:11">
      <c r="A272" s="19" t="s">
        <v>809</v>
      </c>
      <c r="B272" s="19" t="s">
        <v>819</v>
      </c>
      <c r="C272" s="19" t="s">
        <v>850</v>
      </c>
      <c r="D272" s="19">
        <v>17</v>
      </c>
      <c r="F272" s="19" t="s">
        <v>814</v>
      </c>
      <c r="G272" s="19">
        <v>0.1</v>
      </c>
      <c r="H272" s="19">
        <v>5.2</v>
      </c>
      <c r="I272" s="19">
        <v>4.9000000000000004</v>
      </c>
      <c r="J272" s="19">
        <v>3.9</v>
      </c>
      <c r="K272" s="19">
        <v>5.5</v>
      </c>
    </row>
    <row r="273" spans="1:11">
      <c r="A273" s="19" t="s">
        <v>809</v>
      </c>
      <c r="B273" s="19" t="s">
        <v>819</v>
      </c>
      <c r="C273" s="19" t="s">
        <v>850</v>
      </c>
      <c r="D273" s="19">
        <v>17</v>
      </c>
      <c r="F273" s="19" t="s">
        <v>814</v>
      </c>
      <c r="G273" s="19">
        <v>0.2</v>
      </c>
      <c r="H273" s="19">
        <v>4.7</v>
      </c>
      <c r="I273" s="19">
        <v>4.9000000000000004</v>
      </c>
      <c r="J273" s="19">
        <v>3.9</v>
      </c>
      <c r="K273" s="19">
        <v>5.5</v>
      </c>
    </row>
    <row r="274" spans="1:11">
      <c r="A274" s="19" t="s">
        <v>809</v>
      </c>
      <c r="B274" s="19" t="s">
        <v>819</v>
      </c>
      <c r="C274" s="19" t="s">
        <v>850</v>
      </c>
      <c r="D274" s="19">
        <v>17</v>
      </c>
      <c r="F274" s="19" t="s">
        <v>814</v>
      </c>
      <c r="G274" s="19">
        <v>1</v>
      </c>
      <c r="H274" s="19">
        <v>5.5</v>
      </c>
      <c r="I274" s="19">
        <v>4.9000000000000004</v>
      </c>
      <c r="J274" s="19">
        <v>3.9</v>
      </c>
      <c r="K274" s="19">
        <v>5.5</v>
      </c>
    </row>
    <row r="275" spans="1:11">
      <c r="A275" s="19" t="s">
        <v>809</v>
      </c>
      <c r="B275" s="19" t="s">
        <v>819</v>
      </c>
      <c r="C275" s="19" t="s">
        <v>850</v>
      </c>
      <c r="D275" s="19">
        <v>17</v>
      </c>
      <c r="F275" s="19" t="s">
        <v>814</v>
      </c>
      <c r="G275" s="19">
        <v>1.8</v>
      </c>
      <c r="H275" s="19">
        <v>2.7</v>
      </c>
      <c r="I275" s="19">
        <v>4.9000000000000004</v>
      </c>
      <c r="J275" s="19">
        <v>3.9</v>
      </c>
      <c r="K275" s="19">
        <v>5.5</v>
      </c>
    </row>
    <row r="276" spans="1:11">
      <c r="A276" s="19" t="s">
        <v>809</v>
      </c>
      <c r="B276" s="19" t="s">
        <v>819</v>
      </c>
      <c r="C276" s="19" t="s">
        <v>850</v>
      </c>
      <c r="D276" s="19">
        <v>17</v>
      </c>
      <c r="F276" s="19" t="s">
        <v>814</v>
      </c>
      <c r="G276" s="19">
        <v>2.6</v>
      </c>
      <c r="H276" s="19">
        <v>3.7</v>
      </c>
      <c r="I276" s="19">
        <v>4.9000000000000004</v>
      </c>
      <c r="J276" s="19">
        <v>3.9</v>
      </c>
      <c r="K276" s="19">
        <v>5.5</v>
      </c>
    </row>
    <row r="277" spans="1:11">
      <c r="A277" s="19" t="s">
        <v>809</v>
      </c>
      <c r="B277" s="19" t="s">
        <v>819</v>
      </c>
      <c r="C277" s="19" t="s">
        <v>850</v>
      </c>
      <c r="D277" s="19">
        <v>17</v>
      </c>
      <c r="F277" s="19" t="s">
        <v>814</v>
      </c>
      <c r="G277" s="19">
        <v>5.8</v>
      </c>
      <c r="H277" s="19">
        <v>4.7</v>
      </c>
      <c r="I277" s="19">
        <v>4.9000000000000004</v>
      </c>
      <c r="J277" s="19">
        <v>3.9</v>
      </c>
      <c r="K277" s="19">
        <v>5.5</v>
      </c>
    </row>
    <row r="278" spans="1:11">
      <c r="A278" s="19" t="s">
        <v>809</v>
      </c>
      <c r="B278" s="19" t="s">
        <v>819</v>
      </c>
      <c r="C278" s="19" t="s">
        <v>850</v>
      </c>
      <c r="D278" s="19">
        <v>17</v>
      </c>
      <c r="F278" s="19" t="s">
        <v>814</v>
      </c>
      <c r="G278" s="19">
        <v>13.9</v>
      </c>
      <c r="H278" s="19">
        <v>0</v>
      </c>
      <c r="I278" s="19">
        <v>4.9000000000000004</v>
      </c>
      <c r="J278" s="19">
        <v>3.9</v>
      </c>
      <c r="K278" s="19">
        <v>5.5</v>
      </c>
    </row>
    <row r="279" spans="1:11">
      <c r="A279" s="19" t="s">
        <v>809</v>
      </c>
      <c r="B279" s="19" t="s">
        <v>819</v>
      </c>
      <c r="C279" s="19" t="s">
        <v>850</v>
      </c>
      <c r="D279" s="19">
        <v>17</v>
      </c>
      <c r="F279" s="19" t="s">
        <v>814</v>
      </c>
      <c r="G279" s="19">
        <v>20</v>
      </c>
      <c r="H279" s="19">
        <v>0</v>
      </c>
      <c r="I279" s="19">
        <v>4.9000000000000004</v>
      </c>
      <c r="J279" s="19">
        <v>3.9</v>
      </c>
      <c r="K279" s="19">
        <v>5.5</v>
      </c>
    </row>
    <row r="280" spans="1:11">
      <c r="A280" s="19" t="s">
        <v>809</v>
      </c>
      <c r="B280" s="19" t="s">
        <v>823</v>
      </c>
      <c r="C280" s="19" t="s">
        <v>851</v>
      </c>
      <c r="D280" s="19">
        <v>18</v>
      </c>
      <c r="F280" s="19" t="s">
        <v>813</v>
      </c>
      <c r="G280" s="19">
        <v>18</v>
      </c>
      <c r="H280" s="19">
        <v>0.5</v>
      </c>
    </row>
    <row r="281" spans="1:11">
      <c r="A281" s="19" t="s">
        <v>809</v>
      </c>
      <c r="B281" s="19" t="s">
        <v>823</v>
      </c>
      <c r="C281" s="19" t="s">
        <v>851</v>
      </c>
      <c r="D281" s="19">
        <v>18</v>
      </c>
      <c r="F281" s="19" t="s">
        <v>813</v>
      </c>
      <c r="G281" s="19">
        <v>11</v>
      </c>
      <c r="H281" s="19">
        <v>1.1000000000000001</v>
      </c>
    </row>
    <row r="282" spans="1:11">
      <c r="A282" s="19" t="s">
        <v>809</v>
      </c>
      <c r="B282" s="19" t="s">
        <v>823</v>
      </c>
      <c r="C282" s="19" t="s">
        <v>851</v>
      </c>
      <c r="D282" s="19">
        <v>18</v>
      </c>
      <c r="F282" s="19" t="s">
        <v>813</v>
      </c>
      <c r="G282" s="19">
        <v>7</v>
      </c>
      <c r="H282" s="19">
        <v>1.6</v>
      </c>
    </row>
    <row r="283" spans="1:11">
      <c r="A283" s="19" t="s">
        <v>809</v>
      </c>
      <c r="B283" s="19" t="s">
        <v>823</v>
      </c>
      <c r="C283" s="19" t="s">
        <v>851</v>
      </c>
      <c r="D283" s="19">
        <v>18</v>
      </c>
      <c r="F283" s="19" t="s">
        <v>813</v>
      </c>
      <c r="G283" s="19">
        <v>5</v>
      </c>
      <c r="H283" s="19">
        <v>2.1</v>
      </c>
    </row>
    <row r="284" spans="1:11">
      <c r="A284" s="19" t="s">
        <v>809</v>
      </c>
      <c r="B284" s="19" t="s">
        <v>823</v>
      </c>
      <c r="C284" s="19" t="s">
        <v>851</v>
      </c>
      <c r="D284" s="19">
        <v>18</v>
      </c>
      <c r="F284" s="19" t="s">
        <v>813</v>
      </c>
      <c r="G284" s="19">
        <v>2.5</v>
      </c>
      <c r="H284" s="19">
        <v>2.7</v>
      </c>
    </row>
    <row r="285" spans="1:11">
      <c r="A285" s="19" t="s">
        <v>809</v>
      </c>
      <c r="B285" s="19" t="s">
        <v>823</v>
      </c>
      <c r="C285" s="19" t="s">
        <v>851</v>
      </c>
      <c r="D285" s="19">
        <v>18</v>
      </c>
      <c r="F285" s="19" t="s">
        <v>813</v>
      </c>
      <c r="G285" s="19">
        <v>1.5</v>
      </c>
      <c r="H285" s="19">
        <v>4.7</v>
      </c>
    </row>
    <row r="286" spans="1:11">
      <c r="A286" s="19" t="s">
        <v>809</v>
      </c>
      <c r="B286" s="19" t="s">
        <v>823</v>
      </c>
      <c r="C286" s="19" t="s">
        <v>851</v>
      </c>
      <c r="D286" s="19">
        <v>18</v>
      </c>
      <c r="F286" s="19" t="s">
        <v>814</v>
      </c>
      <c r="G286" s="19">
        <v>3</v>
      </c>
      <c r="H286" s="19">
        <v>2.1</v>
      </c>
    </row>
    <row r="287" spans="1:11">
      <c r="A287" s="19" t="s">
        <v>809</v>
      </c>
      <c r="B287" s="19" t="s">
        <v>823</v>
      </c>
      <c r="C287" s="19" t="s">
        <v>851</v>
      </c>
      <c r="D287" s="19">
        <v>18</v>
      </c>
      <c r="F287" s="19" t="s">
        <v>814</v>
      </c>
      <c r="G287" s="19">
        <v>4.5</v>
      </c>
      <c r="H287" s="19">
        <v>2.6</v>
      </c>
    </row>
    <row r="288" spans="1:11">
      <c r="A288" s="19" t="s">
        <v>809</v>
      </c>
      <c r="B288" s="19" t="s">
        <v>823</v>
      </c>
      <c r="C288" s="19" t="s">
        <v>851</v>
      </c>
      <c r="D288" s="19">
        <v>18</v>
      </c>
      <c r="F288" s="19" t="s">
        <v>814</v>
      </c>
      <c r="G288" s="19">
        <v>6.5</v>
      </c>
      <c r="H288" s="19">
        <v>3.2</v>
      </c>
    </row>
    <row r="289" spans="1:17">
      <c r="A289" s="19" t="s">
        <v>809</v>
      </c>
      <c r="B289" s="19" t="s">
        <v>823</v>
      </c>
      <c r="C289" s="19" t="s">
        <v>851</v>
      </c>
      <c r="D289" s="19">
        <v>18</v>
      </c>
      <c r="F289" s="19" t="s">
        <v>814</v>
      </c>
      <c r="G289" s="19">
        <v>11</v>
      </c>
      <c r="H289" s="19">
        <v>3.7</v>
      </c>
    </row>
    <row r="290" spans="1:17">
      <c r="A290" s="19" t="s">
        <v>809</v>
      </c>
      <c r="B290" s="19" t="s">
        <v>823</v>
      </c>
      <c r="C290" s="19" t="s">
        <v>851</v>
      </c>
      <c r="D290" s="19">
        <v>18</v>
      </c>
      <c r="F290" s="19" t="s">
        <v>814</v>
      </c>
      <c r="G290" s="19">
        <v>14</v>
      </c>
      <c r="H290" s="19">
        <v>4.2</v>
      </c>
    </row>
    <row r="291" spans="1:17">
      <c r="A291" s="19" t="s">
        <v>809</v>
      </c>
      <c r="B291" s="19" t="s">
        <v>823</v>
      </c>
      <c r="C291" s="19" t="s">
        <v>851</v>
      </c>
      <c r="D291" s="19">
        <v>18</v>
      </c>
      <c r="F291" s="19" t="s">
        <v>814</v>
      </c>
      <c r="G291" s="19">
        <v>1</v>
      </c>
      <c r="H291" s="19">
        <v>5.2</v>
      </c>
    </row>
    <row r="292" spans="1:17">
      <c r="A292" s="19" t="s">
        <v>852</v>
      </c>
      <c r="C292" s="19" t="s">
        <v>835</v>
      </c>
      <c r="D292" s="19">
        <v>30</v>
      </c>
      <c r="N292" s="19" t="s">
        <v>853</v>
      </c>
      <c r="O292" s="19">
        <v>120</v>
      </c>
      <c r="P292" s="19">
        <v>3.2107023411371198</v>
      </c>
      <c r="Q292" s="19">
        <v>41.990740740740698</v>
      </c>
    </row>
    <row r="293" spans="1:17">
      <c r="A293" s="19" t="s">
        <v>852</v>
      </c>
      <c r="C293" s="19" t="s">
        <v>835</v>
      </c>
      <c r="D293" s="19">
        <v>30</v>
      </c>
      <c r="N293" s="19" t="s">
        <v>853</v>
      </c>
      <c r="O293" s="19">
        <v>120</v>
      </c>
      <c r="P293" s="19">
        <v>3.3311036789297601</v>
      </c>
      <c r="Q293" s="19">
        <v>41.990740740740698</v>
      </c>
    </row>
    <row r="294" spans="1:17">
      <c r="A294" s="19" t="s">
        <v>852</v>
      </c>
      <c r="C294" s="19" t="s">
        <v>835</v>
      </c>
      <c r="D294" s="19">
        <v>30</v>
      </c>
      <c r="N294" s="19" t="s">
        <v>853</v>
      </c>
      <c r="O294" s="19">
        <v>120</v>
      </c>
      <c r="P294" s="19">
        <v>3.4314381270903</v>
      </c>
      <c r="Q294" s="19">
        <v>41.990740740740698</v>
      </c>
    </row>
    <row r="295" spans="1:17">
      <c r="A295" s="19" t="s">
        <v>852</v>
      </c>
      <c r="C295" s="19" t="s">
        <v>835</v>
      </c>
      <c r="D295" s="19">
        <v>30</v>
      </c>
      <c r="N295" s="19" t="s">
        <v>853</v>
      </c>
      <c r="O295" s="19">
        <v>120</v>
      </c>
      <c r="P295" s="19">
        <v>3.4515050167224</v>
      </c>
      <c r="Q295" s="19">
        <v>28.009259259259199</v>
      </c>
    </row>
    <row r="296" spans="1:17">
      <c r="A296" s="19" t="s">
        <v>852</v>
      </c>
      <c r="C296" s="19" t="s">
        <v>835</v>
      </c>
      <c r="D296" s="19">
        <v>30</v>
      </c>
      <c r="N296" s="19" t="s">
        <v>853</v>
      </c>
      <c r="O296" s="19">
        <v>120</v>
      </c>
      <c r="P296" s="19">
        <v>3.6220735785953102</v>
      </c>
      <c r="Q296" s="19">
        <v>27.962962962962902</v>
      </c>
    </row>
    <row r="297" spans="1:17">
      <c r="A297" s="19" t="s">
        <v>852</v>
      </c>
      <c r="C297" s="19" t="s">
        <v>835</v>
      </c>
      <c r="D297" s="19">
        <v>30</v>
      </c>
      <c r="N297" s="19" t="s">
        <v>853</v>
      </c>
      <c r="O297" s="19">
        <v>120</v>
      </c>
      <c r="P297" s="19">
        <v>3.6521739130434701</v>
      </c>
      <c r="Q297" s="19">
        <v>27.962962962962902</v>
      </c>
    </row>
    <row r="298" spans="1:17">
      <c r="A298" s="19" t="s">
        <v>852</v>
      </c>
      <c r="C298" s="19" t="s">
        <v>835</v>
      </c>
      <c r="D298" s="19">
        <v>30</v>
      </c>
      <c r="N298" s="19" t="s">
        <v>853</v>
      </c>
      <c r="O298" s="19">
        <v>120</v>
      </c>
      <c r="P298" s="19">
        <v>3.6822742474916299</v>
      </c>
      <c r="Q298" s="19">
        <v>20.925925925925899</v>
      </c>
    </row>
    <row r="299" spans="1:17">
      <c r="A299" s="19" t="s">
        <v>852</v>
      </c>
      <c r="C299" s="19" t="s">
        <v>835</v>
      </c>
      <c r="D299" s="19">
        <v>30</v>
      </c>
      <c r="N299" s="19" t="s">
        <v>853</v>
      </c>
      <c r="O299" s="19">
        <v>120</v>
      </c>
      <c r="P299" s="19">
        <v>3.7123745819397902</v>
      </c>
      <c r="Q299" s="19">
        <v>20.925925925925899</v>
      </c>
    </row>
    <row r="300" spans="1:17">
      <c r="A300" s="19" t="s">
        <v>852</v>
      </c>
      <c r="C300" s="19" t="s">
        <v>835</v>
      </c>
      <c r="D300" s="19">
        <v>30</v>
      </c>
      <c r="N300" s="19" t="s">
        <v>853</v>
      </c>
      <c r="O300" s="19">
        <v>120</v>
      </c>
      <c r="P300" s="19">
        <v>3.7826086956521698</v>
      </c>
      <c r="Q300" s="19">
        <v>20.925925925925899</v>
      </c>
    </row>
    <row r="301" spans="1:17">
      <c r="A301" s="19" t="s">
        <v>852</v>
      </c>
      <c r="C301" s="19" t="s">
        <v>835</v>
      </c>
      <c r="D301" s="19">
        <v>30</v>
      </c>
      <c r="N301" s="19" t="s">
        <v>853</v>
      </c>
      <c r="O301" s="19">
        <v>120</v>
      </c>
      <c r="P301" s="19">
        <v>4.0133779264214002</v>
      </c>
      <c r="Q301" s="19">
        <v>13.981481481481399</v>
      </c>
    </row>
    <row r="302" spans="1:17">
      <c r="A302" s="19" t="s">
        <v>852</v>
      </c>
      <c r="C302" s="19" t="s">
        <v>835</v>
      </c>
      <c r="D302" s="19">
        <v>30</v>
      </c>
      <c r="N302" s="19" t="s">
        <v>853</v>
      </c>
      <c r="O302" s="19">
        <v>120</v>
      </c>
      <c r="P302" s="19">
        <v>4.0635451505016702</v>
      </c>
      <c r="Q302" s="19">
        <v>13.981481481481399</v>
      </c>
    </row>
    <row r="303" spans="1:17">
      <c r="A303" s="19" t="s">
        <v>852</v>
      </c>
      <c r="C303" s="19" t="s">
        <v>835</v>
      </c>
      <c r="D303" s="19">
        <v>30</v>
      </c>
      <c r="N303" s="19" t="s">
        <v>853</v>
      </c>
      <c r="O303" s="19">
        <v>120</v>
      </c>
      <c r="P303" s="19">
        <v>4.1438127090301</v>
      </c>
      <c r="Q303" s="19">
        <v>13.9351851851851</v>
      </c>
    </row>
    <row r="304" spans="1:17">
      <c r="A304" s="19" t="s">
        <v>852</v>
      </c>
      <c r="C304" s="19" t="s">
        <v>835</v>
      </c>
      <c r="D304" s="19">
        <v>30</v>
      </c>
      <c r="N304" s="19" t="s">
        <v>853</v>
      </c>
      <c r="O304" s="19">
        <v>120</v>
      </c>
      <c r="P304" s="19">
        <v>4.4046822742474898</v>
      </c>
      <c r="Q304" s="19">
        <v>7.0370370370370301</v>
      </c>
    </row>
    <row r="305" spans="1:17">
      <c r="A305" s="19" t="s">
        <v>852</v>
      </c>
      <c r="C305" s="19" t="s">
        <v>835</v>
      </c>
      <c r="D305" s="19">
        <v>30</v>
      </c>
      <c r="N305" s="19" t="s">
        <v>853</v>
      </c>
      <c r="O305" s="19">
        <v>120</v>
      </c>
      <c r="P305" s="19">
        <v>4.4749163879598601</v>
      </c>
      <c r="Q305" s="19">
        <v>7.0370370370370301</v>
      </c>
    </row>
    <row r="306" spans="1:17">
      <c r="A306" s="19" t="s">
        <v>852</v>
      </c>
      <c r="C306" s="19" t="s">
        <v>835</v>
      </c>
      <c r="D306" s="19">
        <v>30</v>
      </c>
      <c r="N306" s="19" t="s">
        <v>853</v>
      </c>
      <c r="O306" s="19">
        <v>120</v>
      </c>
      <c r="P306" s="19">
        <v>4.8260869565217304</v>
      </c>
      <c r="Q306" s="19">
        <v>7.0833333333333304</v>
      </c>
    </row>
    <row r="307" spans="1:17">
      <c r="A307" s="19" t="s">
        <v>852</v>
      </c>
      <c r="C307" s="19" t="s">
        <v>835</v>
      </c>
      <c r="D307" s="19">
        <v>30</v>
      </c>
      <c r="N307" s="19" t="s">
        <v>853</v>
      </c>
      <c r="O307" s="19">
        <v>120</v>
      </c>
      <c r="P307" s="19">
        <v>4.8561872909699</v>
      </c>
      <c r="Q307" s="19">
        <v>0</v>
      </c>
    </row>
    <row r="308" spans="1:17">
      <c r="A308" s="19" t="s">
        <v>852</v>
      </c>
      <c r="C308" s="19" t="s">
        <v>835</v>
      </c>
      <c r="D308" s="19">
        <v>30</v>
      </c>
      <c r="N308" s="19" t="s">
        <v>853</v>
      </c>
      <c r="O308" s="19">
        <v>120</v>
      </c>
      <c r="P308" s="19">
        <v>4.8963210702341096</v>
      </c>
      <c r="Q308" s="19">
        <v>0</v>
      </c>
    </row>
    <row r="309" spans="1:17">
      <c r="A309" s="19" t="s">
        <v>852</v>
      </c>
      <c r="C309" s="19" t="s">
        <v>835</v>
      </c>
      <c r="D309" s="19">
        <v>30</v>
      </c>
      <c r="N309" s="19" t="s">
        <v>853</v>
      </c>
      <c r="O309" s="19">
        <v>120</v>
      </c>
      <c r="P309" s="19">
        <v>31</v>
      </c>
      <c r="Q309" s="19">
        <v>0</v>
      </c>
    </row>
    <row r="310" spans="1:17">
      <c r="A310" s="19" t="s">
        <v>852</v>
      </c>
      <c r="C310" s="19" t="s">
        <v>836</v>
      </c>
      <c r="D310" s="19">
        <v>30</v>
      </c>
      <c r="N310" s="19" t="s">
        <v>854</v>
      </c>
      <c r="O310" s="19">
        <v>120</v>
      </c>
      <c r="P310" s="19">
        <v>0</v>
      </c>
      <c r="Q310" s="19">
        <v>9.3964110929853106</v>
      </c>
    </row>
    <row r="311" spans="1:17">
      <c r="A311" s="19" t="s">
        <v>852</v>
      </c>
      <c r="C311" s="19" t="s">
        <v>836</v>
      </c>
      <c r="D311" s="19">
        <v>30</v>
      </c>
      <c r="N311" s="19" t="s">
        <v>854</v>
      </c>
      <c r="O311" s="19">
        <v>120</v>
      </c>
      <c r="P311" s="19">
        <v>0</v>
      </c>
      <c r="Q311" s="19">
        <v>9.3637846655791108</v>
      </c>
    </row>
    <row r="312" spans="1:17">
      <c r="A312" s="19" t="s">
        <v>852</v>
      </c>
      <c r="C312" s="19" t="s">
        <v>836</v>
      </c>
      <c r="D312" s="19">
        <v>30</v>
      </c>
      <c r="N312" s="19" t="s">
        <v>854</v>
      </c>
      <c r="O312" s="19">
        <v>120</v>
      </c>
      <c r="P312" s="19">
        <v>0</v>
      </c>
      <c r="Q312" s="19">
        <v>9.3637846655791108</v>
      </c>
    </row>
    <row r="313" spans="1:17">
      <c r="A313" s="19" t="s">
        <v>852</v>
      </c>
      <c r="C313" s="19" t="s">
        <v>836</v>
      </c>
      <c r="D313" s="19">
        <v>30</v>
      </c>
      <c r="N313" s="19" t="s">
        <v>854</v>
      </c>
      <c r="O313" s="19">
        <v>120</v>
      </c>
      <c r="P313" s="19">
        <v>2.9297658862876199</v>
      </c>
      <c r="Q313" s="19">
        <v>31</v>
      </c>
    </row>
    <row r="314" spans="1:17">
      <c r="A314" s="19" t="s">
        <v>852</v>
      </c>
      <c r="C314" s="19" t="s">
        <v>836</v>
      </c>
      <c r="D314" s="19">
        <v>30</v>
      </c>
      <c r="N314" s="19" t="s">
        <v>854</v>
      </c>
      <c r="O314" s="19">
        <v>120</v>
      </c>
      <c r="P314" s="19">
        <v>7</v>
      </c>
      <c r="Q314" s="19">
        <v>7.7487765089722602</v>
      </c>
    </row>
    <row r="315" spans="1:17">
      <c r="A315" s="19" t="s">
        <v>852</v>
      </c>
      <c r="C315" s="19" t="s">
        <v>836</v>
      </c>
      <c r="D315" s="19">
        <v>30</v>
      </c>
      <c r="N315" s="19" t="s">
        <v>854</v>
      </c>
      <c r="O315" s="19">
        <v>120</v>
      </c>
      <c r="P315" s="19">
        <v>7</v>
      </c>
      <c r="Q315" s="19">
        <v>7.4877650897226697</v>
      </c>
    </row>
    <row r="316" spans="1:17">
      <c r="A316" s="19" t="s">
        <v>852</v>
      </c>
      <c r="C316" s="19" t="s">
        <v>836</v>
      </c>
      <c r="D316" s="19">
        <v>30</v>
      </c>
      <c r="N316" s="19" t="s">
        <v>854</v>
      </c>
      <c r="O316" s="19">
        <v>120</v>
      </c>
      <c r="P316" s="19">
        <v>7</v>
      </c>
      <c r="Q316" s="19">
        <v>7.25938009787928</v>
      </c>
    </row>
    <row r="317" spans="1:17">
      <c r="A317" s="19" t="s">
        <v>852</v>
      </c>
      <c r="C317" s="19" t="s">
        <v>836</v>
      </c>
      <c r="D317" s="19">
        <v>30</v>
      </c>
      <c r="N317" s="19" t="s">
        <v>854</v>
      </c>
      <c r="O317" s="19">
        <v>120</v>
      </c>
      <c r="P317" s="19">
        <v>14</v>
      </c>
      <c r="Q317" s="19">
        <v>6.8841761827079901</v>
      </c>
    </row>
    <row r="318" spans="1:17">
      <c r="A318" s="19" t="s">
        <v>852</v>
      </c>
      <c r="C318" s="19" t="s">
        <v>836</v>
      </c>
      <c r="D318" s="19">
        <v>30</v>
      </c>
      <c r="N318" s="19" t="s">
        <v>854</v>
      </c>
      <c r="O318" s="19">
        <v>120</v>
      </c>
      <c r="P318" s="19">
        <v>14</v>
      </c>
      <c r="Q318" s="19">
        <v>6.6394779771614996</v>
      </c>
    </row>
    <row r="319" spans="1:17">
      <c r="A319" s="19" t="s">
        <v>852</v>
      </c>
      <c r="C319" s="19" t="s">
        <v>836</v>
      </c>
      <c r="D319" s="19">
        <v>30</v>
      </c>
      <c r="N319" s="19" t="s">
        <v>854</v>
      </c>
      <c r="O319" s="19">
        <v>120</v>
      </c>
      <c r="P319" s="19">
        <v>14</v>
      </c>
      <c r="Q319" s="19">
        <v>6.2316476345840099</v>
      </c>
    </row>
    <row r="320" spans="1:17">
      <c r="A320" s="19" t="s">
        <v>852</v>
      </c>
      <c r="C320" s="19" t="s">
        <v>836</v>
      </c>
      <c r="D320" s="19">
        <v>30</v>
      </c>
      <c r="N320" s="19" t="s">
        <v>854</v>
      </c>
      <c r="O320" s="19">
        <v>120</v>
      </c>
      <c r="P320" s="19">
        <v>21</v>
      </c>
      <c r="Q320" s="19">
        <v>6.1827079934747102</v>
      </c>
    </row>
    <row r="321" spans="1:17">
      <c r="A321" s="19" t="s">
        <v>852</v>
      </c>
      <c r="C321" s="19" t="s">
        <v>836</v>
      </c>
      <c r="D321" s="19">
        <v>30</v>
      </c>
      <c r="N321" s="19" t="s">
        <v>854</v>
      </c>
      <c r="O321" s="19">
        <v>120</v>
      </c>
      <c r="P321" s="19">
        <v>21</v>
      </c>
      <c r="Q321" s="19">
        <v>6.06851549755301</v>
      </c>
    </row>
    <row r="322" spans="1:17">
      <c r="A322" s="19" t="s">
        <v>852</v>
      </c>
      <c r="C322" s="19" t="s">
        <v>836</v>
      </c>
      <c r="D322" s="19">
        <v>30</v>
      </c>
      <c r="N322" s="19" t="s">
        <v>854</v>
      </c>
      <c r="O322" s="19">
        <v>120</v>
      </c>
      <c r="P322" s="19">
        <v>21</v>
      </c>
      <c r="Q322" s="19">
        <v>5.6933115823817202</v>
      </c>
    </row>
    <row r="323" spans="1:17">
      <c r="A323" s="19" t="s">
        <v>852</v>
      </c>
      <c r="C323" s="19" t="s">
        <v>836</v>
      </c>
      <c r="D323" s="19">
        <v>30</v>
      </c>
      <c r="N323" s="19" t="s">
        <v>854</v>
      </c>
      <c r="O323" s="19">
        <v>120</v>
      </c>
      <c r="P323" s="19">
        <v>28</v>
      </c>
      <c r="Q323" s="19">
        <v>4.8287112561174501</v>
      </c>
    </row>
    <row r="324" spans="1:17">
      <c r="A324" s="19" t="s">
        <v>852</v>
      </c>
      <c r="C324" s="19" t="s">
        <v>836</v>
      </c>
      <c r="D324" s="19">
        <v>30</v>
      </c>
      <c r="N324" s="19" t="s">
        <v>854</v>
      </c>
      <c r="O324" s="19">
        <v>120</v>
      </c>
      <c r="P324" s="19">
        <v>28</v>
      </c>
      <c r="Q324" s="19">
        <v>4.6818923327895501</v>
      </c>
    </row>
    <row r="325" spans="1:17">
      <c r="A325" s="19" t="s">
        <v>852</v>
      </c>
      <c r="C325" s="19" t="s">
        <v>836</v>
      </c>
      <c r="D325" s="19">
        <v>30</v>
      </c>
      <c r="N325" s="19" t="s">
        <v>854</v>
      </c>
      <c r="O325" s="19">
        <v>120</v>
      </c>
      <c r="P325" s="19">
        <v>28</v>
      </c>
      <c r="Q325" s="19">
        <v>3.9967373572593798</v>
      </c>
    </row>
    <row r="326" spans="1:17">
      <c r="A326" s="19" t="s">
        <v>852</v>
      </c>
      <c r="C326" s="19" t="s">
        <v>836</v>
      </c>
      <c r="D326" s="19">
        <v>30</v>
      </c>
      <c r="N326" s="19" t="s">
        <v>854</v>
      </c>
      <c r="O326" s="19">
        <v>120</v>
      </c>
      <c r="P326" s="19">
        <v>42</v>
      </c>
      <c r="Q326" s="19">
        <v>4.5513866231647597</v>
      </c>
    </row>
    <row r="327" spans="1:17">
      <c r="A327" s="19" t="s">
        <v>852</v>
      </c>
      <c r="C327" s="19" t="s">
        <v>836</v>
      </c>
      <c r="D327" s="19">
        <v>30</v>
      </c>
      <c r="N327" s="19" t="s">
        <v>854</v>
      </c>
      <c r="O327" s="19">
        <v>120</v>
      </c>
      <c r="P327" s="19">
        <v>42</v>
      </c>
      <c r="Q327" s="19">
        <v>4.0946166394779704</v>
      </c>
    </row>
    <row r="328" spans="1:17">
      <c r="A328" s="19" t="s">
        <v>852</v>
      </c>
      <c r="C328" s="19" t="s">
        <v>836</v>
      </c>
      <c r="D328" s="19">
        <v>30</v>
      </c>
      <c r="N328" s="19" t="s">
        <v>854</v>
      </c>
      <c r="O328" s="19">
        <v>120</v>
      </c>
      <c r="P328" s="19">
        <v>42</v>
      </c>
      <c r="Q328" s="19">
        <v>4.0946166394779704</v>
      </c>
    </row>
  </sheetData>
  <pageMargins left="0.75" right="0.75" top="1" bottom="1" header="0.5" footer="0.5"/>
  <headerFooter>
    <oddHeader>&amp;C&amp;"Aptos"&amp;10&amp;K0078D7 [Open]&amp;1#_x000D_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3554-FD09-4E26-B74E-A51ED36CD636}">
  <dimension ref="A1:J291"/>
  <sheetViews>
    <sheetView workbookViewId="0">
      <selection activeCell="F2" sqref="F2:G291"/>
    </sheetView>
  </sheetViews>
  <sheetFormatPr defaultRowHeight="14.5"/>
  <cols>
    <col min="1" max="1" width="10.1640625" style="19" bestFit="1" customWidth="1"/>
    <col min="2" max="2" width="5.4140625" style="19" bestFit="1" customWidth="1"/>
    <col min="3" max="3" width="4.4140625" style="19" bestFit="1" customWidth="1"/>
    <col min="4" max="4" width="8.08203125" style="19" bestFit="1" customWidth="1"/>
    <col min="5" max="5" width="5.33203125" style="19" bestFit="1" customWidth="1"/>
    <col min="6" max="6" width="10.83203125" style="19" bestFit="1" customWidth="1"/>
    <col min="7" max="7" width="19.58203125" style="19" bestFit="1" customWidth="1"/>
    <col min="8" max="8" width="10" style="19" bestFit="1" customWidth="1"/>
    <col min="9" max="9" width="15.08203125" style="19" bestFit="1" customWidth="1"/>
    <col min="10" max="10" width="15.4140625" style="19" bestFit="1" customWidth="1"/>
    <col min="11" max="16384" width="8.6640625" style="19"/>
  </cols>
  <sheetData>
    <row r="1" spans="1:10">
      <c r="A1" s="130" t="s">
        <v>793</v>
      </c>
      <c r="B1" s="130" t="s">
        <v>794</v>
      </c>
      <c r="C1" s="130" t="s">
        <v>795</v>
      </c>
      <c r="D1" s="130" t="s">
        <v>796</v>
      </c>
      <c r="E1" s="130" t="s">
        <v>797</v>
      </c>
      <c r="F1" s="130" t="s">
        <v>798</v>
      </c>
      <c r="G1" s="130" t="s">
        <v>799</v>
      </c>
      <c r="H1" s="130" t="s">
        <v>800</v>
      </c>
      <c r="I1" s="130" t="s">
        <v>801</v>
      </c>
      <c r="J1" s="130" t="s">
        <v>802</v>
      </c>
    </row>
    <row r="2" spans="1:10">
      <c r="A2" s="19" t="s">
        <v>810</v>
      </c>
      <c r="B2" s="19" t="s">
        <v>811</v>
      </c>
      <c r="C2" s="19">
        <v>18</v>
      </c>
      <c r="D2" s="19" t="s">
        <v>812</v>
      </c>
      <c r="E2" s="19" t="s">
        <v>813</v>
      </c>
      <c r="F2" s="127">
        <v>18</v>
      </c>
      <c r="G2" s="127">
        <v>1.61130899376669</v>
      </c>
    </row>
    <row r="3" spans="1:10">
      <c r="A3" s="19" t="s">
        <v>810</v>
      </c>
      <c r="B3" s="19" t="s">
        <v>811</v>
      </c>
      <c r="C3" s="19">
        <v>18</v>
      </c>
      <c r="D3" s="19" t="s">
        <v>812</v>
      </c>
      <c r="E3" s="19" t="s">
        <v>813</v>
      </c>
      <c r="F3" s="127">
        <v>12.55</v>
      </c>
      <c r="G3" s="127">
        <v>2.1366874443455002</v>
      </c>
    </row>
    <row r="4" spans="1:10">
      <c r="A4" s="19" t="s">
        <v>810</v>
      </c>
      <c r="B4" s="19" t="s">
        <v>811</v>
      </c>
      <c r="C4" s="19">
        <v>18</v>
      </c>
      <c r="D4" s="19" t="s">
        <v>812</v>
      </c>
      <c r="E4" s="19" t="s">
        <v>813</v>
      </c>
      <c r="F4" s="127">
        <v>8.3282674772036405</v>
      </c>
      <c r="G4" s="127">
        <v>2.6576135351736401</v>
      </c>
    </row>
    <row r="5" spans="1:10">
      <c r="A5" s="19" t="s">
        <v>810</v>
      </c>
      <c r="B5" s="19" t="s">
        <v>811</v>
      </c>
      <c r="C5" s="19">
        <v>18</v>
      </c>
      <c r="D5" s="19" t="s">
        <v>812</v>
      </c>
      <c r="E5" s="19" t="s">
        <v>813</v>
      </c>
      <c r="F5" s="127">
        <v>4</v>
      </c>
      <c r="G5" s="127">
        <v>3.1651825467497701</v>
      </c>
    </row>
    <row r="6" spans="1:10">
      <c r="A6" s="19" t="s">
        <v>810</v>
      </c>
      <c r="B6" s="19" t="s">
        <v>811</v>
      </c>
      <c r="C6" s="19">
        <v>18</v>
      </c>
      <c r="D6" s="19" t="s">
        <v>812</v>
      </c>
      <c r="E6" s="19" t="s">
        <v>813</v>
      </c>
      <c r="F6" s="127">
        <v>2.95</v>
      </c>
      <c r="G6" s="127">
        <v>3.68</v>
      </c>
    </row>
    <row r="7" spans="1:10">
      <c r="A7" s="19" t="s">
        <v>810</v>
      </c>
      <c r="B7" s="19" t="s">
        <v>811</v>
      </c>
      <c r="C7" s="19">
        <v>18</v>
      </c>
      <c r="D7" s="19" t="s">
        <v>812</v>
      </c>
      <c r="E7" s="19" t="s">
        <v>813</v>
      </c>
      <c r="F7" s="127">
        <v>2</v>
      </c>
      <c r="G7" s="127">
        <v>5.1999109528049798</v>
      </c>
    </row>
    <row r="8" spans="1:10">
      <c r="A8" s="19" t="s">
        <v>810</v>
      </c>
      <c r="B8" s="19" t="s">
        <v>811</v>
      </c>
      <c r="C8" s="19">
        <v>18</v>
      </c>
      <c r="D8" s="19" t="s">
        <v>812</v>
      </c>
      <c r="E8" s="19" t="s">
        <v>814</v>
      </c>
      <c r="F8" s="127">
        <v>3.2218844984802399</v>
      </c>
      <c r="G8" s="127">
        <v>2.6576135351736401</v>
      </c>
    </row>
    <row r="9" spans="1:10">
      <c r="A9" s="19" t="s">
        <v>810</v>
      </c>
      <c r="B9" s="19" t="s">
        <v>811</v>
      </c>
      <c r="C9" s="19">
        <v>18</v>
      </c>
      <c r="D9" s="19" t="s">
        <v>812</v>
      </c>
      <c r="E9" s="19" t="s">
        <v>814</v>
      </c>
      <c r="F9" s="127">
        <v>6.5045592705167099</v>
      </c>
      <c r="G9" s="127">
        <v>3.1696349065004399</v>
      </c>
    </row>
    <row r="10" spans="1:10">
      <c r="A10" s="19" t="s">
        <v>810</v>
      </c>
      <c r="B10" s="19" t="s">
        <v>811</v>
      </c>
      <c r="C10" s="19">
        <v>18</v>
      </c>
      <c r="D10" s="19" t="s">
        <v>812</v>
      </c>
      <c r="E10" s="19" t="s">
        <v>814</v>
      </c>
      <c r="F10" s="127">
        <v>9.5744680851063801</v>
      </c>
      <c r="G10" s="127">
        <v>3.68610863757791</v>
      </c>
    </row>
    <row r="11" spans="1:10">
      <c r="A11" s="19" t="s">
        <v>810</v>
      </c>
      <c r="B11" s="19" t="s">
        <v>811</v>
      </c>
      <c r="C11" s="19">
        <v>18</v>
      </c>
      <c r="D11" s="19" t="s">
        <v>812</v>
      </c>
      <c r="E11" s="19" t="s">
        <v>814</v>
      </c>
      <c r="F11" s="127">
        <v>15.2</v>
      </c>
      <c r="G11" s="127">
        <v>4.1892252894033799</v>
      </c>
    </row>
    <row r="12" spans="1:10">
      <c r="A12" s="19" t="s">
        <v>810</v>
      </c>
      <c r="B12" s="19" t="s">
        <v>811</v>
      </c>
      <c r="C12" s="19">
        <v>18</v>
      </c>
      <c r="D12" s="19" t="s">
        <v>812</v>
      </c>
      <c r="E12" s="19" t="s">
        <v>814</v>
      </c>
      <c r="F12" s="127">
        <v>20</v>
      </c>
      <c r="G12" s="127">
        <v>4.6967943009795103</v>
      </c>
    </row>
    <row r="13" spans="1:10">
      <c r="A13" s="19" t="s">
        <v>810</v>
      </c>
      <c r="B13" s="19" t="s">
        <v>811</v>
      </c>
      <c r="C13" s="19">
        <v>18</v>
      </c>
      <c r="D13" s="19" t="s">
        <v>812</v>
      </c>
      <c r="E13" s="19" t="s">
        <v>814</v>
      </c>
      <c r="F13" s="127">
        <v>0.51671732522796299</v>
      </c>
      <c r="G13" s="127">
        <v>5.6941228851291097</v>
      </c>
    </row>
    <row r="14" spans="1:10">
      <c r="A14" s="19" t="s">
        <v>810</v>
      </c>
      <c r="B14" s="19" t="s">
        <v>815</v>
      </c>
      <c r="C14" s="19">
        <v>19</v>
      </c>
      <c r="D14" s="19" t="s">
        <v>812</v>
      </c>
      <c r="E14" s="19" t="s">
        <v>813</v>
      </c>
      <c r="F14" s="127">
        <v>19</v>
      </c>
      <c r="G14" s="127">
        <v>1.6063829787234001</v>
      </c>
    </row>
    <row r="15" spans="1:10">
      <c r="A15" s="19" t="s">
        <v>810</v>
      </c>
      <c r="B15" s="19" t="s">
        <v>815</v>
      </c>
      <c r="C15" s="19">
        <v>19</v>
      </c>
      <c r="D15" s="19" t="s">
        <v>812</v>
      </c>
      <c r="E15" s="19" t="s">
        <v>813</v>
      </c>
      <c r="F15" s="127">
        <v>15.082956259426799</v>
      </c>
      <c r="G15" s="127">
        <v>2.13</v>
      </c>
    </row>
    <row r="16" spans="1:10">
      <c r="A16" s="19" t="s">
        <v>810</v>
      </c>
      <c r="B16" s="19" t="s">
        <v>815</v>
      </c>
      <c r="C16" s="19">
        <v>19</v>
      </c>
      <c r="D16" s="19" t="s">
        <v>812</v>
      </c>
      <c r="E16" s="19" t="s">
        <v>813</v>
      </c>
      <c r="F16" s="127">
        <v>9.6530920060331802</v>
      </c>
      <c r="G16" s="127">
        <v>2.6569148936170199</v>
      </c>
    </row>
    <row r="17" spans="1:7">
      <c r="A17" s="19" t="s">
        <v>810</v>
      </c>
      <c r="B17" s="19" t="s">
        <v>815</v>
      </c>
      <c r="C17" s="19">
        <v>19</v>
      </c>
      <c r="D17" s="19" t="s">
        <v>812</v>
      </c>
      <c r="E17" s="19" t="s">
        <v>813</v>
      </c>
      <c r="F17" s="127">
        <v>7.1493212669683199</v>
      </c>
      <c r="G17" s="127">
        <v>3.16</v>
      </c>
    </row>
    <row r="18" spans="1:7">
      <c r="A18" s="19" t="s">
        <v>810</v>
      </c>
      <c r="B18" s="19" t="s">
        <v>815</v>
      </c>
      <c r="C18" s="19">
        <v>19</v>
      </c>
      <c r="D18" s="19" t="s">
        <v>812</v>
      </c>
      <c r="E18" s="19" t="s">
        <v>813</v>
      </c>
      <c r="F18" s="127">
        <v>5.6108597285067798</v>
      </c>
      <c r="G18" s="127">
        <v>3.68</v>
      </c>
    </row>
    <row r="19" spans="1:7">
      <c r="A19" s="19" t="s">
        <v>810</v>
      </c>
      <c r="B19" s="19" t="s">
        <v>815</v>
      </c>
      <c r="C19" s="19">
        <v>19</v>
      </c>
      <c r="D19" s="19" t="s">
        <v>812</v>
      </c>
      <c r="E19" s="19" t="s">
        <v>813</v>
      </c>
      <c r="F19" s="127">
        <v>1.44796380090497</v>
      </c>
      <c r="G19" s="127">
        <v>4.1861702127659504</v>
      </c>
    </row>
    <row r="20" spans="1:7">
      <c r="A20" s="19" t="s">
        <v>810</v>
      </c>
      <c r="B20" s="19" t="s">
        <v>815</v>
      </c>
      <c r="C20" s="19">
        <v>19</v>
      </c>
      <c r="D20" s="19" t="s">
        <v>812</v>
      </c>
      <c r="E20" s="19" t="s">
        <v>814</v>
      </c>
      <c r="F20" s="127">
        <v>2.83559577677224</v>
      </c>
      <c r="G20" s="127">
        <v>3.67</v>
      </c>
    </row>
    <row r="21" spans="1:7">
      <c r="A21" s="19" t="s">
        <v>810</v>
      </c>
      <c r="B21" s="19" t="s">
        <v>815</v>
      </c>
      <c r="C21" s="19">
        <v>19</v>
      </c>
      <c r="D21" s="19" t="s">
        <v>812</v>
      </c>
      <c r="E21" s="19" t="s">
        <v>814</v>
      </c>
      <c r="F21" s="127">
        <v>4.3</v>
      </c>
      <c r="G21" s="127">
        <v>4.18</v>
      </c>
    </row>
    <row r="22" spans="1:7">
      <c r="A22" s="19" t="s">
        <v>810</v>
      </c>
      <c r="B22" s="19" t="s">
        <v>815</v>
      </c>
      <c r="C22" s="19">
        <v>19</v>
      </c>
      <c r="D22" s="19" t="s">
        <v>812</v>
      </c>
      <c r="E22" s="19" t="s">
        <v>814</v>
      </c>
      <c r="F22" s="127">
        <v>4.2533936651583701</v>
      </c>
      <c r="G22" s="127">
        <v>4.6959219858156001</v>
      </c>
    </row>
    <row r="23" spans="1:7">
      <c r="A23" s="19" t="s">
        <v>810</v>
      </c>
      <c r="B23" s="19" t="s">
        <v>815</v>
      </c>
      <c r="C23" s="19">
        <v>19</v>
      </c>
      <c r="D23" s="19" t="s">
        <v>812</v>
      </c>
      <c r="E23" s="19" t="s">
        <v>814</v>
      </c>
      <c r="F23" s="127">
        <v>5.62</v>
      </c>
      <c r="G23" s="127">
        <v>5.19237588652482</v>
      </c>
    </row>
    <row r="24" spans="1:7">
      <c r="A24" s="19" t="s">
        <v>810</v>
      </c>
      <c r="B24" s="19" t="s">
        <v>815</v>
      </c>
      <c r="C24" s="19">
        <v>19</v>
      </c>
      <c r="D24" s="19" t="s">
        <v>812</v>
      </c>
      <c r="E24" s="19" t="s">
        <v>814</v>
      </c>
      <c r="F24" s="127">
        <v>5.8220211161387603</v>
      </c>
      <c r="G24" s="127">
        <v>5.69</v>
      </c>
    </row>
    <row r="25" spans="1:7">
      <c r="A25" s="19" t="s">
        <v>810</v>
      </c>
      <c r="B25" s="19" t="s">
        <v>815</v>
      </c>
      <c r="C25" s="19">
        <v>19</v>
      </c>
      <c r="D25" s="19" t="s">
        <v>812</v>
      </c>
      <c r="E25" s="19" t="s">
        <v>814</v>
      </c>
      <c r="F25" s="127">
        <v>10.1357466063348</v>
      </c>
      <c r="G25" s="127">
        <v>6.18</v>
      </c>
    </row>
    <row r="26" spans="1:7">
      <c r="A26" s="19" t="s">
        <v>816</v>
      </c>
      <c r="B26" s="19" t="s">
        <v>817</v>
      </c>
      <c r="C26" s="19">
        <v>19</v>
      </c>
      <c r="D26" s="19" t="s">
        <v>812</v>
      </c>
      <c r="E26" s="19" t="s">
        <v>813</v>
      </c>
      <c r="F26" s="127">
        <v>19</v>
      </c>
      <c r="G26" s="127">
        <v>1E-4</v>
      </c>
    </row>
    <row r="27" spans="1:7">
      <c r="A27" s="19" t="s">
        <v>816</v>
      </c>
      <c r="B27" s="19" t="s">
        <v>817</v>
      </c>
      <c r="C27" s="19">
        <v>19</v>
      </c>
      <c r="D27" s="19" t="s">
        <v>812</v>
      </c>
      <c r="E27" s="19" t="s">
        <v>813</v>
      </c>
      <c r="F27" s="127">
        <v>17.850000000000001</v>
      </c>
      <c r="G27" s="127">
        <v>0.54298642533936603</v>
      </c>
    </row>
    <row r="28" spans="1:7">
      <c r="A28" s="19" t="s">
        <v>816</v>
      </c>
      <c r="B28" s="19" t="s">
        <v>817</v>
      </c>
      <c r="C28" s="19">
        <v>19</v>
      </c>
      <c r="D28" s="19" t="s">
        <v>812</v>
      </c>
      <c r="E28" s="19" t="s">
        <v>813</v>
      </c>
      <c r="F28" s="127">
        <v>11.8</v>
      </c>
      <c r="G28" s="127">
        <v>1.07692307692307</v>
      </c>
    </row>
    <row r="29" spans="1:7">
      <c r="A29" s="19" t="s">
        <v>816</v>
      </c>
      <c r="B29" s="19" t="s">
        <v>817</v>
      </c>
      <c r="C29" s="19">
        <v>19</v>
      </c>
      <c r="D29" s="19" t="s">
        <v>812</v>
      </c>
      <c r="E29" s="19" t="s">
        <v>813</v>
      </c>
      <c r="F29" s="127">
        <v>2.9249999999999998</v>
      </c>
      <c r="G29" s="127">
        <v>1.605</v>
      </c>
    </row>
    <row r="30" spans="1:7">
      <c r="A30" s="19" t="s">
        <v>816</v>
      </c>
      <c r="B30" s="19" t="s">
        <v>817</v>
      </c>
      <c r="C30" s="19">
        <v>19</v>
      </c>
      <c r="D30" s="19" t="s">
        <v>812</v>
      </c>
      <c r="E30" s="19" t="s">
        <v>813</v>
      </c>
      <c r="F30" s="127">
        <v>1.425</v>
      </c>
      <c r="G30" s="127">
        <v>3.68778280542986</v>
      </c>
    </row>
    <row r="31" spans="1:7">
      <c r="A31" s="19" t="s">
        <v>816</v>
      </c>
      <c r="B31" s="19" t="s">
        <v>817</v>
      </c>
      <c r="C31" s="19">
        <v>19</v>
      </c>
      <c r="D31" s="19" t="s">
        <v>812</v>
      </c>
      <c r="E31" s="19" t="s">
        <v>814</v>
      </c>
      <c r="F31" s="127">
        <v>0.95</v>
      </c>
      <c r="G31" s="127">
        <v>1.61</v>
      </c>
    </row>
    <row r="32" spans="1:7">
      <c r="A32" s="19" t="s">
        <v>816</v>
      </c>
      <c r="B32" s="19" t="s">
        <v>817</v>
      </c>
      <c r="C32" s="19">
        <v>19</v>
      </c>
      <c r="D32" s="19" t="s">
        <v>812</v>
      </c>
      <c r="E32" s="19" t="s">
        <v>814</v>
      </c>
      <c r="F32" s="127">
        <v>1.4197530864197501</v>
      </c>
      <c r="G32" s="127">
        <v>2.1349999999999998</v>
      </c>
    </row>
    <row r="33" spans="1:7">
      <c r="A33" s="19" t="s">
        <v>816</v>
      </c>
      <c r="B33" s="19" t="s">
        <v>817</v>
      </c>
      <c r="C33" s="19">
        <v>19</v>
      </c>
      <c r="D33" s="19" t="s">
        <v>812</v>
      </c>
      <c r="E33" s="19" t="s">
        <v>814</v>
      </c>
      <c r="F33" s="127">
        <v>5.85</v>
      </c>
      <c r="G33" s="127">
        <v>2.66</v>
      </c>
    </row>
    <row r="34" spans="1:7">
      <c r="A34" s="19" t="s">
        <v>816</v>
      </c>
      <c r="B34" s="19" t="s">
        <v>817</v>
      </c>
      <c r="C34" s="19">
        <v>19</v>
      </c>
      <c r="D34" s="19" t="s">
        <v>812</v>
      </c>
      <c r="E34" s="19" t="s">
        <v>814</v>
      </c>
      <c r="F34" s="127">
        <v>18.899999999999999</v>
      </c>
      <c r="G34" s="127">
        <v>3.1764705882352899</v>
      </c>
    </row>
    <row r="35" spans="1:7">
      <c r="A35" s="19" t="s">
        <v>816</v>
      </c>
      <c r="B35" s="19" t="s">
        <v>817</v>
      </c>
      <c r="C35" s="19">
        <v>19</v>
      </c>
      <c r="D35" s="19" t="s">
        <v>812</v>
      </c>
      <c r="E35" s="19" t="s">
        <v>814</v>
      </c>
      <c r="F35" s="127">
        <v>0.5</v>
      </c>
      <c r="G35" s="127">
        <v>4.1950000000000003</v>
      </c>
    </row>
    <row r="36" spans="1:7">
      <c r="A36" s="19" t="s">
        <v>818</v>
      </c>
      <c r="B36" s="19" t="s">
        <v>819</v>
      </c>
      <c r="C36" s="19">
        <v>20</v>
      </c>
      <c r="D36" s="19" t="s">
        <v>812</v>
      </c>
      <c r="E36" s="19" t="s">
        <v>813</v>
      </c>
      <c r="F36" s="127">
        <v>20</v>
      </c>
      <c r="G36" s="127">
        <v>0.53717472118959098</v>
      </c>
    </row>
    <row r="37" spans="1:7">
      <c r="A37" s="19" t="s">
        <v>818</v>
      </c>
      <c r="B37" s="19" t="s">
        <v>819</v>
      </c>
      <c r="C37" s="19">
        <v>20</v>
      </c>
      <c r="D37" s="19" t="s">
        <v>812</v>
      </c>
      <c r="E37" s="19" t="s">
        <v>813</v>
      </c>
      <c r="F37" s="127">
        <v>19.100000000000001</v>
      </c>
      <c r="G37" s="127">
        <v>1.07156133828996</v>
      </c>
    </row>
    <row r="38" spans="1:7">
      <c r="A38" s="19" t="s">
        <v>818</v>
      </c>
      <c r="B38" s="19" t="s">
        <v>819</v>
      </c>
      <c r="C38" s="19">
        <v>20</v>
      </c>
      <c r="D38" s="19" t="s">
        <v>812</v>
      </c>
      <c r="E38" s="19" t="s">
        <v>813</v>
      </c>
      <c r="F38" s="127">
        <v>2.51582278481012</v>
      </c>
      <c r="G38" s="127">
        <v>1.6013011152416301</v>
      </c>
    </row>
    <row r="39" spans="1:7">
      <c r="A39" s="19" t="s">
        <v>818</v>
      </c>
      <c r="B39" s="19" t="s">
        <v>819</v>
      </c>
      <c r="C39" s="19">
        <v>20</v>
      </c>
      <c r="D39" s="19" t="s">
        <v>812</v>
      </c>
      <c r="E39" s="19" t="s">
        <v>813</v>
      </c>
      <c r="F39" s="127">
        <v>4.6993670886075902</v>
      </c>
      <c r="G39" s="127">
        <v>2.6514869888475801</v>
      </c>
    </row>
    <row r="40" spans="1:7">
      <c r="A40" s="19" t="s">
        <v>818</v>
      </c>
      <c r="B40" s="19" t="s">
        <v>819</v>
      </c>
      <c r="C40" s="19">
        <v>20</v>
      </c>
      <c r="D40" s="19" t="s">
        <v>812</v>
      </c>
      <c r="E40" s="19" t="s">
        <v>813</v>
      </c>
      <c r="F40" s="127">
        <v>6.2183544303797396</v>
      </c>
      <c r="G40" s="127">
        <v>3.7</v>
      </c>
    </row>
    <row r="41" spans="1:7">
      <c r="A41" s="19" t="s">
        <v>818</v>
      </c>
      <c r="B41" s="19" t="s">
        <v>819</v>
      </c>
      <c r="C41" s="19">
        <v>20</v>
      </c>
      <c r="D41" s="19" t="s">
        <v>812</v>
      </c>
      <c r="E41" s="19" t="s">
        <v>814</v>
      </c>
      <c r="F41" s="127">
        <v>1</v>
      </c>
      <c r="G41" s="127">
        <v>4.7</v>
      </c>
    </row>
    <row r="42" spans="1:7">
      <c r="A42" s="19" t="s">
        <v>818</v>
      </c>
      <c r="B42" s="19" t="s">
        <v>819</v>
      </c>
      <c r="C42" s="19">
        <v>20</v>
      </c>
      <c r="D42" s="19" t="s">
        <v>812</v>
      </c>
      <c r="E42" s="19" t="s">
        <v>814</v>
      </c>
      <c r="F42" s="127">
        <v>1.32911392405063</v>
      </c>
      <c r="G42" s="127">
        <v>5.2</v>
      </c>
    </row>
    <row r="43" spans="1:7">
      <c r="A43" s="19" t="s">
        <v>818</v>
      </c>
      <c r="B43" s="19" t="s">
        <v>819</v>
      </c>
      <c r="C43" s="19">
        <v>20</v>
      </c>
      <c r="D43" s="19" t="s">
        <v>812</v>
      </c>
      <c r="E43" s="19" t="s">
        <v>814</v>
      </c>
      <c r="F43" s="127">
        <v>3.70253164556962</v>
      </c>
      <c r="G43" s="127">
        <v>2.14</v>
      </c>
    </row>
    <row r="44" spans="1:7">
      <c r="A44" s="19" t="s">
        <v>818</v>
      </c>
      <c r="B44" s="19" t="s">
        <v>819</v>
      </c>
      <c r="C44" s="19">
        <v>20</v>
      </c>
      <c r="D44" s="19" t="s">
        <v>812</v>
      </c>
      <c r="E44" s="19" t="s">
        <v>814</v>
      </c>
      <c r="F44" s="127">
        <v>6.17088607594936</v>
      </c>
      <c r="G44" s="127">
        <v>3.1765799256505498</v>
      </c>
    </row>
    <row r="45" spans="1:7">
      <c r="A45" s="19" t="s">
        <v>818</v>
      </c>
      <c r="B45" s="19" t="s">
        <v>819</v>
      </c>
      <c r="C45" s="19">
        <v>20</v>
      </c>
      <c r="D45" s="19" t="s">
        <v>812</v>
      </c>
      <c r="E45" s="19" t="s">
        <v>814</v>
      </c>
      <c r="F45" s="127">
        <v>8.9715189873417707</v>
      </c>
      <c r="G45" s="127">
        <v>4.1942379182156104</v>
      </c>
    </row>
    <row r="46" spans="1:7">
      <c r="A46" s="19" t="s">
        <v>820</v>
      </c>
      <c r="B46" s="19" t="s">
        <v>821</v>
      </c>
      <c r="C46" s="19">
        <v>20</v>
      </c>
      <c r="D46" s="19" t="s">
        <v>812</v>
      </c>
      <c r="E46" s="19" t="s">
        <v>813</v>
      </c>
      <c r="F46" s="127">
        <v>20</v>
      </c>
      <c r="G46" s="127">
        <v>0.54</v>
      </c>
    </row>
    <row r="47" spans="1:7">
      <c r="A47" s="19" t="s">
        <v>820</v>
      </c>
      <c r="B47" s="19" t="s">
        <v>821</v>
      </c>
      <c r="C47" s="19">
        <v>20</v>
      </c>
      <c r="D47" s="19" t="s">
        <v>812</v>
      </c>
      <c r="E47" s="19" t="s">
        <v>813</v>
      </c>
      <c r="F47" s="127">
        <v>13.95</v>
      </c>
      <c r="G47" s="127">
        <v>1.08067375886524</v>
      </c>
    </row>
    <row r="48" spans="1:7">
      <c r="A48" s="19" t="s">
        <v>820</v>
      </c>
      <c r="B48" s="19" t="s">
        <v>821</v>
      </c>
      <c r="C48" s="19">
        <v>20</v>
      </c>
      <c r="D48" s="19" t="s">
        <v>812</v>
      </c>
      <c r="E48" s="19" t="s">
        <v>813</v>
      </c>
      <c r="F48" s="127">
        <v>7.55</v>
      </c>
      <c r="G48" s="127">
        <v>1.6</v>
      </c>
    </row>
    <row r="49" spans="1:7">
      <c r="A49" s="19" t="s">
        <v>820</v>
      </c>
      <c r="B49" s="19" t="s">
        <v>821</v>
      </c>
      <c r="C49" s="19">
        <v>20</v>
      </c>
      <c r="D49" s="19" t="s">
        <v>812</v>
      </c>
      <c r="E49" s="19" t="s">
        <v>813</v>
      </c>
      <c r="F49" s="127">
        <v>4.3</v>
      </c>
      <c r="G49" s="127">
        <v>2.1312056737588598</v>
      </c>
    </row>
    <row r="50" spans="1:7">
      <c r="A50" s="19" t="s">
        <v>820</v>
      </c>
      <c r="B50" s="19" t="s">
        <v>821</v>
      </c>
      <c r="C50" s="19">
        <v>20</v>
      </c>
      <c r="D50" s="19" t="s">
        <v>812</v>
      </c>
      <c r="E50" s="19" t="s">
        <v>813</v>
      </c>
      <c r="F50" s="127">
        <v>3.2980332829046901</v>
      </c>
      <c r="G50" s="127">
        <v>2.65868794326241</v>
      </c>
    </row>
    <row r="51" spans="1:7">
      <c r="A51" s="19" t="s">
        <v>820</v>
      </c>
      <c r="B51" s="19" t="s">
        <v>821</v>
      </c>
      <c r="C51" s="19">
        <v>20</v>
      </c>
      <c r="D51" s="19" t="s">
        <v>812</v>
      </c>
      <c r="E51" s="19" t="s">
        <v>813</v>
      </c>
      <c r="F51" s="127">
        <v>6.05</v>
      </c>
      <c r="G51" s="127">
        <v>3.6870567375886498</v>
      </c>
    </row>
    <row r="52" spans="1:7">
      <c r="A52" s="19" t="s">
        <v>820</v>
      </c>
      <c r="B52" s="19" t="s">
        <v>821</v>
      </c>
      <c r="C52" s="19">
        <v>20</v>
      </c>
      <c r="D52" s="19" t="s">
        <v>812</v>
      </c>
      <c r="E52" s="19" t="s">
        <v>814</v>
      </c>
      <c r="F52" s="127">
        <v>0.85</v>
      </c>
      <c r="G52" s="127">
        <v>3.6826241134751698</v>
      </c>
    </row>
    <row r="53" spans="1:7">
      <c r="A53" s="19" t="s">
        <v>820</v>
      </c>
      <c r="B53" s="19" t="s">
        <v>821</v>
      </c>
      <c r="C53" s="19">
        <v>20</v>
      </c>
      <c r="D53" s="19" t="s">
        <v>812</v>
      </c>
      <c r="E53" s="19" t="s">
        <v>814</v>
      </c>
      <c r="F53" s="127">
        <v>1.35</v>
      </c>
      <c r="G53" s="127">
        <v>4.19237588652482</v>
      </c>
    </row>
    <row r="54" spans="1:7">
      <c r="A54" s="19" t="s">
        <v>820</v>
      </c>
      <c r="B54" s="19" t="s">
        <v>821</v>
      </c>
      <c r="C54" s="19">
        <v>20</v>
      </c>
      <c r="D54" s="19" t="s">
        <v>812</v>
      </c>
      <c r="E54" s="19" t="s">
        <v>814</v>
      </c>
      <c r="F54" s="127">
        <v>1.85</v>
      </c>
      <c r="G54" s="127">
        <v>4.6932624113475097</v>
      </c>
    </row>
    <row r="55" spans="1:7">
      <c r="A55" s="19" t="s">
        <v>820</v>
      </c>
      <c r="B55" s="19" t="s">
        <v>821</v>
      </c>
      <c r="C55" s="19">
        <v>20</v>
      </c>
      <c r="D55" s="19" t="s">
        <v>812</v>
      </c>
      <c r="E55" s="19" t="s">
        <v>814</v>
      </c>
      <c r="F55" s="127">
        <v>2.85</v>
      </c>
      <c r="G55" s="127">
        <v>5.1985815602836798</v>
      </c>
    </row>
    <row r="56" spans="1:7">
      <c r="A56" s="19" t="s">
        <v>820</v>
      </c>
      <c r="B56" s="19" t="s">
        <v>821</v>
      </c>
      <c r="C56" s="19">
        <v>20</v>
      </c>
      <c r="D56" s="19" t="s">
        <v>812</v>
      </c>
      <c r="E56" s="19" t="s">
        <v>814</v>
      </c>
      <c r="F56" s="127">
        <v>3.7</v>
      </c>
      <c r="G56" s="127">
        <v>3.1749999999999998</v>
      </c>
    </row>
    <row r="57" spans="1:7">
      <c r="A57" s="19" t="s">
        <v>820</v>
      </c>
      <c r="B57" s="19" t="s">
        <v>821</v>
      </c>
      <c r="C57" s="19">
        <v>20</v>
      </c>
      <c r="D57" s="19" t="s">
        <v>812</v>
      </c>
      <c r="E57" s="19" t="s">
        <v>814</v>
      </c>
      <c r="F57" s="127">
        <v>8.65</v>
      </c>
      <c r="G57" s="127">
        <v>4.19237588652482</v>
      </c>
    </row>
    <row r="58" spans="1:7">
      <c r="A58" s="19" t="s">
        <v>822</v>
      </c>
      <c r="B58" s="19" t="s">
        <v>823</v>
      </c>
      <c r="C58" s="19">
        <v>21</v>
      </c>
      <c r="D58" s="19" t="s">
        <v>812</v>
      </c>
      <c r="E58" s="19" t="s">
        <v>813</v>
      </c>
      <c r="F58" s="127">
        <v>21</v>
      </c>
      <c r="G58" s="127">
        <v>0.54155124653739595</v>
      </c>
    </row>
    <row r="59" spans="1:7">
      <c r="A59" s="19" t="s">
        <v>822</v>
      </c>
      <c r="B59" s="19" t="s">
        <v>823</v>
      </c>
      <c r="C59" s="19">
        <v>21</v>
      </c>
      <c r="D59" s="19" t="s">
        <v>812</v>
      </c>
      <c r="E59" s="19" t="s">
        <v>813</v>
      </c>
      <c r="F59" s="127">
        <v>6.7</v>
      </c>
      <c r="G59" s="127">
        <v>1.0817174515235399</v>
      </c>
    </row>
    <row r="60" spans="1:7">
      <c r="A60" s="19" t="s">
        <v>822</v>
      </c>
      <c r="B60" s="19" t="s">
        <v>823</v>
      </c>
      <c r="C60" s="19">
        <v>21</v>
      </c>
      <c r="D60" s="19" t="s">
        <v>812</v>
      </c>
      <c r="E60" s="19" t="s">
        <v>813</v>
      </c>
      <c r="F60" s="127">
        <v>4.3642072213500702</v>
      </c>
      <c r="G60" s="127">
        <v>1.61265004616805</v>
      </c>
    </row>
    <row r="61" spans="1:7">
      <c r="A61" s="19" t="s">
        <v>822</v>
      </c>
      <c r="B61" s="19" t="s">
        <v>823</v>
      </c>
      <c r="C61" s="19">
        <v>21</v>
      </c>
      <c r="D61" s="19" t="s">
        <v>812</v>
      </c>
      <c r="E61" s="19" t="s">
        <v>813</v>
      </c>
      <c r="F61" s="127">
        <v>1.9780219780219701</v>
      </c>
      <c r="G61" s="127">
        <v>2.1343490304709101</v>
      </c>
    </row>
    <row r="62" spans="1:7">
      <c r="A62" s="19" t="s">
        <v>822</v>
      </c>
      <c r="B62" s="19" t="s">
        <v>823</v>
      </c>
      <c r="C62" s="19">
        <v>21</v>
      </c>
      <c r="D62" s="19" t="s">
        <v>812</v>
      </c>
      <c r="E62" s="19" t="s">
        <v>813</v>
      </c>
      <c r="F62" s="127">
        <v>0.97331240188382995</v>
      </c>
      <c r="G62" s="127">
        <v>2.6560480147737699</v>
      </c>
    </row>
    <row r="63" spans="1:7">
      <c r="A63" s="19" t="s">
        <v>822</v>
      </c>
      <c r="B63" s="19" t="s">
        <v>823</v>
      </c>
      <c r="C63" s="19">
        <v>21</v>
      </c>
      <c r="D63" s="19" t="s">
        <v>812</v>
      </c>
      <c r="E63" s="19" t="s">
        <v>814</v>
      </c>
      <c r="F63" s="127">
        <v>0.91051805337519598</v>
      </c>
      <c r="G63" s="127">
        <v>3.1777469990766298</v>
      </c>
    </row>
    <row r="64" spans="1:7">
      <c r="A64" s="19" t="s">
        <v>822</v>
      </c>
      <c r="B64" s="19" t="s">
        <v>823</v>
      </c>
      <c r="C64" s="19">
        <v>21</v>
      </c>
      <c r="D64" s="19" t="s">
        <v>812</v>
      </c>
      <c r="E64" s="19" t="s">
        <v>814</v>
      </c>
      <c r="F64" s="127">
        <v>1.8838304552590199</v>
      </c>
      <c r="G64" s="127">
        <v>3.6902123730378502</v>
      </c>
    </row>
    <row r="65" spans="1:7">
      <c r="A65" s="19" t="s">
        <v>822</v>
      </c>
      <c r="B65" s="19" t="s">
        <v>823</v>
      </c>
      <c r="C65" s="19">
        <v>21</v>
      </c>
      <c r="D65" s="19" t="s">
        <v>812</v>
      </c>
      <c r="E65" s="19" t="s">
        <v>814</v>
      </c>
      <c r="F65" s="127">
        <v>2.8257456828885399</v>
      </c>
      <c r="G65" s="127">
        <v>4.19806094182825</v>
      </c>
    </row>
    <row r="66" spans="1:7">
      <c r="A66" s="19" t="s">
        <v>822</v>
      </c>
      <c r="B66" s="19" t="s">
        <v>823</v>
      </c>
      <c r="C66" s="19">
        <v>21</v>
      </c>
      <c r="D66" s="19" t="s">
        <v>812</v>
      </c>
      <c r="E66" s="19" t="s">
        <v>814</v>
      </c>
      <c r="F66" s="127">
        <v>3.7990580847723701</v>
      </c>
      <c r="G66" s="127">
        <v>4.6966759002770004</v>
      </c>
    </row>
    <row r="67" spans="1:7">
      <c r="A67" s="19" t="s">
        <v>822</v>
      </c>
      <c r="B67" s="19" t="s">
        <v>823</v>
      </c>
      <c r="C67" s="19">
        <v>21</v>
      </c>
      <c r="D67" s="19" t="s">
        <v>812</v>
      </c>
      <c r="E67" s="19" t="s">
        <v>814</v>
      </c>
      <c r="F67" s="127">
        <v>9.8000000000000007</v>
      </c>
      <c r="G67" s="127">
        <v>5.19990766389658</v>
      </c>
    </row>
    <row r="68" spans="1:7">
      <c r="A68" s="19" t="s">
        <v>824</v>
      </c>
      <c r="B68" s="19" t="s">
        <v>825</v>
      </c>
      <c r="C68" s="19">
        <v>21</v>
      </c>
      <c r="D68" s="19" t="s">
        <v>812</v>
      </c>
      <c r="E68" s="19" t="s">
        <v>813</v>
      </c>
      <c r="F68" s="127">
        <v>21</v>
      </c>
      <c r="G68" s="127">
        <v>0.53500000000000003</v>
      </c>
    </row>
    <row r="69" spans="1:7">
      <c r="A69" s="19" t="s">
        <v>824</v>
      </c>
      <c r="B69" s="19" t="s">
        <v>825</v>
      </c>
      <c r="C69" s="19">
        <v>21</v>
      </c>
      <c r="D69" s="19" t="s">
        <v>812</v>
      </c>
      <c r="E69" s="19" t="s">
        <v>813</v>
      </c>
      <c r="F69" s="127">
        <v>19.05</v>
      </c>
      <c r="G69" s="127">
        <v>1.075</v>
      </c>
    </row>
    <row r="70" spans="1:7">
      <c r="A70" s="19" t="s">
        <v>824</v>
      </c>
      <c r="B70" s="19" t="s">
        <v>825</v>
      </c>
      <c r="C70" s="19">
        <v>21</v>
      </c>
      <c r="D70" s="19" t="s">
        <v>812</v>
      </c>
      <c r="E70" s="19" t="s">
        <v>813</v>
      </c>
      <c r="F70" s="127">
        <v>11.1</v>
      </c>
      <c r="G70" s="127">
        <v>1.6</v>
      </c>
    </row>
    <row r="71" spans="1:7">
      <c r="A71" s="19" t="s">
        <v>824</v>
      </c>
      <c r="B71" s="19" t="s">
        <v>825</v>
      </c>
      <c r="C71" s="19">
        <v>21</v>
      </c>
      <c r="D71" s="19" t="s">
        <v>812</v>
      </c>
      <c r="E71" s="19" t="s">
        <v>813</v>
      </c>
      <c r="F71" s="127">
        <v>2.4500000000000002</v>
      </c>
      <c r="G71" s="127">
        <v>2.6494042163153</v>
      </c>
    </row>
    <row r="72" spans="1:7">
      <c r="A72" s="19" t="s">
        <v>824</v>
      </c>
      <c r="B72" s="19" t="s">
        <v>825</v>
      </c>
      <c r="C72" s="19">
        <v>21</v>
      </c>
      <c r="D72" s="19" t="s">
        <v>812</v>
      </c>
      <c r="E72" s="19" t="s">
        <v>814</v>
      </c>
      <c r="F72" s="127">
        <v>0.95</v>
      </c>
      <c r="G72" s="127">
        <v>2.65</v>
      </c>
    </row>
    <row r="73" spans="1:7">
      <c r="A73" s="19" t="s">
        <v>824</v>
      </c>
      <c r="B73" s="19" t="s">
        <v>825</v>
      </c>
      <c r="C73" s="19">
        <v>21</v>
      </c>
      <c r="D73" s="19" t="s">
        <v>812</v>
      </c>
      <c r="E73" s="19" t="s">
        <v>814</v>
      </c>
      <c r="F73" s="127">
        <v>1.4</v>
      </c>
      <c r="G73" s="127">
        <v>3.1718606779999998</v>
      </c>
    </row>
    <row r="74" spans="1:7">
      <c r="A74" s="19" t="s">
        <v>824</v>
      </c>
      <c r="B74" s="19" t="s">
        <v>825</v>
      </c>
      <c r="C74" s="19">
        <v>21</v>
      </c>
      <c r="D74" s="19" t="s">
        <v>812</v>
      </c>
      <c r="E74" s="19" t="s">
        <v>814</v>
      </c>
      <c r="F74" s="127">
        <v>2.8125</v>
      </c>
      <c r="G74" s="127">
        <v>2.13</v>
      </c>
    </row>
    <row r="75" spans="1:7">
      <c r="A75" s="19" t="s">
        <v>824</v>
      </c>
      <c r="B75" s="19" t="s">
        <v>825</v>
      </c>
      <c r="C75" s="19">
        <v>21</v>
      </c>
      <c r="D75" s="19" t="s">
        <v>812</v>
      </c>
      <c r="E75" s="19" t="s">
        <v>814</v>
      </c>
      <c r="F75" s="127">
        <v>7.1</v>
      </c>
      <c r="G75" s="127">
        <v>3.17186067827681</v>
      </c>
    </row>
    <row r="76" spans="1:7">
      <c r="A76" s="19" t="s">
        <v>826</v>
      </c>
      <c r="B76" s="19" t="s">
        <v>810</v>
      </c>
      <c r="C76" s="19">
        <v>22</v>
      </c>
      <c r="D76" s="19" t="s">
        <v>812</v>
      </c>
      <c r="E76" s="19" t="s">
        <v>813</v>
      </c>
      <c r="F76" s="127">
        <v>22</v>
      </c>
      <c r="G76" s="127">
        <v>0.54464285714285698</v>
      </c>
    </row>
    <row r="77" spans="1:7">
      <c r="A77" s="19" t="s">
        <v>826</v>
      </c>
      <c r="B77" s="19" t="s">
        <v>810</v>
      </c>
      <c r="C77" s="19">
        <v>22</v>
      </c>
      <c r="D77" s="19" t="s">
        <v>812</v>
      </c>
      <c r="E77" s="19" t="s">
        <v>813</v>
      </c>
      <c r="F77" s="127">
        <v>9.75</v>
      </c>
      <c r="G77" s="127">
        <v>1.0803571428571399</v>
      </c>
    </row>
    <row r="78" spans="1:7">
      <c r="A78" s="19" t="s">
        <v>826</v>
      </c>
      <c r="B78" s="19" t="s">
        <v>810</v>
      </c>
      <c r="C78" s="19">
        <v>22</v>
      </c>
      <c r="D78" s="19" t="s">
        <v>812</v>
      </c>
      <c r="E78" s="19" t="s">
        <v>813</v>
      </c>
      <c r="F78" s="127">
        <v>4.3499999999999996</v>
      </c>
      <c r="G78" s="127">
        <v>1.6026785714285701</v>
      </c>
    </row>
    <row r="79" spans="1:7">
      <c r="A79" s="19" t="s">
        <v>826</v>
      </c>
      <c r="B79" s="19" t="s">
        <v>810</v>
      </c>
      <c r="C79" s="19">
        <v>22</v>
      </c>
      <c r="D79" s="19" t="s">
        <v>812</v>
      </c>
      <c r="E79" s="19" t="s">
        <v>813</v>
      </c>
      <c r="F79" s="127">
        <v>1.925</v>
      </c>
      <c r="G79" s="127">
        <v>2.1294642857142798</v>
      </c>
    </row>
    <row r="80" spans="1:7">
      <c r="A80" s="19" t="s">
        <v>826</v>
      </c>
      <c r="B80" s="19" t="s">
        <v>810</v>
      </c>
      <c r="C80" s="19">
        <v>22</v>
      </c>
      <c r="D80" s="19" t="s">
        <v>812</v>
      </c>
      <c r="E80" s="19" t="s">
        <v>813</v>
      </c>
      <c r="F80" s="127">
        <v>1.45</v>
      </c>
      <c r="G80" s="127">
        <v>2.6428571428571401</v>
      </c>
    </row>
    <row r="81" spans="1:7">
      <c r="A81" s="19" t="s">
        <v>826</v>
      </c>
      <c r="B81" s="19" t="s">
        <v>810</v>
      </c>
      <c r="C81" s="19">
        <v>22</v>
      </c>
      <c r="D81" s="19" t="s">
        <v>812</v>
      </c>
      <c r="E81" s="19" t="s">
        <v>814</v>
      </c>
      <c r="F81" s="127">
        <v>0.85496183206106802</v>
      </c>
      <c r="G81" s="127">
        <v>3.1749999999999998</v>
      </c>
    </row>
    <row r="82" spans="1:7">
      <c r="A82" s="19" t="s">
        <v>826</v>
      </c>
      <c r="B82" s="19" t="s">
        <v>810</v>
      </c>
      <c r="C82" s="19">
        <v>22</v>
      </c>
      <c r="D82" s="19" t="s">
        <v>812</v>
      </c>
      <c r="E82" s="19" t="s">
        <v>814</v>
      </c>
      <c r="F82" s="127">
        <v>1.89312977099236</v>
      </c>
      <c r="G82" s="127">
        <v>3.6850000000000001</v>
      </c>
    </row>
    <row r="83" spans="1:7">
      <c r="A83" s="19" t="s">
        <v>826</v>
      </c>
      <c r="B83" s="19" t="s">
        <v>810</v>
      </c>
      <c r="C83" s="19">
        <v>22</v>
      </c>
      <c r="D83" s="19" t="s">
        <v>812</v>
      </c>
      <c r="E83" s="19" t="s">
        <v>814</v>
      </c>
      <c r="F83" s="127">
        <v>3.2977099236641201</v>
      </c>
      <c r="G83" s="127">
        <v>4.1964285714285703</v>
      </c>
    </row>
    <row r="84" spans="1:7">
      <c r="A84" s="19" t="s">
        <v>826</v>
      </c>
      <c r="B84" s="19" t="s">
        <v>810</v>
      </c>
      <c r="C84" s="19">
        <v>22</v>
      </c>
      <c r="D84" s="19" t="s">
        <v>812</v>
      </c>
      <c r="E84" s="19" t="s">
        <v>814</v>
      </c>
      <c r="F84" s="127">
        <v>4.8244274809160297</v>
      </c>
      <c r="G84" s="127">
        <v>4.6950000000000003</v>
      </c>
    </row>
    <row r="85" spans="1:7">
      <c r="A85" s="19" t="s">
        <v>826</v>
      </c>
      <c r="B85" s="19" t="s">
        <v>810</v>
      </c>
      <c r="C85" s="19">
        <v>22</v>
      </c>
      <c r="D85" s="19" t="s">
        <v>812</v>
      </c>
      <c r="E85" s="19" t="s">
        <v>814</v>
      </c>
      <c r="F85" s="127">
        <v>15.5114503816793</v>
      </c>
      <c r="G85" s="127">
        <v>5.2050000000000001</v>
      </c>
    </row>
    <row r="86" spans="1:7">
      <c r="A86" s="19" t="s">
        <v>827</v>
      </c>
      <c r="B86" s="19" t="s">
        <v>828</v>
      </c>
      <c r="C86" s="19">
        <v>22</v>
      </c>
      <c r="D86" s="19" t="s">
        <v>812</v>
      </c>
      <c r="E86" s="19" t="s">
        <v>813</v>
      </c>
      <c r="F86" s="127">
        <v>22</v>
      </c>
      <c r="G86" s="127">
        <v>0.540946314831665</v>
      </c>
    </row>
    <row r="87" spans="1:7">
      <c r="A87" s="19" t="s">
        <v>827</v>
      </c>
      <c r="B87" s="19" t="s">
        <v>828</v>
      </c>
      <c r="C87" s="19">
        <v>22</v>
      </c>
      <c r="D87" s="19" t="s">
        <v>812</v>
      </c>
      <c r="E87" s="19" t="s">
        <v>813</v>
      </c>
      <c r="F87" s="127">
        <v>18.325581395348799</v>
      </c>
      <c r="G87" s="127">
        <v>1.07779799818016</v>
      </c>
    </row>
    <row r="88" spans="1:7">
      <c r="A88" s="19" t="s">
        <v>827</v>
      </c>
      <c r="B88" s="19" t="s">
        <v>828</v>
      </c>
      <c r="C88" s="19">
        <v>22</v>
      </c>
      <c r="D88" s="19" t="s">
        <v>812</v>
      </c>
      <c r="E88" s="19" t="s">
        <v>813</v>
      </c>
      <c r="F88" s="127">
        <v>11.968992248061999</v>
      </c>
      <c r="G88" s="127">
        <v>1.60555050045495</v>
      </c>
    </row>
    <row r="89" spans="1:7">
      <c r="A89" s="19" t="s">
        <v>827</v>
      </c>
      <c r="B89" s="19" t="s">
        <v>828</v>
      </c>
      <c r="C89" s="19">
        <v>22</v>
      </c>
      <c r="D89" s="19" t="s">
        <v>812</v>
      </c>
      <c r="E89" s="19" t="s">
        <v>813</v>
      </c>
      <c r="F89" s="127">
        <v>7.8449612403100701</v>
      </c>
      <c r="G89" s="127">
        <v>2.1242038216560499</v>
      </c>
    </row>
    <row r="90" spans="1:7">
      <c r="A90" s="19" t="s">
        <v>827</v>
      </c>
      <c r="B90" s="19" t="s">
        <v>828</v>
      </c>
      <c r="C90" s="19">
        <v>22</v>
      </c>
      <c r="D90" s="19" t="s">
        <v>812</v>
      </c>
      <c r="E90" s="19" t="s">
        <v>813</v>
      </c>
      <c r="F90" s="127">
        <v>4.8372093023255802</v>
      </c>
      <c r="G90" s="127">
        <v>4.1897179253867103</v>
      </c>
    </row>
    <row r="91" spans="1:7">
      <c r="A91" s="19" t="s">
        <v>827</v>
      </c>
      <c r="B91" s="19" t="s">
        <v>828</v>
      </c>
      <c r="C91" s="19">
        <v>22</v>
      </c>
      <c r="D91" s="19" t="s">
        <v>812</v>
      </c>
      <c r="E91" s="19" t="s">
        <v>814</v>
      </c>
      <c r="F91" s="127">
        <v>0.89922480620154999</v>
      </c>
      <c r="G91" s="127">
        <v>2.1151046405823402</v>
      </c>
    </row>
    <row r="92" spans="1:7">
      <c r="A92" s="19" t="s">
        <v>827</v>
      </c>
      <c r="B92" s="19" t="s">
        <v>828</v>
      </c>
      <c r="C92" s="19">
        <v>22</v>
      </c>
      <c r="D92" s="19" t="s">
        <v>812</v>
      </c>
      <c r="E92" s="19" t="s">
        <v>814</v>
      </c>
      <c r="F92" s="127">
        <v>1.86046511627906</v>
      </c>
      <c r="G92" s="127">
        <v>2.6428571428571401</v>
      </c>
    </row>
    <row r="93" spans="1:7">
      <c r="A93" s="19" t="s">
        <v>827</v>
      </c>
      <c r="B93" s="19" t="s">
        <v>828</v>
      </c>
      <c r="C93" s="19">
        <v>22</v>
      </c>
      <c r="D93" s="19" t="s">
        <v>812</v>
      </c>
      <c r="E93" s="19" t="s">
        <v>814</v>
      </c>
      <c r="F93" s="127">
        <v>4.3720930232558102</v>
      </c>
      <c r="G93" s="127">
        <v>3.1706096451319299</v>
      </c>
    </row>
    <row r="94" spans="1:7">
      <c r="A94" s="19" t="s">
        <v>827</v>
      </c>
      <c r="B94" s="19" t="s">
        <v>828</v>
      </c>
      <c r="C94" s="19">
        <v>22</v>
      </c>
      <c r="D94" s="19" t="s">
        <v>812</v>
      </c>
      <c r="E94" s="19" t="s">
        <v>814</v>
      </c>
      <c r="F94" s="127">
        <v>14.4806201550387</v>
      </c>
      <c r="G94" s="127">
        <v>3.6892629663330299</v>
      </c>
    </row>
    <row r="95" spans="1:7">
      <c r="A95" s="19" t="s">
        <v>827</v>
      </c>
      <c r="B95" s="19" t="s">
        <v>828</v>
      </c>
      <c r="C95" s="19">
        <v>22</v>
      </c>
      <c r="D95" s="19" t="s">
        <v>812</v>
      </c>
      <c r="E95" s="19" t="s">
        <v>814</v>
      </c>
      <c r="F95" s="127">
        <v>3.0077519379844899</v>
      </c>
      <c r="G95" s="127">
        <v>4.69472247497725</v>
      </c>
    </row>
    <row r="96" spans="1:7">
      <c r="A96" s="19" t="s">
        <v>829</v>
      </c>
      <c r="B96" s="19" t="s">
        <v>830</v>
      </c>
      <c r="C96" s="19">
        <v>23</v>
      </c>
      <c r="D96" s="19" t="s">
        <v>812</v>
      </c>
      <c r="E96" s="19" t="s">
        <v>813</v>
      </c>
      <c r="F96" s="127">
        <v>23</v>
      </c>
      <c r="G96" s="127">
        <v>0.53623188405797095</v>
      </c>
    </row>
    <row r="97" spans="1:7">
      <c r="A97" s="19" t="s">
        <v>829</v>
      </c>
      <c r="B97" s="19" t="s">
        <v>830</v>
      </c>
      <c r="C97" s="19">
        <v>23</v>
      </c>
      <c r="D97" s="19" t="s">
        <v>812</v>
      </c>
      <c r="E97" s="19" t="s">
        <v>813</v>
      </c>
      <c r="F97" s="127">
        <v>15.7</v>
      </c>
      <c r="G97" s="127">
        <v>1.07518115942029</v>
      </c>
    </row>
    <row r="98" spans="1:7">
      <c r="A98" s="19" t="s">
        <v>829</v>
      </c>
      <c r="B98" s="19" t="s">
        <v>830</v>
      </c>
      <c r="C98" s="19">
        <v>23</v>
      </c>
      <c r="D98" s="19" t="s">
        <v>812</v>
      </c>
      <c r="E98" s="19" t="s">
        <v>813</v>
      </c>
      <c r="F98" s="127">
        <v>10.1078582434514</v>
      </c>
      <c r="G98" s="127">
        <v>1.60507246376811</v>
      </c>
    </row>
    <row r="99" spans="1:7">
      <c r="A99" s="19" t="s">
        <v>829</v>
      </c>
      <c r="B99" s="19" t="s">
        <v>830</v>
      </c>
      <c r="C99" s="19">
        <v>23</v>
      </c>
      <c r="D99" s="19" t="s">
        <v>812</v>
      </c>
      <c r="E99" s="19" t="s">
        <v>813</v>
      </c>
      <c r="F99" s="127">
        <v>3.45</v>
      </c>
      <c r="G99" s="127">
        <v>2.13043478260869</v>
      </c>
    </row>
    <row r="100" spans="1:7">
      <c r="A100" s="19" t="s">
        <v>829</v>
      </c>
      <c r="B100" s="19" t="s">
        <v>830</v>
      </c>
      <c r="C100" s="19">
        <v>23</v>
      </c>
      <c r="D100" s="19" t="s">
        <v>812</v>
      </c>
      <c r="E100" s="19" t="s">
        <v>813</v>
      </c>
      <c r="F100" s="127">
        <v>1.95</v>
      </c>
      <c r="G100" s="127">
        <v>2.65</v>
      </c>
    </row>
    <row r="101" spans="1:7">
      <c r="A101" s="19" t="s">
        <v>829</v>
      </c>
      <c r="B101" s="19" t="s">
        <v>830</v>
      </c>
      <c r="C101" s="19">
        <v>23</v>
      </c>
      <c r="D101" s="19" t="s">
        <v>812</v>
      </c>
      <c r="E101" s="19" t="s">
        <v>814</v>
      </c>
      <c r="F101" s="127">
        <v>0.893682588597842</v>
      </c>
      <c r="G101" s="127">
        <v>3.1721014492753601</v>
      </c>
    </row>
    <row r="102" spans="1:7">
      <c r="A102" s="19" t="s">
        <v>829</v>
      </c>
      <c r="B102" s="19" t="s">
        <v>830</v>
      </c>
      <c r="C102" s="19">
        <v>23</v>
      </c>
      <c r="D102" s="19" t="s">
        <v>812</v>
      </c>
      <c r="E102" s="19" t="s">
        <v>814</v>
      </c>
      <c r="F102" s="127">
        <v>1.8798151001540799</v>
      </c>
      <c r="G102" s="127">
        <v>3.6884057971014399</v>
      </c>
    </row>
    <row r="103" spans="1:7">
      <c r="A103" s="19" t="s">
        <v>829</v>
      </c>
      <c r="B103" s="19" t="s">
        <v>830</v>
      </c>
      <c r="C103" s="19">
        <v>23</v>
      </c>
      <c r="D103" s="19" t="s">
        <v>812</v>
      </c>
      <c r="E103" s="19" t="s">
        <v>814</v>
      </c>
      <c r="F103" s="127">
        <v>2.86594761171032</v>
      </c>
      <c r="G103" s="127">
        <v>4.7</v>
      </c>
    </row>
    <row r="104" spans="1:7">
      <c r="A104" s="19" t="s">
        <v>829</v>
      </c>
      <c r="B104" s="19" t="s">
        <v>830</v>
      </c>
      <c r="C104" s="19">
        <v>23</v>
      </c>
      <c r="D104" s="19" t="s">
        <v>812</v>
      </c>
      <c r="E104" s="19" t="s">
        <v>814</v>
      </c>
      <c r="F104" s="127">
        <v>3.2973805855161702</v>
      </c>
      <c r="G104" s="127">
        <v>5.2050000000000001</v>
      </c>
    </row>
    <row r="105" spans="1:7">
      <c r="A105" s="19" t="s">
        <v>829</v>
      </c>
      <c r="B105" s="19" t="s">
        <v>830</v>
      </c>
      <c r="C105" s="19">
        <v>23</v>
      </c>
      <c r="D105" s="19" t="s">
        <v>812</v>
      </c>
      <c r="E105" s="19" t="s">
        <v>814</v>
      </c>
      <c r="F105" s="127">
        <v>4.77657935285053</v>
      </c>
      <c r="G105" s="127">
        <v>3.1749999999999998</v>
      </c>
    </row>
    <row r="106" spans="1:7">
      <c r="A106" s="19" t="s">
        <v>831</v>
      </c>
      <c r="B106" s="19" t="s">
        <v>832</v>
      </c>
      <c r="C106" s="19">
        <v>23</v>
      </c>
      <c r="D106" s="19" t="s">
        <v>812</v>
      </c>
      <c r="E106" s="19" t="s">
        <v>813</v>
      </c>
      <c r="F106" s="127">
        <v>23</v>
      </c>
      <c r="G106" s="127">
        <v>0.54</v>
      </c>
    </row>
    <row r="107" spans="1:7">
      <c r="A107" s="19" t="s">
        <v>831</v>
      </c>
      <c r="B107" s="19" t="s">
        <v>832</v>
      </c>
      <c r="C107" s="19">
        <v>23</v>
      </c>
      <c r="D107" s="19" t="s">
        <v>812</v>
      </c>
      <c r="E107" s="19" t="s">
        <v>813</v>
      </c>
      <c r="F107" s="127">
        <v>15.395</v>
      </c>
      <c r="G107" s="127">
        <v>1.08</v>
      </c>
    </row>
    <row r="108" spans="1:7">
      <c r="A108" s="19" t="s">
        <v>831</v>
      </c>
      <c r="B108" s="19" t="s">
        <v>832</v>
      </c>
      <c r="C108" s="19">
        <v>23</v>
      </c>
      <c r="D108" s="19" t="s">
        <v>812</v>
      </c>
      <c r="E108" s="19" t="s">
        <v>813</v>
      </c>
      <c r="F108" s="127">
        <v>5.4003139717425404</v>
      </c>
      <c r="G108" s="127">
        <v>1.61</v>
      </c>
    </row>
    <row r="109" spans="1:7">
      <c r="A109" s="19" t="s">
        <v>831</v>
      </c>
      <c r="B109" s="19" t="s">
        <v>832</v>
      </c>
      <c r="C109" s="19">
        <v>23</v>
      </c>
      <c r="D109" s="19" t="s">
        <v>812</v>
      </c>
      <c r="E109" s="19" t="s">
        <v>813</v>
      </c>
      <c r="F109" s="127">
        <v>2.9513343799057998</v>
      </c>
      <c r="G109" s="127">
        <v>2.6549999999999998</v>
      </c>
    </row>
    <row r="110" spans="1:7">
      <c r="A110" s="19" t="s">
        <v>831</v>
      </c>
      <c r="B110" s="19" t="s">
        <v>832</v>
      </c>
      <c r="C110" s="19">
        <v>23</v>
      </c>
      <c r="D110" s="19" t="s">
        <v>812</v>
      </c>
      <c r="E110" s="19" t="s">
        <v>813</v>
      </c>
      <c r="F110" s="127">
        <v>4.3328100470957596</v>
      </c>
      <c r="G110" s="127">
        <v>3.69</v>
      </c>
    </row>
    <row r="111" spans="1:7">
      <c r="A111" s="19" t="s">
        <v>831</v>
      </c>
      <c r="B111" s="19" t="s">
        <v>832</v>
      </c>
      <c r="C111" s="19">
        <v>23</v>
      </c>
      <c r="D111" s="19" t="s">
        <v>812</v>
      </c>
      <c r="E111" s="19" t="s">
        <v>813</v>
      </c>
      <c r="F111" s="127">
        <v>7.2841444270015696</v>
      </c>
      <c r="G111" s="127">
        <v>4.6950000000000003</v>
      </c>
    </row>
    <row r="112" spans="1:7">
      <c r="A112" s="19" t="s">
        <v>831</v>
      </c>
      <c r="B112" s="19" t="s">
        <v>832</v>
      </c>
      <c r="C112" s="19">
        <v>23</v>
      </c>
      <c r="D112" s="19" t="s">
        <v>812</v>
      </c>
      <c r="E112" s="19" t="s">
        <v>814</v>
      </c>
      <c r="F112" s="127">
        <v>0.97331240188382995</v>
      </c>
      <c r="G112" s="127">
        <v>4.6950321987120498</v>
      </c>
    </row>
    <row r="113" spans="1:7">
      <c r="A113" s="19" t="s">
        <v>831</v>
      </c>
      <c r="B113" s="19" t="s">
        <v>832</v>
      </c>
      <c r="C113" s="19">
        <v>23</v>
      </c>
      <c r="D113" s="19" t="s">
        <v>812</v>
      </c>
      <c r="E113" s="19" t="s">
        <v>814</v>
      </c>
      <c r="F113" s="127">
        <v>1.9780219780219701</v>
      </c>
      <c r="G113" s="127">
        <v>5.2</v>
      </c>
    </row>
    <row r="114" spans="1:7">
      <c r="A114" s="19" t="s">
        <v>831</v>
      </c>
      <c r="B114" s="19" t="s">
        <v>832</v>
      </c>
      <c r="C114" s="19">
        <v>23</v>
      </c>
      <c r="D114" s="19" t="s">
        <v>812</v>
      </c>
      <c r="E114" s="19" t="s">
        <v>814</v>
      </c>
      <c r="F114" s="127">
        <v>2.4803767660910498</v>
      </c>
      <c r="G114" s="127">
        <v>2.13</v>
      </c>
    </row>
    <row r="115" spans="1:7">
      <c r="A115" s="19" t="s">
        <v>831</v>
      </c>
      <c r="B115" s="19" t="s">
        <v>832</v>
      </c>
      <c r="C115" s="19">
        <v>23</v>
      </c>
      <c r="D115" s="19" t="s">
        <v>812</v>
      </c>
      <c r="E115" s="19" t="s">
        <v>814</v>
      </c>
      <c r="F115" s="127">
        <v>3.95604395604395</v>
      </c>
      <c r="G115" s="127">
        <v>3.1749999999999998</v>
      </c>
    </row>
    <row r="116" spans="1:7">
      <c r="A116" s="19" t="s">
        <v>831</v>
      </c>
      <c r="B116" s="19" t="s">
        <v>832</v>
      </c>
      <c r="C116" s="19">
        <v>23</v>
      </c>
      <c r="D116" s="19" t="s">
        <v>812</v>
      </c>
      <c r="E116" s="19" t="s">
        <v>814</v>
      </c>
      <c r="F116" s="127">
        <v>7.9120879120879097</v>
      </c>
      <c r="G116" s="127">
        <v>4.1982520699172001</v>
      </c>
    </row>
    <row r="117" spans="1:7">
      <c r="A117" s="19" t="s">
        <v>831</v>
      </c>
      <c r="B117" s="19" t="s">
        <v>832</v>
      </c>
      <c r="C117" s="19">
        <v>23</v>
      </c>
      <c r="D117" s="19" t="s">
        <v>812</v>
      </c>
      <c r="E117" s="19" t="s">
        <v>814</v>
      </c>
      <c r="F117" s="127">
        <v>9.6075353218210306</v>
      </c>
      <c r="G117" s="127">
        <v>5.2</v>
      </c>
    </row>
    <row r="118" spans="1:7">
      <c r="A118" s="19" t="s">
        <v>833</v>
      </c>
      <c r="B118" s="19" t="s">
        <v>816</v>
      </c>
      <c r="C118" s="19">
        <v>24</v>
      </c>
      <c r="D118" s="19" t="s">
        <v>812</v>
      </c>
      <c r="E118" s="19" t="s">
        <v>813</v>
      </c>
      <c r="F118" s="127">
        <v>24</v>
      </c>
      <c r="G118" s="127">
        <v>0.53693444136657398</v>
      </c>
    </row>
    <row r="119" spans="1:7">
      <c r="A119" s="19" t="s">
        <v>833</v>
      </c>
      <c r="B119" s="19" t="s">
        <v>816</v>
      </c>
      <c r="C119" s="19">
        <v>24</v>
      </c>
      <c r="D119" s="19" t="s">
        <v>812</v>
      </c>
      <c r="E119" s="19" t="s">
        <v>813</v>
      </c>
      <c r="F119" s="127">
        <v>12.2448979591836</v>
      </c>
      <c r="G119" s="127">
        <v>1.07710064635272</v>
      </c>
    </row>
    <row r="120" spans="1:7">
      <c r="A120" s="19" t="s">
        <v>833</v>
      </c>
      <c r="B120" s="19" t="s">
        <v>816</v>
      </c>
      <c r="C120" s="19">
        <v>24</v>
      </c>
      <c r="D120" s="19" t="s">
        <v>812</v>
      </c>
      <c r="E120" s="19" t="s">
        <v>813</v>
      </c>
      <c r="F120" s="127">
        <v>5.4317111459968599</v>
      </c>
      <c r="G120" s="127">
        <v>1.5987996306555801</v>
      </c>
    </row>
    <row r="121" spans="1:7">
      <c r="A121" s="19" t="s">
        <v>833</v>
      </c>
      <c r="B121" s="19" t="s">
        <v>816</v>
      </c>
      <c r="C121" s="19">
        <v>24</v>
      </c>
      <c r="D121" s="19" t="s">
        <v>812</v>
      </c>
      <c r="E121" s="19" t="s">
        <v>813</v>
      </c>
      <c r="F121" s="127">
        <v>2.9513343799057998</v>
      </c>
      <c r="G121" s="127">
        <v>2.1297322253000899</v>
      </c>
    </row>
    <row r="122" spans="1:7">
      <c r="A122" s="19" t="s">
        <v>833</v>
      </c>
      <c r="B122" s="19" t="s">
        <v>816</v>
      </c>
      <c r="C122" s="19">
        <v>24</v>
      </c>
      <c r="D122" s="19" t="s">
        <v>812</v>
      </c>
      <c r="E122" s="19" t="s">
        <v>813</v>
      </c>
      <c r="F122" s="127">
        <v>2.5117739403453601</v>
      </c>
      <c r="G122" s="127">
        <v>2.64681440443213</v>
      </c>
    </row>
    <row r="123" spans="1:7">
      <c r="A123" s="19" t="s">
        <v>833</v>
      </c>
      <c r="B123" s="19" t="s">
        <v>816</v>
      </c>
      <c r="C123" s="19">
        <v>24</v>
      </c>
      <c r="D123" s="19" t="s">
        <v>812</v>
      </c>
      <c r="E123" s="19" t="s">
        <v>814</v>
      </c>
      <c r="F123" s="127">
        <v>2.3861852433281001</v>
      </c>
      <c r="G123" s="127">
        <v>3.1731301939058101</v>
      </c>
    </row>
    <row r="124" spans="1:7">
      <c r="A124" s="19" t="s">
        <v>833</v>
      </c>
      <c r="B124" s="19" t="s">
        <v>816</v>
      </c>
      <c r="C124" s="19">
        <v>24</v>
      </c>
      <c r="D124" s="19" t="s">
        <v>812</v>
      </c>
      <c r="E124" s="19" t="s">
        <v>814</v>
      </c>
      <c r="F124" s="127">
        <v>2.9513343799057998</v>
      </c>
      <c r="G124" s="127">
        <v>3.69482917820867</v>
      </c>
    </row>
    <row r="125" spans="1:7">
      <c r="A125" s="19" t="s">
        <v>833</v>
      </c>
      <c r="B125" s="19" t="s">
        <v>816</v>
      </c>
      <c r="C125" s="19">
        <v>24</v>
      </c>
      <c r="D125" s="19" t="s">
        <v>812</v>
      </c>
      <c r="E125" s="19" t="s">
        <v>814</v>
      </c>
      <c r="F125" s="127">
        <v>5.2747252747252702</v>
      </c>
      <c r="G125" s="127">
        <v>4.19806094182825</v>
      </c>
    </row>
    <row r="126" spans="1:7">
      <c r="A126" s="19" t="s">
        <v>833</v>
      </c>
      <c r="B126" s="19" t="s">
        <v>816</v>
      </c>
      <c r="C126" s="19">
        <v>24</v>
      </c>
      <c r="D126" s="19" t="s">
        <v>812</v>
      </c>
      <c r="E126" s="19" t="s">
        <v>814</v>
      </c>
      <c r="F126" s="127">
        <v>7.3155416012558803</v>
      </c>
      <c r="G126" s="127">
        <v>4.6966759002770004</v>
      </c>
    </row>
    <row r="127" spans="1:7">
      <c r="A127" s="19" t="s">
        <v>833</v>
      </c>
      <c r="B127" s="19" t="s">
        <v>816</v>
      </c>
      <c r="C127" s="19">
        <v>24</v>
      </c>
      <c r="D127" s="19" t="s">
        <v>812</v>
      </c>
      <c r="E127" s="19" t="s">
        <v>814</v>
      </c>
      <c r="F127" s="127">
        <v>13.5007849293563</v>
      </c>
      <c r="G127" s="127">
        <v>5.1952908587257598</v>
      </c>
    </row>
    <row r="128" spans="1:7">
      <c r="A128" s="19" t="s">
        <v>834</v>
      </c>
      <c r="B128" s="19" t="s">
        <v>818</v>
      </c>
      <c r="C128" s="19">
        <v>24</v>
      </c>
      <c r="D128" s="19" t="s">
        <v>812</v>
      </c>
      <c r="E128" s="19" t="s">
        <v>813</v>
      </c>
      <c r="F128" s="127">
        <v>24</v>
      </c>
      <c r="G128" s="127">
        <v>0.54317789291882501</v>
      </c>
    </row>
    <row r="129" spans="1:7">
      <c r="A129" s="19" t="s">
        <v>834</v>
      </c>
      <c r="B129" s="19" t="s">
        <v>818</v>
      </c>
      <c r="C129" s="19">
        <v>24</v>
      </c>
      <c r="D129" s="19" t="s">
        <v>812</v>
      </c>
      <c r="E129" s="19" t="s">
        <v>813</v>
      </c>
      <c r="F129" s="127">
        <v>6.3235294117647003</v>
      </c>
      <c r="G129" s="127">
        <v>1.0785837651122601</v>
      </c>
    </row>
    <row r="130" spans="1:7">
      <c r="A130" s="19" t="s">
        <v>834</v>
      </c>
      <c r="B130" s="19" t="s">
        <v>818</v>
      </c>
      <c r="C130" s="19">
        <v>24</v>
      </c>
      <c r="D130" s="19" t="s">
        <v>812</v>
      </c>
      <c r="E130" s="19" t="s">
        <v>813</v>
      </c>
      <c r="F130" s="127">
        <v>3.8823529411764701</v>
      </c>
      <c r="G130" s="127">
        <v>1.6053540587219299</v>
      </c>
    </row>
    <row r="131" spans="1:7">
      <c r="A131" s="19" t="s">
        <v>834</v>
      </c>
      <c r="B131" s="19" t="s">
        <v>818</v>
      </c>
      <c r="C131" s="19">
        <v>24</v>
      </c>
      <c r="D131" s="19" t="s">
        <v>812</v>
      </c>
      <c r="E131" s="19" t="s">
        <v>813</v>
      </c>
      <c r="F131" s="127">
        <v>1.97058823529411</v>
      </c>
      <c r="G131" s="127">
        <v>2.1278065630397198</v>
      </c>
    </row>
    <row r="132" spans="1:7">
      <c r="A132" s="19" t="s">
        <v>834</v>
      </c>
      <c r="B132" s="19" t="s">
        <v>818</v>
      </c>
      <c r="C132" s="19">
        <v>24</v>
      </c>
      <c r="D132" s="19" t="s">
        <v>812</v>
      </c>
      <c r="E132" s="19" t="s">
        <v>813</v>
      </c>
      <c r="F132" s="127">
        <v>1.47058823529411</v>
      </c>
      <c r="G132" s="127">
        <v>4.6925734024179597</v>
      </c>
    </row>
    <row r="133" spans="1:7">
      <c r="A133" s="19" t="s">
        <v>834</v>
      </c>
      <c r="B133" s="19" t="s">
        <v>818</v>
      </c>
      <c r="C133" s="19">
        <v>24</v>
      </c>
      <c r="D133" s="19" t="s">
        <v>812</v>
      </c>
      <c r="E133" s="19" t="s">
        <v>814</v>
      </c>
      <c r="F133" s="127">
        <v>2.9411764705882302</v>
      </c>
      <c r="G133" s="127">
        <v>2.6502590673575099</v>
      </c>
    </row>
    <row r="134" spans="1:7">
      <c r="A134" s="19" t="s">
        <v>834</v>
      </c>
      <c r="B134" s="19" t="s">
        <v>818</v>
      </c>
      <c r="C134" s="19">
        <v>24</v>
      </c>
      <c r="D134" s="19" t="s">
        <v>812</v>
      </c>
      <c r="E134" s="19" t="s">
        <v>814</v>
      </c>
      <c r="F134" s="127">
        <v>3.8235294117646998</v>
      </c>
      <c r="G134" s="127">
        <v>3.1727115716753</v>
      </c>
    </row>
    <row r="135" spans="1:7">
      <c r="A135" s="19" t="s">
        <v>834</v>
      </c>
      <c r="B135" s="19" t="s">
        <v>818</v>
      </c>
      <c r="C135" s="19">
        <v>24</v>
      </c>
      <c r="D135" s="19" t="s">
        <v>812</v>
      </c>
      <c r="E135" s="19" t="s">
        <v>814</v>
      </c>
      <c r="F135" s="127">
        <v>5.8823529411764701</v>
      </c>
      <c r="G135" s="127">
        <v>3.6908462867012002</v>
      </c>
    </row>
    <row r="136" spans="1:7">
      <c r="A136" s="19" t="s">
        <v>834</v>
      </c>
      <c r="B136" s="19" t="s">
        <v>818</v>
      </c>
      <c r="C136" s="19">
        <v>24</v>
      </c>
      <c r="D136" s="19" t="s">
        <v>812</v>
      </c>
      <c r="E136" s="19" t="s">
        <v>814</v>
      </c>
      <c r="F136" s="127">
        <v>16.029411764705799</v>
      </c>
      <c r="G136" s="127">
        <v>4.1960276338514602</v>
      </c>
    </row>
    <row r="137" spans="1:7">
      <c r="A137" s="19" t="s">
        <v>834</v>
      </c>
      <c r="B137" s="19" t="s">
        <v>818</v>
      </c>
      <c r="C137" s="19">
        <v>24</v>
      </c>
      <c r="D137" s="19" t="s">
        <v>812</v>
      </c>
      <c r="E137" s="19" t="s">
        <v>814</v>
      </c>
      <c r="F137" s="127">
        <v>1</v>
      </c>
      <c r="G137" s="127">
        <v>5.2063903281519801</v>
      </c>
    </row>
    <row r="138" spans="1:7">
      <c r="A138" s="19" t="s">
        <v>835</v>
      </c>
      <c r="B138" s="19" t="s">
        <v>820</v>
      </c>
      <c r="C138" s="19">
        <v>25</v>
      </c>
      <c r="D138" s="19" t="s">
        <v>812</v>
      </c>
      <c r="E138" s="19" t="s">
        <v>813</v>
      </c>
      <c r="F138" s="127">
        <v>25</v>
      </c>
      <c r="G138" s="127">
        <v>29</v>
      </c>
    </row>
    <row r="139" spans="1:7">
      <c r="A139" s="19" t="s">
        <v>835</v>
      </c>
      <c r="B139" s="19" t="s">
        <v>820</v>
      </c>
      <c r="C139" s="19">
        <v>25</v>
      </c>
      <c r="D139" s="19" t="s">
        <v>812</v>
      </c>
      <c r="E139" s="19" t="s">
        <v>813</v>
      </c>
      <c r="F139" s="127">
        <v>3.6879496402877598</v>
      </c>
      <c r="G139" s="127">
        <v>11.029185867895499</v>
      </c>
    </row>
    <row r="140" spans="1:7">
      <c r="A140" s="19" t="s">
        <v>835</v>
      </c>
      <c r="B140" s="19" t="s">
        <v>820</v>
      </c>
      <c r="C140" s="19">
        <v>25</v>
      </c>
      <c r="D140" s="19" t="s">
        <v>812</v>
      </c>
      <c r="E140" s="19" t="s">
        <v>813</v>
      </c>
      <c r="F140" s="127">
        <v>4.1915467625899199</v>
      </c>
      <c r="G140" s="127">
        <v>7.3732718894009199</v>
      </c>
    </row>
    <row r="141" spans="1:7">
      <c r="A141" s="19" t="s">
        <v>835</v>
      </c>
      <c r="B141" s="19" t="s">
        <v>820</v>
      </c>
      <c r="C141" s="19">
        <v>25</v>
      </c>
      <c r="D141" s="19" t="s">
        <v>812</v>
      </c>
      <c r="E141" s="19" t="s">
        <v>813</v>
      </c>
      <c r="F141" s="127">
        <v>4.6951438848920803</v>
      </c>
      <c r="G141" s="127">
        <v>4.8540706605222699</v>
      </c>
    </row>
    <row r="142" spans="1:7">
      <c r="A142" s="19" t="s">
        <v>835</v>
      </c>
      <c r="B142" s="19" t="s">
        <v>820</v>
      </c>
      <c r="C142" s="19">
        <v>25</v>
      </c>
      <c r="D142" s="19" t="s">
        <v>812</v>
      </c>
      <c r="E142" s="19" t="s">
        <v>813</v>
      </c>
      <c r="F142" s="127">
        <v>5.1987410071942399</v>
      </c>
      <c r="G142" s="127">
        <v>2.9800307219661999</v>
      </c>
    </row>
    <row r="143" spans="1:7">
      <c r="A143" s="19" t="s">
        <v>835</v>
      </c>
      <c r="B143" s="19" t="s">
        <v>820</v>
      </c>
      <c r="C143" s="19">
        <v>25</v>
      </c>
      <c r="D143" s="19" t="s">
        <v>812</v>
      </c>
      <c r="E143" s="19" t="s">
        <v>813</v>
      </c>
      <c r="F143" s="127">
        <v>3.1798561151079099</v>
      </c>
      <c r="G143" s="127">
        <v>8.8786482334869401</v>
      </c>
    </row>
    <row r="144" spans="1:7">
      <c r="A144" s="19" t="s">
        <v>835</v>
      </c>
      <c r="B144" s="19" t="s">
        <v>820</v>
      </c>
      <c r="C144" s="19">
        <v>25</v>
      </c>
      <c r="D144" s="19" t="s">
        <v>812</v>
      </c>
      <c r="E144" s="19" t="s">
        <v>814</v>
      </c>
      <c r="F144" s="127">
        <v>0.54946043165467595</v>
      </c>
      <c r="G144" s="127">
        <v>1.99692780337941</v>
      </c>
    </row>
    <row r="145" spans="1:7">
      <c r="A145" s="19" t="s">
        <v>835</v>
      </c>
      <c r="B145" s="19" t="s">
        <v>820</v>
      </c>
      <c r="C145" s="19">
        <v>25</v>
      </c>
      <c r="D145" s="19" t="s">
        <v>812</v>
      </c>
      <c r="E145" s="19" t="s">
        <v>814</v>
      </c>
      <c r="F145" s="127">
        <v>1.08453237410071</v>
      </c>
      <c r="G145" s="127">
        <v>3.4408602150537599</v>
      </c>
    </row>
    <row r="146" spans="1:7">
      <c r="A146" s="19" t="s">
        <v>835</v>
      </c>
      <c r="B146" s="19" t="s">
        <v>820</v>
      </c>
      <c r="C146" s="19">
        <v>25</v>
      </c>
      <c r="D146" s="19" t="s">
        <v>812</v>
      </c>
      <c r="E146" s="19" t="s">
        <v>814</v>
      </c>
      <c r="F146" s="127">
        <v>1.6106115107913599</v>
      </c>
      <c r="G146" s="127">
        <v>3.4101382488479199</v>
      </c>
    </row>
    <row r="147" spans="1:7">
      <c r="A147" s="19" t="s">
        <v>835</v>
      </c>
      <c r="B147" s="19" t="s">
        <v>820</v>
      </c>
      <c r="C147" s="19">
        <v>25</v>
      </c>
      <c r="D147" s="19" t="s">
        <v>812</v>
      </c>
      <c r="E147" s="19" t="s">
        <v>814</v>
      </c>
      <c r="F147" s="127">
        <v>2.1321942446043098</v>
      </c>
      <c r="G147" s="127">
        <v>4.8540706605222699</v>
      </c>
    </row>
    <row r="148" spans="1:7">
      <c r="A148" s="19" t="s">
        <v>835</v>
      </c>
      <c r="B148" s="19" t="s">
        <v>820</v>
      </c>
      <c r="C148" s="19">
        <v>25</v>
      </c>
      <c r="D148" s="19" t="s">
        <v>812</v>
      </c>
      <c r="E148" s="19" t="s">
        <v>814</v>
      </c>
      <c r="F148" s="127">
        <v>2.6582733812949599</v>
      </c>
      <c r="G148" s="127">
        <v>4.7926267281105899</v>
      </c>
    </row>
    <row r="149" spans="1:7">
      <c r="A149" s="19" t="s">
        <v>835</v>
      </c>
      <c r="B149" s="19" t="s">
        <v>820</v>
      </c>
      <c r="C149" s="19">
        <v>25</v>
      </c>
      <c r="D149" s="19" t="s">
        <v>812</v>
      </c>
      <c r="E149" s="19" t="s">
        <v>814</v>
      </c>
      <c r="F149" s="127">
        <v>3.6879496402877598</v>
      </c>
      <c r="G149" s="127">
        <v>14.009216589861699</v>
      </c>
    </row>
    <row r="150" spans="1:7">
      <c r="A150" s="19" t="s">
        <v>836</v>
      </c>
      <c r="B150" s="19" t="s">
        <v>822</v>
      </c>
      <c r="C150" s="19">
        <v>25</v>
      </c>
      <c r="D150" s="19" t="s">
        <v>812</v>
      </c>
      <c r="E150" s="19" t="s">
        <v>813</v>
      </c>
      <c r="F150" s="127">
        <v>25</v>
      </c>
      <c r="G150" s="127">
        <v>0.54440497335701599</v>
      </c>
    </row>
    <row r="151" spans="1:7">
      <c r="A151" s="19" t="s">
        <v>836</v>
      </c>
      <c r="B151" s="19" t="s">
        <v>822</v>
      </c>
      <c r="C151" s="19">
        <v>25</v>
      </c>
      <c r="D151" s="19" t="s">
        <v>812</v>
      </c>
      <c r="E151" s="19" t="s">
        <v>813</v>
      </c>
      <c r="F151" s="127">
        <v>13.1818181818181</v>
      </c>
      <c r="G151" s="127">
        <v>1.0817051509769</v>
      </c>
    </row>
    <row r="152" spans="1:7">
      <c r="A152" s="19" t="s">
        <v>836</v>
      </c>
      <c r="B152" s="19" t="s">
        <v>822</v>
      </c>
      <c r="C152" s="19">
        <v>25</v>
      </c>
      <c r="D152" s="19" t="s">
        <v>812</v>
      </c>
      <c r="E152" s="19" t="s">
        <v>813</v>
      </c>
      <c r="F152" s="127">
        <v>5.39393939393939</v>
      </c>
      <c r="G152" s="127">
        <v>1.6101243339253899</v>
      </c>
    </row>
    <row r="153" spans="1:7">
      <c r="A153" s="19" t="s">
        <v>836</v>
      </c>
      <c r="B153" s="19" t="s">
        <v>822</v>
      </c>
      <c r="C153" s="19">
        <v>25</v>
      </c>
      <c r="D153" s="19" t="s">
        <v>812</v>
      </c>
      <c r="E153" s="19" t="s">
        <v>813</v>
      </c>
      <c r="F153" s="127">
        <v>4.39393939393939</v>
      </c>
      <c r="G153" s="127">
        <v>2.6580817051509702</v>
      </c>
    </row>
    <row r="154" spans="1:7">
      <c r="A154" s="19" t="s">
        <v>836</v>
      </c>
      <c r="B154" s="19" t="s">
        <v>822</v>
      </c>
      <c r="C154" s="19">
        <v>25</v>
      </c>
      <c r="D154" s="19" t="s">
        <v>812</v>
      </c>
      <c r="E154" s="19" t="s">
        <v>813</v>
      </c>
      <c r="F154" s="127">
        <v>6.1818181818181799</v>
      </c>
      <c r="G154" s="127">
        <v>3.69271758436944</v>
      </c>
    </row>
    <row r="155" spans="1:7">
      <c r="A155" s="19" t="s">
        <v>836</v>
      </c>
      <c r="B155" s="19" t="s">
        <v>822</v>
      </c>
      <c r="C155" s="19">
        <v>25</v>
      </c>
      <c r="D155" s="19" t="s">
        <v>812</v>
      </c>
      <c r="E155" s="19" t="s">
        <v>814</v>
      </c>
      <c r="F155" s="127">
        <v>2.39393939393939</v>
      </c>
      <c r="G155" s="127">
        <v>4.6918294849022999</v>
      </c>
    </row>
    <row r="156" spans="1:7">
      <c r="A156" s="19" t="s">
        <v>836</v>
      </c>
      <c r="B156" s="19" t="s">
        <v>822</v>
      </c>
      <c r="C156" s="19">
        <v>25</v>
      </c>
      <c r="D156" s="19" t="s">
        <v>812</v>
      </c>
      <c r="E156" s="19" t="s">
        <v>814</v>
      </c>
      <c r="F156" s="127">
        <v>3.3636363636363602</v>
      </c>
      <c r="G156" s="127">
        <v>5.1980461811722902</v>
      </c>
    </row>
    <row r="157" spans="1:7">
      <c r="A157" s="19" t="s">
        <v>836</v>
      </c>
      <c r="B157" s="19" t="s">
        <v>822</v>
      </c>
      <c r="C157" s="19">
        <v>25</v>
      </c>
      <c r="D157" s="19" t="s">
        <v>812</v>
      </c>
      <c r="E157" s="19" t="s">
        <v>814</v>
      </c>
      <c r="F157" s="127">
        <v>2.87878787878787</v>
      </c>
      <c r="G157" s="127">
        <v>2.13854351687388</v>
      </c>
    </row>
    <row r="158" spans="1:7">
      <c r="A158" s="19" t="s">
        <v>836</v>
      </c>
      <c r="B158" s="19" t="s">
        <v>822</v>
      </c>
      <c r="C158" s="19">
        <v>25</v>
      </c>
      <c r="D158" s="19" t="s">
        <v>812</v>
      </c>
      <c r="E158" s="19" t="s">
        <v>814</v>
      </c>
      <c r="F158" s="127">
        <v>5.8484848484848397</v>
      </c>
      <c r="G158" s="127">
        <v>3.1776198934280599</v>
      </c>
    </row>
    <row r="159" spans="1:7">
      <c r="A159" s="19" t="s">
        <v>836</v>
      </c>
      <c r="B159" s="19" t="s">
        <v>822</v>
      </c>
      <c r="C159" s="19">
        <v>25</v>
      </c>
      <c r="D159" s="19" t="s">
        <v>812</v>
      </c>
      <c r="E159" s="19" t="s">
        <v>814</v>
      </c>
      <c r="F159" s="127">
        <v>9.3333333333333304</v>
      </c>
      <c r="G159" s="127">
        <v>4.1989342806394303</v>
      </c>
    </row>
    <row r="160" spans="1:7">
      <c r="A160" s="19" t="s">
        <v>837</v>
      </c>
      <c r="B160" s="19" t="s">
        <v>838</v>
      </c>
      <c r="C160" s="19">
        <v>26</v>
      </c>
      <c r="D160" s="19" t="s">
        <v>812</v>
      </c>
      <c r="E160" s="19" t="s">
        <v>813</v>
      </c>
      <c r="F160" s="127">
        <v>26</v>
      </c>
      <c r="G160" s="127">
        <v>0.54432624113475103</v>
      </c>
    </row>
    <row r="161" spans="1:7">
      <c r="A161" s="19" t="s">
        <v>837</v>
      </c>
      <c r="B161" s="19" t="s">
        <v>838</v>
      </c>
      <c r="C161" s="19">
        <v>26</v>
      </c>
      <c r="D161" s="19" t="s">
        <v>812</v>
      </c>
      <c r="E161" s="19" t="s">
        <v>813</v>
      </c>
      <c r="F161" s="127">
        <v>15.319148936170199</v>
      </c>
      <c r="G161" s="127">
        <v>1.08067375886524</v>
      </c>
    </row>
    <row r="162" spans="1:7">
      <c r="A162" s="19" t="s">
        <v>837</v>
      </c>
      <c r="B162" s="19" t="s">
        <v>838</v>
      </c>
      <c r="C162" s="19">
        <v>26</v>
      </c>
      <c r="D162" s="19" t="s">
        <v>812</v>
      </c>
      <c r="E162" s="19" t="s">
        <v>813</v>
      </c>
      <c r="F162" s="127">
        <v>6.3221884498480199</v>
      </c>
      <c r="G162" s="127">
        <v>1.6081560283687899</v>
      </c>
    </row>
    <row r="163" spans="1:7">
      <c r="A163" s="19" t="s">
        <v>837</v>
      </c>
      <c r="B163" s="19" t="s">
        <v>838</v>
      </c>
      <c r="C163" s="19">
        <v>26</v>
      </c>
      <c r="D163" s="19" t="s">
        <v>812</v>
      </c>
      <c r="E163" s="19" t="s">
        <v>813</v>
      </c>
      <c r="F163" s="127">
        <v>4.8024316109422402</v>
      </c>
      <c r="G163" s="127">
        <v>2.1356382978723398</v>
      </c>
    </row>
    <row r="164" spans="1:7">
      <c r="A164" s="19" t="s">
        <v>837</v>
      </c>
      <c r="B164" s="19" t="s">
        <v>838</v>
      </c>
      <c r="C164" s="19">
        <v>26</v>
      </c>
      <c r="D164" s="19" t="s">
        <v>812</v>
      </c>
      <c r="E164" s="19" t="s">
        <v>813</v>
      </c>
      <c r="F164" s="127">
        <v>3.93</v>
      </c>
      <c r="G164" s="127">
        <v>2.65868794326241</v>
      </c>
    </row>
    <row r="165" spans="1:7">
      <c r="A165" s="19" t="s">
        <v>837</v>
      </c>
      <c r="B165" s="19" t="s">
        <v>838</v>
      </c>
      <c r="C165" s="19">
        <v>26</v>
      </c>
      <c r="D165" s="19" t="s">
        <v>812</v>
      </c>
      <c r="E165" s="19" t="s">
        <v>814</v>
      </c>
      <c r="F165" s="127">
        <v>2.43161094224924</v>
      </c>
      <c r="G165" s="127">
        <v>3.1684397163120499</v>
      </c>
    </row>
    <row r="166" spans="1:7">
      <c r="A166" s="19" t="s">
        <v>837</v>
      </c>
      <c r="B166" s="19" t="s">
        <v>838</v>
      </c>
      <c r="C166" s="19">
        <v>26</v>
      </c>
      <c r="D166" s="19" t="s">
        <v>812</v>
      </c>
      <c r="E166" s="19" t="s">
        <v>814</v>
      </c>
      <c r="F166" s="127">
        <v>3.3434650455927</v>
      </c>
      <c r="G166" s="127">
        <v>4.19237588652482</v>
      </c>
    </row>
    <row r="167" spans="1:7">
      <c r="A167" s="19" t="s">
        <v>837</v>
      </c>
      <c r="B167" s="19" t="s">
        <v>838</v>
      </c>
      <c r="C167" s="19">
        <v>26</v>
      </c>
      <c r="D167" s="19" t="s">
        <v>812</v>
      </c>
      <c r="E167" s="19" t="s">
        <v>814</v>
      </c>
      <c r="F167" s="127">
        <v>4.8936170212765902</v>
      </c>
      <c r="G167" s="127">
        <v>4.6950000000000003</v>
      </c>
    </row>
    <row r="168" spans="1:7">
      <c r="A168" s="19" t="s">
        <v>837</v>
      </c>
      <c r="B168" s="19" t="s">
        <v>838</v>
      </c>
      <c r="C168" s="19">
        <v>26</v>
      </c>
      <c r="D168" s="19" t="s">
        <v>812</v>
      </c>
      <c r="E168" s="19" t="s">
        <v>814</v>
      </c>
      <c r="F168" s="127">
        <v>5.25835866261398</v>
      </c>
      <c r="G168" s="127">
        <v>5.2</v>
      </c>
    </row>
    <row r="169" spans="1:7">
      <c r="A169" s="19" t="s">
        <v>837</v>
      </c>
      <c r="B169" s="19" t="s">
        <v>838</v>
      </c>
      <c r="C169" s="19">
        <v>26</v>
      </c>
      <c r="D169" s="19" t="s">
        <v>812</v>
      </c>
      <c r="E169" s="19" t="s">
        <v>814</v>
      </c>
      <c r="F169" s="127">
        <v>7.2948328267477196</v>
      </c>
      <c r="G169" s="127">
        <v>3.1773049645390001</v>
      </c>
    </row>
    <row r="170" spans="1:7">
      <c r="A170" s="19" t="s">
        <v>839</v>
      </c>
      <c r="B170" s="19" t="s">
        <v>840</v>
      </c>
      <c r="C170" s="19">
        <v>26</v>
      </c>
      <c r="D170" s="19" t="s">
        <v>812</v>
      </c>
      <c r="E170" s="19" t="s">
        <v>813</v>
      </c>
      <c r="F170" s="127">
        <v>26</v>
      </c>
      <c r="G170" s="127">
        <v>0.53978779840848801</v>
      </c>
    </row>
    <row r="171" spans="1:7">
      <c r="A171" s="19" t="s">
        <v>839</v>
      </c>
      <c r="B171" s="19" t="s">
        <v>840</v>
      </c>
      <c r="C171" s="19">
        <v>26</v>
      </c>
      <c r="D171" s="19" t="s">
        <v>812</v>
      </c>
      <c r="E171" s="19" t="s">
        <v>813</v>
      </c>
      <c r="F171" s="127">
        <v>11.649016639999999</v>
      </c>
      <c r="G171" s="127">
        <v>1.07471264367816</v>
      </c>
    </row>
    <row r="172" spans="1:7">
      <c r="A172" s="19" t="s">
        <v>839</v>
      </c>
      <c r="B172" s="19" t="s">
        <v>840</v>
      </c>
      <c r="C172" s="19">
        <v>26</v>
      </c>
      <c r="D172" s="19" t="s">
        <v>812</v>
      </c>
      <c r="E172" s="19" t="s">
        <v>813</v>
      </c>
      <c r="F172" s="127">
        <v>6.8381240539999997</v>
      </c>
      <c r="G172" s="127">
        <v>1.60079575596816</v>
      </c>
    </row>
    <row r="173" spans="1:7">
      <c r="A173" s="19" t="s">
        <v>839</v>
      </c>
      <c r="B173" s="19" t="s">
        <v>840</v>
      </c>
      <c r="C173" s="19">
        <v>26</v>
      </c>
      <c r="D173" s="19" t="s">
        <v>812</v>
      </c>
      <c r="E173" s="19" t="s">
        <v>813</v>
      </c>
      <c r="F173" s="127">
        <v>3.963691377</v>
      </c>
      <c r="G173" s="127">
        <v>2.1268788682581699</v>
      </c>
    </row>
    <row r="174" spans="1:7">
      <c r="A174" s="19" t="s">
        <v>839</v>
      </c>
      <c r="B174" s="19" t="s">
        <v>840</v>
      </c>
      <c r="C174" s="19">
        <v>26</v>
      </c>
      <c r="D174" s="19" t="s">
        <v>812</v>
      </c>
      <c r="E174" s="19" t="s">
        <v>813</v>
      </c>
      <c r="F174" s="127">
        <v>1.55</v>
      </c>
      <c r="G174" s="127">
        <v>2.6485411140583501</v>
      </c>
    </row>
    <row r="175" spans="1:7">
      <c r="A175" s="19" t="s">
        <v>839</v>
      </c>
      <c r="B175" s="19" t="s">
        <v>840</v>
      </c>
      <c r="C175" s="19">
        <v>26</v>
      </c>
      <c r="D175" s="19" t="s">
        <v>812</v>
      </c>
      <c r="E175" s="19" t="s">
        <v>814</v>
      </c>
      <c r="F175" s="127">
        <v>1.90620272314674</v>
      </c>
      <c r="G175" s="127">
        <v>2.65</v>
      </c>
    </row>
    <row r="176" spans="1:7">
      <c r="A176" s="19" t="s">
        <v>839</v>
      </c>
      <c r="B176" s="19" t="s">
        <v>840</v>
      </c>
      <c r="C176" s="19">
        <v>26</v>
      </c>
      <c r="D176" s="19" t="s">
        <v>812</v>
      </c>
      <c r="E176" s="19" t="s">
        <v>814</v>
      </c>
      <c r="F176" s="127">
        <v>4.3570347957639903</v>
      </c>
      <c r="G176" s="127">
        <v>3.1702033599999999</v>
      </c>
    </row>
    <row r="177" spans="1:7">
      <c r="A177" s="19" t="s">
        <v>839</v>
      </c>
      <c r="B177" s="19" t="s">
        <v>840</v>
      </c>
      <c r="C177" s="19">
        <v>26</v>
      </c>
      <c r="D177" s="19" t="s">
        <v>812</v>
      </c>
      <c r="E177" s="19" t="s">
        <v>814</v>
      </c>
      <c r="F177" s="127">
        <v>6.4145234493192103</v>
      </c>
      <c r="G177" s="127">
        <v>3.69</v>
      </c>
    </row>
    <row r="178" spans="1:7">
      <c r="A178" s="19" t="s">
        <v>839</v>
      </c>
      <c r="B178" s="19" t="s">
        <v>840</v>
      </c>
      <c r="C178" s="19">
        <v>26</v>
      </c>
      <c r="D178" s="19" t="s">
        <v>812</v>
      </c>
      <c r="E178" s="19" t="s">
        <v>814</v>
      </c>
      <c r="F178" s="127">
        <v>9.7730711043872898</v>
      </c>
      <c r="G178" s="127">
        <v>4.2</v>
      </c>
    </row>
    <row r="179" spans="1:7">
      <c r="A179" s="19" t="s">
        <v>839</v>
      </c>
      <c r="B179" s="19" t="s">
        <v>840</v>
      </c>
      <c r="C179" s="19">
        <v>26</v>
      </c>
      <c r="D179" s="19" t="s">
        <v>812</v>
      </c>
      <c r="E179" s="19" t="s">
        <v>814</v>
      </c>
      <c r="F179" s="127">
        <v>15.9757942511346</v>
      </c>
      <c r="G179" s="127">
        <v>4.7</v>
      </c>
    </row>
    <row r="180" spans="1:7">
      <c r="A180" s="19" t="s">
        <v>841</v>
      </c>
      <c r="B180" s="19" t="s">
        <v>842</v>
      </c>
      <c r="C180" s="19">
        <v>27</v>
      </c>
      <c r="D180" s="19" t="s">
        <v>812</v>
      </c>
      <c r="E180" s="19" t="s">
        <v>813</v>
      </c>
      <c r="F180" s="127">
        <v>27</v>
      </c>
      <c r="G180" s="127">
        <v>0.54113345521023704</v>
      </c>
    </row>
    <row r="181" spans="1:7">
      <c r="A181" s="19" t="s">
        <v>841</v>
      </c>
      <c r="B181" s="19" t="s">
        <v>842</v>
      </c>
      <c r="C181" s="19">
        <v>27</v>
      </c>
      <c r="D181" s="19" t="s">
        <v>812</v>
      </c>
      <c r="E181" s="19" t="s">
        <v>813</v>
      </c>
      <c r="F181" s="127">
        <v>10.031152647975</v>
      </c>
      <c r="G181" s="127">
        <v>1.0758683729433201</v>
      </c>
    </row>
    <row r="182" spans="1:7">
      <c r="A182" s="19" t="s">
        <v>841</v>
      </c>
      <c r="B182" s="19" t="s">
        <v>842</v>
      </c>
      <c r="C182" s="19">
        <v>27</v>
      </c>
      <c r="D182" s="19" t="s">
        <v>812</v>
      </c>
      <c r="E182" s="19" t="s">
        <v>813</v>
      </c>
      <c r="F182" s="127">
        <v>5.0778816199376902</v>
      </c>
      <c r="G182" s="127">
        <v>1.6014625228519099</v>
      </c>
    </row>
    <row r="183" spans="1:7">
      <c r="A183" s="19" t="s">
        <v>841</v>
      </c>
      <c r="B183" s="19" t="s">
        <v>842</v>
      </c>
      <c r="C183" s="19">
        <v>27</v>
      </c>
      <c r="D183" s="19" t="s">
        <v>812</v>
      </c>
      <c r="E183" s="19" t="s">
        <v>813</v>
      </c>
      <c r="F183" s="127">
        <v>2.5545171339563799</v>
      </c>
      <c r="G183" s="127">
        <v>2.1316270566727602</v>
      </c>
    </row>
    <row r="184" spans="1:7">
      <c r="A184" s="19" t="s">
        <v>841</v>
      </c>
      <c r="B184" s="19" t="s">
        <v>842</v>
      </c>
      <c r="C184" s="19">
        <v>27</v>
      </c>
      <c r="D184" s="19" t="s">
        <v>812</v>
      </c>
      <c r="E184" s="19" t="s">
        <v>814</v>
      </c>
      <c r="F184" s="127">
        <v>3.8940809968847301</v>
      </c>
      <c r="G184" s="127">
        <v>2.65</v>
      </c>
    </row>
    <row r="185" spans="1:7">
      <c r="A185" s="19" t="s">
        <v>841</v>
      </c>
      <c r="B185" s="19" t="s">
        <v>842</v>
      </c>
      <c r="C185" s="19">
        <v>27</v>
      </c>
      <c r="D185" s="19" t="s">
        <v>812</v>
      </c>
      <c r="E185" s="19" t="s">
        <v>814</v>
      </c>
      <c r="F185" s="127">
        <v>4.4859813084112101</v>
      </c>
      <c r="G185" s="127">
        <v>3.1736745886654401</v>
      </c>
    </row>
    <row r="186" spans="1:7">
      <c r="A186" s="19" t="s">
        <v>841</v>
      </c>
      <c r="B186" s="19" t="s">
        <v>842</v>
      </c>
      <c r="C186" s="19">
        <v>27</v>
      </c>
      <c r="D186" s="19" t="s">
        <v>812</v>
      </c>
      <c r="E186" s="19" t="s">
        <v>814</v>
      </c>
      <c r="F186" s="127">
        <v>6.5109034267912698</v>
      </c>
      <c r="G186" s="127">
        <v>4.1900000000000004</v>
      </c>
    </row>
    <row r="187" spans="1:7">
      <c r="A187" s="19" t="s">
        <v>841</v>
      </c>
      <c r="B187" s="19" t="s">
        <v>842</v>
      </c>
      <c r="C187" s="19">
        <v>27</v>
      </c>
      <c r="D187" s="19" t="s">
        <v>812</v>
      </c>
      <c r="E187" s="19" t="s">
        <v>814</v>
      </c>
      <c r="F187" s="127">
        <v>12.056074766355099</v>
      </c>
      <c r="G187" s="127">
        <v>4.6900000000000004</v>
      </c>
    </row>
    <row r="188" spans="1:7">
      <c r="A188" s="19" t="s">
        <v>843</v>
      </c>
      <c r="B188" s="19" t="s">
        <v>824</v>
      </c>
      <c r="C188" s="19">
        <v>27</v>
      </c>
      <c r="D188" s="19" t="s">
        <v>812</v>
      </c>
      <c r="E188" s="19" t="s">
        <v>813</v>
      </c>
      <c r="F188" s="127">
        <v>27</v>
      </c>
      <c r="G188" s="127">
        <v>0.53</v>
      </c>
    </row>
    <row r="189" spans="1:7">
      <c r="A189" s="19" t="s">
        <v>843</v>
      </c>
      <c r="B189" s="19" t="s">
        <v>824</v>
      </c>
      <c r="C189" s="19">
        <v>27</v>
      </c>
      <c r="D189" s="19" t="s">
        <v>812</v>
      </c>
      <c r="E189" s="19" t="s">
        <v>813</v>
      </c>
      <c r="F189" s="127">
        <v>18.11</v>
      </c>
      <c r="G189" s="127">
        <v>1.0649999999999999</v>
      </c>
    </row>
    <row r="190" spans="1:7">
      <c r="A190" s="19" t="s">
        <v>843</v>
      </c>
      <c r="B190" s="19" t="s">
        <v>824</v>
      </c>
      <c r="C190" s="19">
        <v>27</v>
      </c>
      <c r="D190" s="19" t="s">
        <v>812</v>
      </c>
      <c r="E190" s="19" t="s">
        <v>813</v>
      </c>
      <c r="F190" s="127">
        <v>5.89</v>
      </c>
      <c r="G190" s="127">
        <v>1.60424028268551</v>
      </c>
    </row>
    <row r="191" spans="1:7">
      <c r="A191" s="19" t="s">
        <v>843</v>
      </c>
      <c r="B191" s="19" t="s">
        <v>824</v>
      </c>
      <c r="C191" s="19">
        <v>27</v>
      </c>
      <c r="D191" s="19" t="s">
        <v>812</v>
      </c>
      <c r="E191" s="19" t="s">
        <v>813</v>
      </c>
      <c r="F191" s="127">
        <v>3.3</v>
      </c>
      <c r="G191" s="127">
        <v>2.12</v>
      </c>
    </row>
    <row r="192" spans="1:7">
      <c r="A192" s="19" t="s">
        <v>843</v>
      </c>
      <c r="B192" s="19" t="s">
        <v>824</v>
      </c>
      <c r="C192" s="19">
        <v>27</v>
      </c>
      <c r="D192" s="19" t="s">
        <v>812</v>
      </c>
      <c r="E192" s="19" t="s">
        <v>813</v>
      </c>
      <c r="F192" s="127">
        <v>1.2951807228915599</v>
      </c>
      <c r="G192" s="127">
        <v>4.20141342756183</v>
      </c>
    </row>
    <row r="193" spans="1:7">
      <c r="A193" s="19" t="s">
        <v>843</v>
      </c>
      <c r="B193" s="19" t="s">
        <v>824</v>
      </c>
      <c r="C193" s="19">
        <v>27</v>
      </c>
      <c r="D193" s="19" t="s">
        <v>812</v>
      </c>
      <c r="E193" s="19" t="s">
        <v>814</v>
      </c>
      <c r="F193" s="127">
        <v>1.28</v>
      </c>
      <c r="G193" s="127">
        <v>2.12</v>
      </c>
    </row>
    <row r="194" spans="1:7">
      <c r="A194" s="19" t="s">
        <v>843</v>
      </c>
      <c r="B194" s="19" t="s">
        <v>824</v>
      </c>
      <c r="C194" s="19">
        <v>27</v>
      </c>
      <c r="D194" s="19" t="s">
        <v>812</v>
      </c>
      <c r="E194" s="19" t="s">
        <v>814</v>
      </c>
      <c r="F194" s="127">
        <v>1.9578313253012001</v>
      </c>
      <c r="G194" s="127">
        <v>2.64</v>
      </c>
    </row>
    <row r="195" spans="1:7">
      <c r="A195" s="19" t="s">
        <v>843</v>
      </c>
      <c r="B195" s="19" t="s">
        <v>824</v>
      </c>
      <c r="C195" s="19">
        <v>27</v>
      </c>
      <c r="D195" s="19" t="s">
        <v>812</v>
      </c>
      <c r="E195" s="19" t="s">
        <v>814</v>
      </c>
      <c r="F195" s="127">
        <v>7.0783132530120403</v>
      </c>
      <c r="G195" s="127">
        <v>3.17</v>
      </c>
    </row>
    <row r="196" spans="1:7">
      <c r="A196" s="19" t="s">
        <v>843</v>
      </c>
      <c r="B196" s="19" t="s">
        <v>824</v>
      </c>
      <c r="C196" s="19">
        <v>27</v>
      </c>
      <c r="D196" s="19" t="s">
        <v>812</v>
      </c>
      <c r="E196" s="19" t="s">
        <v>814</v>
      </c>
      <c r="F196" s="127">
        <v>15.5722891566265</v>
      </c>
      <c r="G196" s="127">
        <v>3.6934628975265</v>
      </c>
    </row>
    <row r="197" spans="1:7">
      <c r="A197" s="19" t="s">
        <v>843</v>
      </c>
      <c r="B197" s="19" t="s">
        <v>824</v>
      </c>
      <c r="C197" s="19">
        <v>27</v>
      </c>
      <c r="D197" s="19" t="s">
        <v>812</v>
      </c>
      <c r="E197" s="19" t="s">
        <v>814</v>
      </c>
      <c r="F197" s="127">
        <v>0.66265060240963802</v>
      </c>
      <c r="G197" s="127">
        <v>4.7</v>
      </c>
    </row>
    <row r="198" spans="1:7">
      <c r="A198" s="19" t="s">
        <v>844</v>
      </c>
      <c r="B198" s="19" t="s">
        <v>826</v>
      </c>
      <c r="C198" s="19">
        <v>28</v>
      </c>
      <c r="D198" s="19" t="s">
        <v>812</v>
      </c>
      <c r="E198" s="19" t="s">
        <v>813</v>
      </c>
      <c r="F198" s="127">
        <v>28</v>
      </c>
      <c r="G198" s="127">
        <v>0.54587155963302703</v>
      </c>
    </row>
    <row r="199" spans="1:7">
      <c r="A199" s="19" t="s">
        <v>844</v>
      </c>
      <c r="B199" s="19" t="s">
        <v>826</v>
      </c>
      <c r="C199" s="19">
        <v>28</v>
      </c>
      <c r="D199" s="19" t="s">
        <v>812</v>
      </c>
      <c r="E199" s="19" t="s">
        <v>813</v>
      </c>
      <c r="F199" s="127">
        <v>29.719188767550701</v>
      </c>
      <c r="G199" s="127">
        <v>1.08</v>
      </c>
    </row>
    <row r="200" spans="1:7">
      <c r="A200" s="19" t="s">
        <v>844</v>
      </c>
      <c r="B200" s="19" t="s">
        <v>826</v>
      </c>
      <c r="C200" s="19">
        <v>28</v>
      </c>
      <c r="D200" s="19" t="s">
        <v>812</v>
      </c>
      <c r="E200" s="19" t="s">
        <v>813</v>
      </c>
      <c r="F200" s="127">
        <v>15.7254290171606</v>
      </c>
      <c r="G200" s="127">
        <v>1.6055045871559599</v>
      </c>
    </row>
    <row r="201" spans="1:7">
      <c r="A201" s="19" t="s">
        <v>844</v>
      </c>
      <c r="B201" s="19" t="s">
        <v>826</v>
      </c>
      <c r="C201" s="19">
        <v>28</v>
      </c>
      <c r="D201" s="19" t="s">
        <v>812</v>
      </c>
      <c r="E201" s="19" t="s">
        <v>813</v>
      </c>
      <c r="F201" s="127">
        <v>9.7815912636505402</v>
      </c>
      <c r="G201" s="127">
        <v>2.1330275229357798</v>
      </c>
    </row>
    <row r="202" spans="1:7">
      <c r="A202" s="19" t="s">
        <v>844</v>
      </c>
      <c r="B202" s="19" t="s">
        <v>826</v>
      </c>
      <c r="C202" s="19">
        <v>28</v>
      </c>
      <c r="D202" s="19" t="s">
        <v>812</v>
      </c>
      <c r="E202" s="19" t="s">
        <v>813</v>
      </c>
      <c r="F202" s="127">
        <v>6.0374414976599002</v>
      </c>
      <c r="G202" s="127">
        <v>4.1972477064220097</v>
      </c>
    </row>
    <row r="203" spans="1:7">
      <c r="A203" s="19" t="s">
        <v>844</v>
      </c>
      <c r="B203" s="19" t="s">
        <v>826</v>
      </c>
      <c r="C203" s="19">
        <v>28</v>
      </c>
      <c r="D203" s="19" t="s">
        <v>812</v>
      </c>
      <c r="E203" s="19" t="s">
        <v>814</v>
      </c>
      <c r="F203" s="127">
        <v>2.0124804992199601</v>
      </c>
      <c r="G203" s="127">
        <v>2.1284403669724701</v>
      </c>
    </row>
    <row r="204" spans="1:7">
      <c r="A204" s="19" t="s">
        <v>844</v>
      </c>
      <c r="B204" s="19" t="s">
        <v>826</v>
      </c>
      <c r="C204" s="19">
        <v>28</v>
      </c>
      <c r="D204" s="19" t="s">
        <v>812</v>
      </c>
      <c r="E204" s="19" t="s">
        <v>814</v>
      </c>
      <c r="F204" s="127">
        <v>7.95</v>
      </c>
      <c r="G204" s="127">
        <v>2.6467889908256801</v>
      </c>
    </row>
    <row r="205" spans="1:7">
      <c r="A205" s="19" t="s">
        <v>844</v>
      </c>
      <c r="B205" s="19" t="s">
        <v>826</v>
      </c>
      <c r="C205" s="19">
        <v>28</v>
      </c>
      <c r="D205" s="19" t="s">
        <v>812</v>
      </c>
      <c r="E205" s="19" t="s">
        <v>814</v>
      </c>
      <c r="F205" s="127">
        <v>13.806552262090401</v>
      </c>
      <c r="G205" s="127">
        <v>3.1697247706421998</v>
      </c>
    </row>
    <row r="206" spans="1:7">
      <c r="A206" s="19" t="s">
        <v>844</v>
      </c>
      <c r="B206" s="19" t="s">
        <v>826</v>
      </c>
      <c r="C206" s="19">
        <v>28</v>
      </c>
      <c r="D206" s="19" t="s">
        <v>812</v>
      </c>
      <c r="E206" s="19" t="s">
        <v>814</v>
      </c>
      <c r="F206" s="127">
        <v>27.659906396255799</v>
      </c>
      <c r="G206" s="127">
        <v>3.6972477064220102</v>
      </c>
    </row>
    <row r="207" spans="1:7">
      <c r="A207" s="19" t="s">
        <v>844</v>
      </c>
      <c r="B207" s="19" t="s">
        <v>826</v>
      </c>
      <c r="C207" s="19">
        <v>28</v>
      </c>
      <c r="D207" s="19" t="s">
        <v>812</v>
      </c>
      <c r="E207" s="19" t="s">
        <v>814</v>
      </c>
      <c r="F207" s="127">
        <v>5.8970358814352499</v>
      </c>
      <c r="G207" s="127">
        <v>4.7018348623853203</v>
      </c>
    </row>
    <row r="208" spans="1:7">
      <c r="A208" s="19" t="s">
        <v>845</v>
      </c>
      <c r="B208" s="19" t="s">
        <v>827</v>
      </c>
      <c r="C208" s="19">
        <v>28</v>
      </c>
      <c r="D208" s="19" t="s">
        <v>812</v>
      </c>
      <c r="E208" s="19" t="s">
        <v>813</v>
      </c>
      <c r="F208" s="127">
        <v>28</v>
      </c>
      <c r="G208" s="127">
        <v>0.53558718861209897</v>
      </c>
    </row>
    <row r="209" spans="1:7">
      <c r="A209" s="19" t="s">
        <v>845</v>
      </c>
      <c r="B209" s="19" t="s">
        <v>827</v>
      </c>
      <c r="C209" s="19">
        <v>28</v>
      </c>
      <c r="D209" s="19" t="s">
        <v>812</v>
      </c>
      <c r="E209" s="19" t="s">
        <v>813</v>
      </c>
      <c r="F209" s="127">
        <v>11.3981762917933</v>
      </c>
      <c r="G209" s="127">
        <v>1.0738434163701001</v>
      </c>
    </row>
    <row r="210" spans="1:7">
      <c r="A210" s="19" t="s">
        <v>845</v>
      </c>
      <c r="B210" s="19" t="s">
        <v>827</v>
      </c>
      <c r="C210" s="19">
        <v>28</v>
      </c>
      <c r="D210" s="19" t="s">
        <v>812</v>
      </c>
      <c r="E210" s="19" t="s">
        <v>813</v>
      </c>
      <c r="F210" s="127">
        <v>5.8662613981762899</v>
      </c>
      <c r="G210" s="127">
        <v>1.6032028469750801</v>
      </c>
    </row>
    <row r="211" spans="1:7">
      <c r="A211" s="19" t="s">
        <v>845</v>
      </c>
      <c r="B211" s="19" t="s">
        <v>827</v>
      </c>
      <c r="C211" s="19">
        <v>28</v>
      </c>
      <c r="D211" s="19" t="s">
        <v>812</v>
      </c>
      <c r="E211" s="19" t="s">
        <v>813</v>
      </c>
      <c r="F211" s="127">
        <v>4.3161094224924001</v>
      </c>
      <c r="G211" s="127">
        <v>2.6530249110320199</v>
      </c>
    </row>
    <row r="212" spans="1:7">
      <c r="A212" s="19" t="s">
        <v>845</v>
      </c>
      <c r="B212" s="19" t="s">
        <v>827</v>
      </c>
      <c r="C212" s="19">
        <v>28</v>
      </c>
      <c r="D212" s="19" t="s">
        <v>812</v>
      </c>
      <c r="E212" s="19" t="s">
        <v>813</v>
      </c>
      <c r="F212" s="127">
        <v>6.2917933130699</v>
      </c>
      <c r="G212" s="127">
        <v>3.6895017793594298</v>
      </c>
    </row>
    <row r="213" spans="1:7">
      <c r="A213" s="19" t="s">
        <v>845</v>
      </c>
      <c r="B213" s="19" t="s">
        <v>827</v>
      </c>
      <c r="C213" s="19">
        <v>28</v>
      </c>
      <c r="D213" s="19" t="s">
        <v>812</v>
      </c>
      <c r="E213" s="19" t="s">
        <v>814</v>
      </c>
      <c r="F213" s="127">
        <v>0.88145896656534894</v>
      </c>
      <c r="G213" s="127">
        <v>4.6814946619217004</v>
      </c>
    </row>
    <row r="214" spans="1:7">
      <c r="A214" s="19" t="s">
        <v>845</v>
      </c>
      <c r="B214" s="19" t="s">
        <v>827</v>
      </c>
      <c r="C214" s="19">
        <v>28</v>
      </c>
      <c r="D214" s="19" t="s">
        <v>812</v>
      </c>
      <c r="E214" s="19" t="s">
        <v>814</v>
      </c>
      <c r="F214" s="127">
        <v>2.4620060790273501</v>
      </c>
      <c r="G214" s="127">
        <v>5.1975088967971503</v>
      </c>
    </row>
    <row r="215" spans="1:7">
      <c r="A215" s="19" t="s">
        <v>845</v>
      </c>
      <c r="B215" s="19" t="s">
        <v>827</v>
      </c>
      <c r="C215" s="19">
        <v>28</v>
      </c>
      <c r="D215" s="19" t="s">
        <v>812</v>
      </c>
      <c r="E215" s="19" t="s">
        <v>814</v>
      </c>
      <c r="F215" s="127">
        <v>2.88753799392097</v>
      </c>
      <c r="G215" s="127">
        <v>2.1281138790035499</v>
      </c>
    </row>
    <row r="216" spans="1:7">
      <c r="A216" s="19" t="s">
        <v>845</v>
      </c>
      <c r="B216" s="19" t="s">
        <v>827</v>
      </c>
      <c r="C216" s="19">
        <v>28</v>
      </c>
      <c r="D216" s="19" t="s">
        <v>812</v>
      </c>
      <c r="E216" s="19" t="s">
        <v>814</v>
      </c>
      <c r="F216" s="127">
        <v>5.18</v>
      </c>
      <c r="G216" s="127">
        <v>3.1645907473309598</v>
      </c>
    </row>
    <row r="217" spans="1:7">
      <c r="A217" s="19" t="s">
        <v>845</v>
      </c>
      <c r="B217" s="19" t="s">
        <v>827</v>
      </c>
      <c r="C217" s="19">
        <v>28</v>
      </c>
      <c r="D217" s="19" t="s">
        <v>812</v>
      </c>
      <c r="E217" s="19" t="s">
        <v>814</v>
      </c>
      <c r="F217" s="127">
        <v>7.9939209726443696</v>
      </c>
      <c r="G217" s="127">
        <v>4.1877224199288197</v>
      </c>
    </row>
    <row r="218" spans="1:7">
      <c r="A218" s="19" t="s">
        <v>846</v>
      </c>
      <c r="B218" s="19" t="s">
        <v>829</v>
      </c>
      <c r="C218" s="19">
        <v>29</v>
      </c>
      <c r="D218" s="19" t="s">
        <v>812</v>
      </c>
      <c r="E218" s="19" t="s">
        <v>813</v>
      </c>
      <c r="F218" s="127">
        <v>29</v>
      </c>
      <c r="G218" s="127">
        <v>0.54520795660036103</v>
      </c>
    </row>
    <row r="219" spans="1:7">
      <c r="A219" s="19" t="s">
        <v>846</v>
      </c>
      <c r="B219" s="19" t="s">
        <v>829</v>
      </c>
      <c r="C219" s="19">
        <v>29</v>
      </c>
      <c r="D219" s="19" t="s">
        <v>812</v>
      </c>
      <c r="E219" s="19" t="s">
        <v>813</v>
      </c>
      <c r="F219" s="127">
        <v>17.100000000000001</v>
      </c>
      <c r="G219" s="127">
        <v>1.08318264014466</v>
      </c>
    </row>
    <row r="220" spans="1:7">
      <c r="A220" s="19" t="s">
        <v>846</v>
      </c>
      <c r="B220" s="19" t="s">
        <v>829</v>
      </c>
      <c r="C220" s="19">
        <v>29</v>
      </c>
      <c r="D220" s="19" t="s">
        <v>812</v>
      </c>
      <c r="E220" s="19" t="s">
        <v>813</v>
      </c>
      <c r="F220" s="127">
        <v>9.6199999999999992</v>
      </c>
      <c r="G220" s="127">
        <v>1.62</v>
      </c>
    </row>
    <row r="221" spans="1:7">
      <c r="A221" s="19" t="s">
        <v>846</v>
      </c>
      <c r="B221" s="19" t="s">
        <v>829</v>
      </c>
      <c r="C221" s="19">
        <v>29</v>
      </c>
      <c r="D221" s="19" t="s">
        <v>812</v>
      </c>
      <c r="E221" s="19" t="s">
        <v>813</v>
      </c>
      <c r="F221" s="127">
        <v>4.8499999999999996</v>
      </c>
      <c r="G221" s="127">
        <v>2.14</v>
      </c>
    </row>
    <row r="222" spans="1:7">
      <c r="A222" s="19" t="s">
        <v>846</v>
      </c>
      <c r="B222" s="19" t="s">
        <v>829</v>
      </c>
      <c r="C222" s="19">
        <v>29</v>
      </c>
      <c r="D222" s="19" t="s">
        <v>812</v>
      </c>
      <c r="E222" s="19" t="s">
        <v>813</v>
      </c>
      <c r="F222" s="127">
        <v>3.9</v>
      </c>
      <c r="G222" s="127">
        <v>2.66</v>
      </c>
    </row>
    <row r="223" spans="1:7">
      <c r="A223" s="19" t="s">
        <v>846</v>
      </c>
      <c r="B223" s="19" t="s">
        <v>829</v>
      </c>
      <c r="C223" s="19">
        <v>29</v>
      </c>
      <c r="D223" s="19" t="s">
        <v>812</v>
      </c>
      <c r="E223" s="19" t="s">
        <v>813</v>
      </c>
      <c r="F223" s="127">
        <v>2.4</v>
      </c>
      <c r="G223" s="127">
        <v>3.18</v>
      </c>
    </row>
    <row r="224" spans="1:7">
      <c r="A224" s="19" t="s">
        <v>846</v>
      </c>
      <c r="B224" s="19" t="s">
        <v>829</v>
      </c>
      <c r="C224" s="19">
        <v>29</v>
      </c>
      <c r="D224" s="19" t="s">
        <v>812</v>
      </c>
      <c r="E224" s="19" t="s">
        <v>814</v>
      </c>
      <c r="F224" s="127">
        <v>2.37</v>
      </c>
      <c r="G224" s="127">
        <v>3.1749999999999998</v>
      </c>
    </row>
    <row r="225" spans="1:7">
      <c r="A225" s="19" t="s">
        <v>846</v>
      </c>
      <c r="B225" s="19" t="s">
        <v>829</v>
      </c>
      <c r="C225" s="19">
        <v>29</v>
      </c>
      <c r="D225" s="19" t="s">
        <v>812</v>
      </c>
      <c r="E225" s="19" t="s">
        <v>814</v>
      </c>
      <c r="F225" s="127">
        <v>3.9</v>
      </c>
      <c r="G225" s="127">
        <v>3.6909999999999998</v>
      </c>
    </row>
    <row r="226" spans="1:7">
      <c r="A226" s="19" t="s">
        <v>846</v>
      </c>
      <c r="B226" s="19" t="s">
        <v>829</v>
      </c>
      <c r="C226" s="19">
        <v>29</v>
      </c>
      <c r="D226" s="19" t="s">
        <v>812</v>
      </c>
      <c r="E226" s="19" t="s">
        <v>814</v>
      </c>
      <c r="F226" s="127">
        <v>5.31</v>
      </c>
      <c r="G226" s="127">
        <v>4.2</v>
      </c>
    </row>
    <row r="227" spans="1:7">
      <c r="A227" s="19" t="s">
        <v>846</v>
      </c>
      <c r="B227" s="19" t="s">
        <v>829</v>
      </c>
      <c r="C227" s="19">
        <v>29</v>
      </c>
      <c r="D227" s="19" t="s">
        <v>812</v>
      </c>
      <c r="E227" s="19" t="s">
        <v>814</v>
      </c>
      <c r="F227" s="127">
        <v>7.15</v>
      </c>
      <c r="G227" s="127">
        <v>4.7</v>
      </c>
    </row>
    <row r="228" spans="1:7">
      <c r="A228" s="19" t="s">
        <v>846</v>
      </c>
      <c r="B228" s="19" t="s">
        <v>829</v>
      </c>
      <c r="C228" s="19">
        <v>29</v>
      </c>
      <c r="D228" s="19" t="s">
        <v>812</v>
      </c>
      <c r="E228" s="19" t="s">
        <v>814</v>
      </c>
      <c r="F228" s="127">
        <v>10.4923076923076</v>
      </c>
      <c r="G228" s="127">
        <v>5.2050000000000001</v>
      </c>
    </row>
    <row r="229" spans="1:7">
      <c r="A229" s="19" t="s">
        <v>846</v>
      </c>
      <c r="B229" s="19" t="s">
        <v>829</v>
      </c>
      <c r="C229" s="19">
        <v>29</v>
      </c>
      <c r="D229" s="19" t="s">
        <v>812</v>
      </c>
      <c r="E229" s="19" t="s">
        <v>814</v>
      </c>
      <c r="F229" s="127">
        <v>13.7846153846153</v>
      </c>
      <c r="G229" s="127">
        <v>3.6949999999999998</v>
      </c>
    </row>
    <row r="230" spans="1:7">
      <c r="A230" s="19" t="s">
        <v>847</v>
      </c>
      <c r="B230" s="19" t="s">
        <v>831</v>
      </c>
      <c r="C230" s="19">
        <v>29</v>
      </c>
      <c r="D230" s="19" t="s">
        <v>812</v>
      </c>
      <c r="E230" s="19" t="s">
        <v>813</v>
      </c>
      <c r="F230" s="127">
        <v>29</v>
      </c>
      <c r="G230" s="127">
        <v>0.53533568904593598</v>
      </c>
    </row>
    <row r="231" spans="1:7">
      <c r="A231" s="19" t="s">
        <v>847</v>
      </c>
      <c r="B231" s="19" t="s">
        <v>831</v>
      </c>
      <c r="C231" s="19">
        <v>29</v>
      </c>
      <c r="D231" s="19" t="s">
        <v>812</v>
      </c>
      <c r="E231" s="19" t="s">
        <v>813</v>
      </c>
      <c r="F231" s="127">
        <v>16.936936936936899</v>
      </c>
      <c r="G231" s="127">
        <v>1.0786219081271999</v>
      </c>
    </row>
    <row r="232" spans="1:7">
      <c r="A232" s="19" t="s">
        <v>847</v>
      </c>
      <c r="B232" s="19" t="s">
        <v>831</v>
      </c>
      <c r="C232" s="19">
        <v>29</v>
      </c>
      <c r="D232" s="19" t="s">
        <v>812</v>
      </c>
      <c r="E232" s="19" t="s">
        <v>813</v>
      </c>
      <c r="F232" s="127">
        <v>8.7837837837837807</v>
      </c>
      <c r="G232" s="127">
        <v>1.5998233215547699</v>
      </c>
    </row>
    <row r="233" spans="1:7">
      <c r="A233" s="19" t="s">
        <v>847</v>
      </c>
      <c r="B233" s="19" t="s">
        <v>831</v>
      </c>
      <c r="C233" s="19">
        <v>29</v>
      </c>
      <c r="D233" s="19" t="s">
        <v>812</v>
      </c>
      <c r="E233" s="19" t="s">
        <v>813</v>
      </c>
      <c r="F233" s="127">
        <v>4.7297297297297298</v>
      </c>
      <c r="G233" s="127">
        <v>2.1342756183745499</v>
      </c>
    </row>
    <row r="234" spans="1:7">
      <c r="A234" s="19" t="s">
        <v>847</v>
      </c>
      <c r="B234" s="19" t="s">
        <v>831</v>
      </c>
      <c r="C234" s="19">
        <v>29</v>
      </c>
      <c r="D234" s="19" t="s">
        <v>812</v>
      </c>
      <c r="E234" s="19" t="s">
        <v>813</v>
      </c>
      <c r="F234" s="127">
        <v>3.91891891891891</v>
      </c>
      <c r="G234" s="127">
        <v>2.6554770318021199</v>
      </c>
    </row>
    <row r="235" spans="1:7">
      <c r="A235" s="19" t="s">
        <v>847</v>
      </c>
      <c r="B235" s="19" t="s">
        <v>831</v>
      </c>
      <c r="C235" s="19">
        <v>29</v>
      </c>
      <c r="D235" s="19" t="s">
        <v>812</v>
      </c>
      <c r="E235" s="19" t="s">
        <v>813</v>
      </c>
      <c r="F235" s="127">
        <v>1.9819819819819799</v>
      </c>
      <c r="G235" s="127">
        <v>3.1678445229681902</v>
      </c>
    </row>
    <row r="236" spans="1:7">
      <c r="A236" s="19" t="s">
        <v>847</v>
      </c>
      <c r="B236" s="19" t="s">
        <v>831</v>
      </c>
      <c r="C236" s="19">
        <v>29</v>
      </c>
      <c r="D236" s="19" t="s">
        <v>812</v>
      </c>
      <c r="E236" s="19" t="s">
        <v>814</v>
      </c>
      <c r="F236" s="127">
        <v>4.7297297297297298</v>
      </c>
      <c r="G236" s="127">
        <v>2.64664310954063</v>
      </c>
    </row>
    <row r="237" spans="1:7">
      <c r="A237" s="19" t="s">
        <v>847</v>
      </c>
      <c r="B237" s="19" t="s">
        <v>831</v>
      </c>
      <c r="C237" s="19">
        <v>29</v>
      </c>
      <c r="D237" s="19" t="s">
        <v>812</v>
      </c>
      <c r="E237" s="19" t="s">
        <v>814</v>
      </c>
      <c r="F237" s="127">
        <v>5.6306306306306304</v>
      </c>
      <c r="G237" s="127">
        <v>3.1678445229681902</v>
      </c>
    </row>
    <row r="238" spans="1:7">
      <c r="A238" s="19" t="s">
        <v>847</v>
      </c>
      <c r="B238" s="19" t="s">
        <v>831</v>
      </c>
      <c r="C238" s="19">
        <v>29</v>
      </c>
      <c r="D238" s="19" t="s">
        <v>812</v>
      </c>
      <c r="E238" s="19" t="s">
        <v>814</v>
      </c>
      <c r="F238" s="127">
        <v>9.6846846846846795</v>
      </c>
      <c r="G238" s="127">
        <v>3.6846289752650101</v>
      </c>
    </row>
    <row r="239" spans="1:7">
      <c r="A239" s="19" t="s">
        <v>847</v>
      </c>
      <c r="B239" s="19" t="s">
        <v>831</v>
      </c>
      <c r="C239" s="19">
        <v>29</v>
      </c>
      <c r="D239" s="19" t="s">
        <v>812</v>
      </c>
      <c r="E239" s="19" t="s">
        <v>814</v>
      </c>
      <c r="F239" s="127">
        <v>10.495495495495399</v>
      </c>
      <c r="G239" s="127">
        <v>4.1925795053003503</v>
      </c>
    </row>
    <row r="240" spans="1:7">
      <c r="A240" s="19" t="s">
        <v>847</v>
      </c>
      <c r="B240" s="19" t="s">
        <v>831</v>
      </c>
      <c r="C240" s="19">
        <v>29</v>
      </c>
      <c r="D240" s="19" t="s">
        <v>812</v>
      </c>
      <c r="E240" s="19" t="s">
        <v>814</v>
      </c>
      <c r="F240" s="127">
        <v>15</v>
      </c>
      <c r="G240" s="127">
        <v>4.6916961130742001</v>
      </c>
    </row>
    <row r="241" spans="1:7">
      <c r="A241" s="19" t="s">
        <v>847</v>
      </c>
      <c r="B241" s="19" t="s">
        <v>831</v>
      </c>
      <c r="C241" s="19">
        <v>29</v>
      </c>
      <c r="D241" s="19" t="s">
        <v>812</v>
      </c>
      <c r="E241" s="19" t="s">
        <v>814</v>
      </c>
      <c r="F241" s="127">
        <v>25.270270270270199</v>
      </c>
      <c r="G241" s="127">
        <v>5.1952296819787902</v>
      </c>
    </row>
    <row r="242" spans="1:7">
      <c r="A242" s="19" t="s">
        <v>848</v>
      </c>
      <c r="B242" s="19" t="s">
        <v>833</v>
      </c>
      <c r="C242" s="19">
        <v>30</v>
      </c>
      <c r="D242" s="19" t="s">
        <v>812</v>
      </c>
      <c r="E242" s="19" t="s">
        <v>813</v>
      </c>
      <c r="F242" s="127">
        <v>30</v>
      </c>
      <c r="G242" s="127">
        <v>0.531222123104371</v>
      </c>
    </row>
    <row r="243" spans="1:7">
      <c r="A243" s="19" t="s">
        <v>848</v>
      </c>
      <c r="B243" s="19" t="s">
        <v>833</v>
      </c>
      <c r="C243" s="19">
        <v>30</v>
      </c>
      <c r="D243" s="19" t="s">
        <v>812</v>
      </c>
      <c r="E243" s="19" t="s">
        <v>813</v>
      </c>
      <c r="F243" s="127">
        <v>17.350000000000001</v>
      </c>
      <c r="G243" s="127">
        <v>1.07091882247992</v>
      </c>
    </row>
    <row r="244" spans="1:7">
      <c r="A244" s="19" t="s">
        <v>848</v>
      </c>
      <c r="B244" s="19" t="s">
        <v>833</v>
      </c>
      <c r="C244" s="19">
        <v>30</v>
      </c>
      <c r="D244" s="19" t="s">
        <v>812</v>
      </c>
      <c r="E244" s="19" t="s">
        <v>813</v>
      </c>
      <c r="F244" s="127">
        <v>11.5</v>
      </c>
      <c r="G244" s="127">
        <v>1.59277430865298</v>
      </c>
    </row>
    <row r="245" spans="1:7">
      <c r="A245" s="19" t="s">
        <v>848</v>
      </c>
      <c r="B245" s="19" t="s">
        <v>833</v>
      </c>
      <c r="C245" s="19">
        <v>30</v>
      </c>
      <c r="D245" s="19" t="s">
        <v>812</v>
      </c>
      <c r="E245" s="19" t="s">
        <v>813</v>
      </c>
      <c r="F245" s="127">
        <v>7.6255707762557003</v>
      </c>
      <c r="G245" s="127">
        <v>2.1235504014272899</v>
      </c>
    </row>
    <row r="246" spans="1:7">
      <c r="A246" s="19" t="s">
        <v>848</v>
      </c>
      <c r="B246" s="19" t="s">
        <v>833</v>
      </c>
      <c r="C246" s="19">
        <v>30</v>
      </c>
      <c r="D246" s="19" t="s">
        <v>812</v>
      </c>
      <c r="E246" s="19" t="s">
        <v>813</v>
      </c>
      <c r="F246" s="127">
        <v>5.93607305936073</v>
      </c>
      <c r="G246" s="127">
        <v>4.6882247992863499</v>
      </c>
    </row>
    <row r="247" spans="1:7">
      <c r="A247" s="19" t="s">
        <v>848</v>
      </c>
      <c r="B247" s="19" t="s">
        <v>833</v>
      </c>
      <c r="C247" s="19">
        <v>30</v>
      </c>
      <c r="D247" s="19" t="s">
        <v>812</v>
      </c>
      <c r="E247" s="19" t="s">
        <v>814</v>
      </c>
      <c r="F247" s="127">
        <v>9.6347031963470293</v>
      </c>
      <c r="G247" s="127">
        <v>2.65</v>
      </c>
    </row>
    <row r="248" spans="1:7">
      <c r="A248" s="19" t="s">
        <v>848</v>
      </c>
      <c r="B248" s="19" t="s">
        <v>833</v>
      </c>
      <c r="C248" s="19">
        <v>30</v>
      </c>
      <c r="D248" s="19" t="s">
        <v>812</v>
      </c>
      <c r="E248" s="19" t="s">
        <v>814</v>
      </c>
      <c r="F248" s="127">
        <v>11.324200913242001</v>
      </c>
      <c r="G248" s="127">
        <v>3.1749999999999998</v>
      </c>
    </row>
    <row r="249" spans="1:7">
      <c r="A249" s="19" t="s">
        <v>848</v>
      </c>
      <c r="B249" s="19" t="s">
        <v>833</v>
      </c>
      <c r="C249" s="19">
        <v>30</v>
      </c>
      <c r="D249" s="19" t="s">
        <v>812</v>
      </c>
      <c r="E249" s="19" t="s">
        <v>814</v>
      </c>
      <c r="F249" s="127">
        <v>15.570776255707701</v>
      </c>
      <c r="G249" s="127">
        <v>3.6891168599464699</v>
      </c>
    </row>
    <row r="250" spans="1:7">
      <c r="A250" s="19" t="s">
        <v>848</v>
      </c>
      <c r="B250" s="19" t="s">
        <v>833</v>
      </c>
      <c r="C250" s="19">
        <v>30</v>
      </c>
      <c r="D250" s="19" t="s">
        <v>812</v>
      </c>
      <c r="E250" s="19" t="s">
        <v>814</v>
      </c>
      <c r="F250" s="127">
        <v>19.1324200913242</v>
      </c>
      <c r="G250" s="127">
        <v>4.1931311329170304</v>
      </c>
    </row>
    <row r="251" spans="1:7">
      <c r="A251" s="19" t="s">
        <v>848</v>
      </c>
      <c r="B251" s="19" t="s">
        <v>833</v>
      </c>
      <c r="C251" s="19">
        <v>30</v>
      </c>
      <c r="D251" s="19" t="s">
        <v>812</v>
      </c>
      <c r="E251" s="19" t="s">
        <v>814</v>
      </c>
      <c r="F251" s="127">
        <v>4.0639269406392602</v>
      </c>
      <c r="G251" s="127">
        <v>5.2011596788581604</v>
      </c>
    </row>
    <row r="252" spans="1:7">
      <c r="A252" s="19" t="s">
        <v>849</v>
      </c>
      <c r="B252" s="19" t="s">
        <v>834</v>
      </c>
      <c r="C252" s="19">
        <v>30</v>
      </c>
      <c r="D252" s="19" t="s">
        <v>812</v>
      </c>
      <c r="E252" s="19" t="s">
        <v>813</v>
      </c>
      <c r="F252" s="127">
        <v>30</v>
      </c>
      <c r="G252" s="127">
        <v>0.53913043478260803</v>
      </c>
    </row>
    <row r="253" spans="1:7">
      <c r="A253" s="19" t="s">
        <v>849</v>
      </c>
      <c r="B253" s="19" t="s">
        <v>834</v>
      </c>
      <c r="C253" s="19">
        <v>30</v>
      </c>
      <c r="D253" s="19" t="s">
        <v>812</v>
      </c>
      <c r="E253" s="19" t="s">
        <v>813</v>
      </c>
      <c r="F253" s="127">
        <v>8.1008902077151301</v>
      </c>
      <c r="G253" s="127">
        <v>1.0782608695652101</v>
      </c>
    </row>
    <row r="254" spans="1:7">
      <c r="A254" s="19" t="s">
        <v>849</v>
      </c>
      <c r="B254" s="19" t="s">
        <v>834</v>
      </c>
      <c r="C254" s="19">
        <v>30</v>
      </c>
      <c r="D254" s="19" t="s">
        <v>812</v>
      </c>
      <c r="E254" s="19" t="s">
        <v>813</v>
      </c>
      <c r="F254" s="127">
        <v>5.8160237388724001</v>
      </c>
      <c r="G254" s="127">
        <v>1.6</v>
      </c>
    </row>
    <row r="255" spans="1:7">
      <c r="A255" s="19" t="s">
        <v>849</v>
      </c>
      <c r="B255" s="19" t="s">
        <v>834</v>
      </c>
      <c r="C255" s="19">
        <v>30</v>
      </c>
      <c r="D255" s="19" t="s">
        <v>812</v>
      </c>
      <c r="E255" s="19" t="s">
        <v>813</v>
      </c>
      <c r="F255" s="127">
        <v>3.7388724035608298</v>
      </c>
      <c r="G255" s="127">
        <v>2.64782608695652</v>
      </c>
    </row>
    <row r="256" spans="1:7">
      <c r="A256" s="19" t="s">
        <v>849</v>
      </c>
      <c r="B256" s="19" t="s">
        <v>834</v>
      </c>
      <c r="C256" s="19">
        <v>30</v>
      </c>
      <c r="D256" s="19" t="s">
        <v>812</v>
      </c>
      <c r="E256" s="19" t="s">
        <v>813</v>
      </c>
      <c r="F256" s="127">
        <v>1.5133531157269999</v>
      </c>
      <c r="G256" s="127">
        <v>3.6956521739130399</v>
      </c>
    </row>
    <row r="257" spans="1:10">
      <c r="A257" s="19" t="s">
        <v>849</v>
      </c>
      <c r="B257" s="19" t="s">
        <v>834</v>
      </c>
      <c r="C257" s="19">
        <v>30</v>
      </c>
      <c r="D257" s="19" t="s">
        <v>812</v>
      </c>
      <c r="E257" s="19" t="s">
        <v>813</v>
      </c>
      <c r="F257" s="127">
        <v>0.53412462908011804</v>
      </c>
      <c r="G257" s="127">
        <v>4.6956521739130404</v>
      </c>
    </row>
    <row r="258" spans="1:10">
      <c r="A258" s="19" t="s">
        <v>849</v>
      </c>
      <c r="B258" s="19" t="s">
        <v>834</v>
      </c>
      <c r="C258" s="19">
        <v>30</v>
      </c>
      <c r="D258" s="19" t="s">
        <v>812</v>
      </c>
      <c r="E258" s="19" t="s">
        <v>814</v>
      </c>
      <c r="F258" s="127">
        <v>5.7566765578635</v>
      </c>
      <c r="G258" s="127">
        <v>1.07391304347826</v>
      </c>
    </row>
    <row r="259" spans="1:10">
      <c r="A259" s="19" t="s">
        <v>849</v>
      </c>
      <c r="B259" s="19" t="s">
        <v>834</v>
      </c>
      <c r="C259" s="19">
        <v>30</v>
      </c>
      <c r="D259" s="19" t="s">
        <v>812</v>
      </c>
      <c r="E259" s="19" t="s">
        <v>814</v>
      </c>
      <c r="F259" s="127">
        <v>7.1513353115726996</v>
      </c>
      <c r="G259" s="127">
        <v>1.6</v>
      </c>
    </row>
    <row r="260" spans="1:10">
      <c r="A260" s="19" t="s">
        <v>849</v>
      </c>
      <c r="B260" s="19" t="s">
        <v>834</v>
      </c>
      <c r="C260" s="19">
        <v>30</v>
      </c>
      <c r="D260" s="19" t="s">
        <v>812</v>
      </c>
      <c r="E260" s="19" t="s">
        <v>814</v>
      </c>
      <c r="F260" s="127">
        <v>11.1275964391691</v>
      </c>
      <c r="G260" s="127">
        <v>2.1217391304347801</v>
      </c>
    </row>
    <row r="261" spans="1:10">
      <c r="A261" s="19" t="s">
        <v>849</v>
      </c>
      <c r="B261" s="19" t="s">
        <v>834</v>
      </c>
      <c r="C261" s="19">
        <v>30</v>
      </c>
      <c r="D261" s="19" t="s">
        <v>812</v>
      </c>
      <c r="E261" s="19" t="s">
        <v>814</v>
      </c>
      <c r="F261" s="127">
        <v>3.79821958456973</v>
      </c>
      <c r="G261" s="127">
        <v>3.1739130434782599</v>
      </c>
    </row>
    <row r="262" spans="1:10">
      <c r="A262" s="19" t="s">
        <v>849</v>
      </c>
      <c r="B262" s="19" t="s">
        <v>834</v>
      </c>
      <c r="C262" s="19">
        <v>30</v>
      </c>
      <c r="D262" s="19" t="s">
        <v>812</v>
      </c>
      <c r="E262" s="19" t="s">
        <v>814</v>
      </c>
      <c r="F262" s="127">
        <v>0.53412462908011804</v>
      </c>
      <c r="G262" s="127">
        <v>4.2</v>
      </c>
    </row>
    <row r="263" spans="1:10">
      <c r="A263" s="19" t="s">
        <v>849</v>
      </c>
      <c r="B263" s="19" t="s">
        <v>834</v>
      </c>
      <c r="C263" s="19">
        <v>30</v>
      </c>
      <c r="D263" s="19" t="s">
        <v>812</v>
      </c>
      <c r="E263" s="19" t="s">
        <v>814</v>
      </c>
      <c r="F263" s="127">
        <v>0.56379821958456899</v>
      </c>
      <c r="G263" s="127">
        <v>5.2043478260869502</v>
      </c>
    </row>
    <row r="264" spans="1:10">
      <c r="A264" s="19" t="s">
        <v>819</v>
      </c>
      <c r="B264" s="19" t="s">
        <v>850</v>
      </c>
      <c r="C264" s="19">
        <v>17</v>
      </c>
      <c r="E264" s="19" t="s">
        <v>813</v>
      </c>
      <c r="F264" s="127">
        <v>17</v>
      </c>
      <c r="G264" s="127">
        <v>0.5</v>
      </c>
      <c r="H264" s="19">
        <v>4.9000000000000004</v>
      </c>
      <c r="I264" s="19">
        <v>3.9</v>
      </c>
      <c r="J264" s="19">
        <v>5.5</v>
      </c>
    </row>
    <row r="265" spans="1:10">
      <c r="A265" s="19" t="s">
        <v>819</v>
      </c>
      <c r="B265" s="19" t="s">
        <v>850</v>
      </c>
      <c r="C265" s="19">
        <v>17</v>
      </c>
      <c r="E265" s="19" t="s">
        <v>813</v>
      </c>
      <c r="F265" s="127">
        <v>8.1999999999999993</v>
      </c>
      <c r="G265" s="127">
        <v>1.1000000000000001</v>
      </c>
      <c r="H265" s="19">
        <v>4.9000000000000004</v>
      </c>
      <c r="I265" s="19">
        <v>3.9</v>
      </c>
      <c r="J265" s="19">
        <v>5.5</v>
      </c>
    </row>
    <row r="266" spans="1:10">
      <c r="A266" s="19" t="s">
        <v>819</v>
      </c>
      <c r="B266" s="19" t="s">
        <v>850</v>
      </c>
      <c r="C266" s="19">
        <v>17</v>
      </c>
      <c r="E266" s="19" t="s">
        <v>813</v>
      </c>
      <c r="F266" s="127">
        <v>19</v>
      </c>
      <c r="G266" s="127">
        <v>1.6</v>
      </c>
      <c r="H266" s="19">
        <v>4.9000000000000004</v>
      </c>
      <c r="I266" s="19">
        <v>3.9</v>
      </c>
      <c r="J266" s="19">
        <v>5.5</v>
      </c>
    </row>
    <row r="267" spans="1:10">
      <c r="A267" s="19" t="s">
        <v>819</v>
      </c>
      <c r="B267" s="19" t="s">
        <v>850</v>
      </c>
      <c r="C267" s="19">
        <v>17</v>
      </c>
      <c r="E267" s="19" t="s">
        <v>813</v>
      </c>
      <c r="F267" s="127">
        <v>6</v>
      </c>
      <c r="G267" s="127">
        <v>2.1</v>
      </c>
      <c r="H267" s="19">
        <v>4.9000000000000004</v>
      </c>
      <c r="I267" s="19">
        <v>3.9</v>
      </c>
      <c r="J267" s="19">
        <v>5.5</v>
      </c>
    </row>
    <row r="268" spans="1:10">
      <c r="A268" s="19" t="s">
        <v>819</v>
      </c>
      <c r="B268" s="19" t="s">
        <v>850</v>
      </c>
      <c r="C268" s="19">
        <v>17</v>
      </c>
      <c r="E268" s="19" t="s">
        <v>813</v>
      </c>
      <c r="F268" s="127">
        <v>2.5</v>
      </c>
      <c r="G268" s="127">
        <v>3.2</v>
      </c>
      <c r="H268" s="19">
        <v>4.9000000000000004</v>
      </c>
      <c r="I268" s="19">
        <v>3.9</v>
      </c>
      <c r="J268" s="19">
        <v>5.5</v>
      </c>
    </row>
    <row r="269" spans="1:10">
      <c r="A269" s="19" t="s">
        <v>819</v>
      </c>
      <c r="B269" s="19" t="s">
        <v>850</v>
      </c>
      <c r="C269" s="19">
        <v>17</v>
      </c>
      <c r="E269" s="19" t="s">
        <v>813</v>
      </c>
      <c r="F269" s="127">
        <v>3.9</v>
      </c>
      <c r="G269" s="127">
        <v>4.2</v>
      </c>
      <c r="H269" s="19">
        <v>4.9000000000000004</v>
      </c>
      <c r="I269" s="19">
        <v>3.9</v>
      </c>
      <c r="J269" s="19">
        <v>5.5</v>
      </c>
    </row>
    <row r="270" spans="1:10">
      <c r="A270" s="19" t="s">
        <v>819</v>
      </c>
      <c r="B270" s="19" t="s">
        <v>850</v>
      </c>
      <c r="C270" s="19">
        <v>17</v>
      </c>
      <c r="E270" s="19" t="s">
        <v>813</v>
      </c>
      <c r="F270" s="127">
        <v>9.5</v>
      </c>
      <c r="G270" s="127">
        <v>5.2</v>
      </c>
      <c r="H270" s="19">
        <v>4.9000000000000004</v>
      </c>
      <c r="I270" s="19">
        <v>3.9</v>
      </c>
      <c r="J270" s="19">
        <v>5.5</v>
      </c>
    </row>
    <row r="271" spans="1:10">
      <c r="A271" s="19" t="s">
        <v>819</v>
      </c>
      <c r="B271" s="19" t="s">
        <v>850</v>
      </c>
      <c r="C271" s="19">
        <v>17</v>
      </c>
      <c r="E271" s="19" t="s">
        <v>813</v>
      </c>
      <c r="F271" s="127">
        <v>13</v>
      </c>
      <c r="G271" s="127">
        <v>0</v>
      </c>
      <c r="H271" s="19">
        <v>4.9000000000000004</v>
      </c>
      <c r="I271" s="19">
        <v>3.9</v>
      </c>
      <c r="J271" s="19">
        <v>5.5</v>
      </c>
    </row>
    <row r="272" spans="1:10">
      <c r="A272" s="19" t="s">
        <v>819</v>
      </c>
      <c r="B272" s="19" t="s">
        <v>850</v>
      </c>
      <c r="C272" s="19">
        <v>17</v>
      </c>
      <c r="E272" s="19" t="s">
        <v>814</v>
      </c>
      <c r="F272" s="127">
        <v>0.1</v>
      </c>
      <c r="G272" s="127">
        <v>5.2</v>
      </c>
      <c r="H272" s="19">
        <v>4.9000000000000004</v>
      </c>
      <c r="I272" s="19">
        <v>3.9</v>
      </c>
      <c r="J272" s="19">
        <v>5.5</v>
      </c>
    </row>
    <row r="273" spans="1:10">
      <c r="A273" s="19" t="s">
        <v>819</v>
      </c>
      <c r="B273" s="19" t="s">
        <v>850</v>
      </c>
      <c r="C273" s="19">
        <v>17</v>
      </c>
      <c r="E273" s="19" t="s">
        <v>814</v>
      </c>
      <c r="F273" s="127">
        <v>0.2</v>
      </c>
      <c r="G273" s="127">
        <v>4.7</v>
      </c>
      <c r="H273" s="19">
        <v>4.9000000000000004</v>
      </c>
      <c r="I273" s="19">
        <v>3.9</v>
      </c>
      <c r="J273" s="19">
        <v>5.5</v>
      </c>
    </row>
    <row r="274" spans="1:10">
      <c r="A274" s="19" t="s">
        <v>819</v>
      </c>
      <c r="B274" s="19" t="s">
        <v>850</v>
      </c>
      <c r="C274" s="19">
        <v>17</v>
      </c>
      <c r="E274" s="19" t="s">
        <v>814</v>
      </c>
      <c r="F274" s="127">
        <v>1</v>
      </c>
      <c r="G274" s="127">
        <v>5.5</v>
      </c>
      <c r="H274" s="19">
        <v>4.9000000000000004</v>
      </c>
      <c r="I274" s="19">
        <v>3.9</v>
      </c>
      <c r="J274" s="19">
        <v>5.5</v>
      </c>
    </row>
    <row r="275" spans="1:10">
      <c r="A275" s="19" t="s">
        <v>819</v>
      </c>
      <c r="B275" s="19" t="s">
        <v>850</v>
      </c>
      <c r="C275" s="19">
        <v>17</v>
      </c>
      <c r="E275" s="19" t="s">
        <v>814</v>
      </c>
      <c r="F275" s="127">
        <v>1.8</v>
      </c>
      <c r="G275" s="127">
        <v>2.7</v>
      </c>
      <c r="H275" s="19">
        <v>4.9000000000000004</v>
      </c>
      <c r="I275" s="19">
        <v>3.9</v>
      </c>
      <c r="J275" s="19">
        <v>5.5</v>
      </c>
    </row>
    <row r="276" spans="1:10">
      <c r="A276" s="19" t="s">
        <v>819</v>
      </c>
      <c r="B276" s="19" t="s">
        <v>850</v>
      </c>
      <c r="C276" s="19">
        <v>17</v>
      </c>
      <c r="E276" s="19" t="s">
        <v>814</v>
      </c>
      <c r="F276" s="127">
        <v>2.6</v>
      </c>
      <c r="G276" s="127">
        <v>3.7</v>
      </c>
      <c r="H276" s="19">
        <v>4.9000000000000004</v>
      </c>
      <c r="I276" s="19">
        <v>3.9</v>
      </c>
      <c r="J276" s="19">
        <v>5.5</v>
      </c>
    </row>
    <row r="277" spans="1:10">
      <c r="A277" s="19" t="s">
        <v>819</v>
      </c>
      <c r="B277" s="19" t="s">
        <v>850</v>
      </c>
      <c r="C277" s="19">
        <v>17</v>
      </c>
      <c r="E277" s="19" t="s">
        <v>814</v>
      </c>
      <c r="F277" s="127">
        <v>5.8</v>
      </c>
      <c r="G277" s="127">
        <v>4.7</v>
      </c>
      <c r="H277" s="19">
        <v>4.9000000000000004</v>
      </c>
      <c r="I277" s="19">
        <v>3.9</v>
      </c>
      <c r="J277" s="19">
        <v>5.5</v>
      </c>
    </row>
    <row r="278" spans="1:10">
      <c r="A278" s="19" t="s">
        <v>819</v>
      </c>
      <c r="B278" s="19" t="s">
        <v>850</v>
      </c>
      <c r="C278" s="19">
        <v>17</v>
      </c>
      <c r="E278" s="19" t="s">
        <v>814</v>
      </c>
      <c r="F278" s="127">
        <v>13.9</v>
      </c>
      <c r="G278" s="127">
        <v>0</v>
      </c>
      <c r="H278" s="19">
        <v>4.9000000000000004</v>
      </c>
      <c r="I278" s="19">
        <v>3.9</v>
      </c>
      <c r="J278" s="19">
        <v>5.5</v>
      </c>
    </row>
    <row r="279" spans="1:10">
      <c r="A279" s="19" t="s">
        <v>819</v>
      </c>
      <c r="B279" s="19" t="s">
        <v>850</v>
      </c>
      <c r="C279" s="19">
        <v>17</v>
      </c>
      <c r="E279" s="19" t="s">
        <v>814</v>
      </c>
      <c r="F279" s="127">
        <v>20</v>
      </c>
      <c r="G279" s="127">
        <v>0</v>
      </c>
      <c r="H279" s="19">
        <v>4.9000000000000004</v>
      </c>
      <c r="I279" s="19">
        <v>3.9</v>
      </c>
      <c r="J279" s="19">
        <v>5.5</v>
      </c>
    </row>
    <row r="280" spans="1:10">
      <c r="A280" s="19" t="s">
        <v>823</v>
      </c>
      <c r="B280" s="19" t="s">
        <v>851</v>
      </c>
      <c r="C280" s="19">
        <v>18</v>
      </c>
      <c r="E280" s="19" t="s">
        <v>813</v>
      </c>
      <c r="F280" s="127">
        <v>18</v>
      </c>
      <c r="G280" s="127">
        <v>0.5</v>
      </c>
    </row>
    <row r="281" spans="1:10">
      <c r="A281" s="19" t="s">
        <v>823</v>
      </c>
      <c r="B281" s="19" t="s">
        <v>851</v>
      </c>
      <c r="C281" s="19">
        <v>18</v>
      </c>
      <c r="E281" s="19" t="s">
        <v>813</v>
      </c>
      <c r="F281" s="127">
        <v>11</v>
      </c>
      <c r="G281" s="127">
        <v>1.1000000000000001</v>
      </c>
    </row>
    <row r="282" spans="1:10">
      <c r="A282" s="19" t="s">
        <v>823</v>
      </c>
      <c r="B282" s="19" t="s">
        <v>851</v>
      </c>
      <c r="C282" s="19">
        <v>18</v>
      </c>
      <c r="E282" s="19" t="s">
        <v>813</v>
      </c>
      <c r="F282" s="127">
        <v>7</v>
      </c>
      <c r="G282" s="127">
        <v>1.6</v>
      </c>
    </row>
    <row r="283" spans="1:10">
      <c r="A283" s="19" t="s">
        <v>823</v>
      </c>
      <c r="B283" s="19" t="s">
        <v>851</v>
      </c>
      <c r="C283" s="19">
        <v>18</v>
      </c>
      <c r="E283" s="19" t="s">
        <v>813</v>
      </c>
      <c r="F283" s="127">
        <v>5</v>
      </c>
      <c r="G283" s="127">
        <v>2.1</v>
      </c>
    </row>
    <row r="284" spans="1:10">
      <c r="A284" s="19" t="s">
        <v>823</v>
      </c>
      <c r="B284" s="19" t="s">
        <v>851</v>
      </c>
      <c r="C284" s="19">
        <v>18</v>
      </c>
      <c r="E284" s="19" t="s">
        <v>813</v>
      </c>
      <c r="F284" s="127">
        <v>2.5</v>
      </c>
      <c r="G284" s="127">
        <v>2.7</v>
      </c>
    </row>
    <row r="285" spans="1:10">
      <c r="A285" s="19" t="s">
        <v>823</v>
      </c>
      <c r="B285" s="19" t="s">
        <v>851</v>
      </c>
      <c r="C285" s="19">
        <v>18</v>
      </c>
      <c r="E285" s="19" t="s">
        <v>813</v>
      </c>
      <c r="F285" s="127">
        <v>1.5</v>
      </c>
      <c r="G285" s="127">
        <v>4.7</v>
      </c>
    </row>
    <row r="286" spans="1:10">
      <c r="A286" s="19" t="s">
        <v>823</v>
      </c>
      <c r="B286" s="19" t="s">
        <v>851</v>
      </c>
      <c r="C286" s="19">
        <v>18</v>
      </c>
      <c r="E286" s="19" t="s">
        <v>814</v>
      </c>
      <c r="F286" s="127">
        <v>3</v>
      </c>
      <c r="G286" s="127">
        <v>2.1</v>
      </c>
    </row>
    <row r="287" spans="1:10">
      <c r="A287" s="19" t="s">
        <v>823</v>
      </c>
      <c r="B287" s="19" t="s">
        <v>851</v>
      </c>
      <c r="C287" s="19">
        <v>18</v>
      </c>
      <c r="E287" s="19" t="s">
        <v>814</v>
      </c>
      <c r="F287" s="127">
        <v>4.5</v>
      </c>
      <c r="G287" s="127">
        <v>2.6</v>
      </c>
    </row>
    <row r="288" spans="1:10">
      <c r="A288" s="19" t="s">
        <v>823</v>
      </c>
      <c r="B288" s="19" t="s">
        <v>851</v>
      </c>
      <c r="C288" s="19">
        <v>18</v>
      </c>
      <c r="E288" s="19" t="s">
        <v>814</v>
      </c>
      <c r="F288" s="127">
        <v>6.5</v>
      </c>
      <c r="G288" s="127">
        <v>3.2</v>
      </c>
    </row>
    <row r="289" spans="1:7">
      <c r="A289" s="19" t="s">
        <v>823</v>
      </c>
      <c r="B289" s="19" t="s">
        <v>851</v>
      </c>
      <c r="C289" s="19">
        <v>18</v>
      </c>
      <c r="E289" s="19" t="s">
        <v>814</v>
      </c>
      <c r="F289" s="127">
        <v>11</v>
      </c>
      <c r="G289" s="127">
        <v>3.7</v>
      </c>
    </row>
    <row r="290" spans="1:7">
      <c r="A290" s="19" t="s">
        <v>823</v>
      </c>
      <c r="B290" s="19" t="s">
        <v>851</v>
      </c>
      <c r="C290" s="19">
        <v>18</v>
      </c>
      <c r="E290" s="19" t="s">
        <v>814</v>
      </c>
      <c r="F290" s="127">
        <v>14</v>
      </c>
      <c r="G290" s="127">
        <v>4.2</v>
      </c>
    </row>
    <row r="291" spans="1:7">
      <c r="A291" s="19" t="s">
        <v>823</v>
      </c>
      <c r="B291" s="19" t="s">
        <v>851</v>
      </c>
      <c r="C291" s="19">
        <v>18</v>
      </c>
      <c r="E291" s="19" t="s">
        <v>814</v>
      </c>
      <c r="F291" s="127">
        <v>1</v>
      </c>
      <c r="G291" s="127">
        <v>5.2</v>
      </c>
    </row>
  </sheetData>
  <pageMargins left="0.75" right="0.75" top="1" bottom="1" header="0.5" footer="0.5"/>
  <headerFooter>
    <oddHeader>&amp;C&amp;"Aptos"&amp;10&amp;K0078D7 [Open]&amp;1#_x000D_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FD324-005C-442F-8927-0594D7075BB6}">
  <dimension ref="A2:AI511"/>
  <sheetViews>
    <sheetView topLeftCell="B1" zoomScale="104" zoomScaleNormal="100" workbookViewId="0">
      <selection activeCell="E47" sqref="E47"/>
    </sheetView>
  </sheetViews>
  <sheetFormatPr defaultRowHeight="14"/>
  <cols>
    <col min="1" max="1" width="8.6640625" style="38"/>
    <col min="2" max="2" width="18.33203125" style="38" customWidth="1"/>
    <col min="3" max="3" width="34.08203125" style="38" customWidth="1"/>
    <col min="4" max="4" width="26.08203125" style="38" customWidth="1"/>
    <col min="5" max="5" width="31.08203125" style="38" bestFit="1" customWidth="1"/>
    <col min="6" max="6" width="31.33203125" style="38" customWidth="1"/>
    <col min="7" max="8" width="26.75" style="38" customWidth="1"/>
    <col min="9" max="16384" width="8.6640625" style="38"/>
  </cols>
  <sheetData>
    <row r="2" spans="1:32">
      <c r="A2" s="131"/>
      <c r="B2" s="131"/>
      <c r="C2" s="132" t="s">
        <v>855</v>
      </c>
      <c r="D2" s="131"/>
      <c r="E2" s="131"/>
      <c r="F2" s="131"/>
    </row>
    <row r="3" spans="1:32">
      <c r="C3" s="133" t="s">
        <v>856</v>
      </c>
      <c r="D3" s="133" t="s">
        <v>856</v>
      </c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</row>
    <row r="4" spans="1:32" ht="14.5" thickBot="1">
      <c r="C4" s="135" t="s">
        <v>813</v>
      </c>
      <c r="D4" s="135" t="s">
        <v>813</v>
      </c>
      <c r="E4" s="136" t="s">
        <v>857</v>
      </c>
      <c r="F4" s="136" t="s">
        <v>857</v>
      </c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</row>
    <row r="5" spans="1:32">
      <c r="C5" s="137" t="s">
        <v>858</v>
      </c>
      <c r="D5" s="138" t="s">
        <v>859</v>
      </c>
      <c r="E5" s="137" t="s">
        <v>858</v>
      </c>
      <c r="F5" s="138" t="s">
        <v>859</v>
      </c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</row>
    <row r="6" spans="1:32" ht="14.5" thickBot="1">
      <c r="A6" s="139" t="s">
        <v>860</v>
      </c>
      <c r="B6" s="140" t="s">
        <v>861</v>
      </c>
      <c r="C6" s="141" t="s">
        <v>862</v>
      </c>
      <c r="D6" s="142" t="s">
        <v>863</v>
      </c>
      <c r="E6" s="143" t="s">
        <v>862</v>
      </c>
      <c r="F6" s="144" t="s">
        <v>863</v>
      </c>
      <c r="G6" s="134"/>
      <c r="H6" s="134"/>
      <c r="I6" s="134"/>
      <c r="J6" s="134"/>
      <c r="K6" s="134"/>
      <c r="L6" s="134"/>
      <c r="M6" s="134"/>
      <c r="N6" s="134"/>
      <c r="O6" s="134"/>
      <c r="P6" s="134"/>
      <c r="Q6" s="134"/>
      <c r="R6" s="134"/>
      <c r="S6" s="134"/>
      <c r="T6" s="134"/>
      <c r="U6" s="134"/>
      <c r="V6" s="134"/>
      <c r="W6" s="134"/>
      <c r="X6" s="134"/>
      <c r="Y6" s="134"/>
      <c r="Z6" s="134"/>
      <c r="AA6" s="134"/>
      <c r="AB6" s="134"/>
      <c r="AC6" s="134"/>
      <c r="AD6" s="134"/>
      <c r="AE6" s="134"/>
      <c r="AF6" s="134"/>
    </row>
    <row r="7" spans="1:32">
      <c r="A7" s="145">
        <v>17</v>
      </c>
      <c r="B7" s="146" t="s">
        <v>864</v>
      </c>
      <c r="C7" s="147">
        <v>0.5</v>
      </c>
      <c r="D7" s="148">
        <v>0.1</v>
      </c>
      <c r="E7" s="149">
        <v>5.2</v>
      </c>
      <c r="F7" s="150">
        <v>8.1999999999999993</v>
      </c>
      <c r="G7" s="134"/>
      <c r="H7" s="134"/>
      <c r="I7" s="134"/>
      <c r="J7" s="134"/>
      <c r="K7" s="134"/>
      <c r="L7" s="134"/>
      <c r="M7" s="134"/>
      <c r="N7" s="134"/>
      <c r="O7" s="134"/>
      <c r="P7" s="134"/>
      <c r="Q7" s="134"/>
      <c r="R7" s="134"/>
      <c r="S7" s="134"/>
      <c r="T7" s="134"/>
      <c r="U7" s="134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4"/>
    </row>
    <row r="8" spans="1:32">
      <c r="A8" s="151"/>
      <c r="B8" s="152"/>
      <c r="C8" s="147">
        <v>1.1000000000000001</v>
      </c>
      <c r="D8" s="148">
        <v>0.2</v>
      </c>
      <c r="E8" s="153">
        <v>4.7</v>
      </c>
      <c r="F8" s="154">
        <v>19</v>
      </c>
      <c r="G8" s="134"/>
      <c r="H8" s="134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</row>
    <row r="9" spans="1:32" ht="14.5" thickBot="1">
      <c r="A9" s="151"/>
      <c r="B9" s="152"/>
      <c r="C9" s="147">
        <v>1.6</v>
      </c>
      <c r="D9" s="148">
        <v>1</v>
      </c>
      <c r="E9" s="155">
        <v>5.5</v>
      </c>
      <c r="F9" s="156">
        <v>6</v>
      </c>
      <c r="G9" s="134"/>
      <c r="H9" s="134"/>
      <c r="I9" s="134"/>
      <c r="J9" s="134"/>
      <c r="K9" s="134"/>
      <c r="L9" s="134"/>
      <c r="M9" s="134"/>
      <c r="N9" s="134"/>
      <c r="O9" s="134"/>
      <c r="P9" s="134"/>
      <c r="Q9" s="134"/>
      <c r="R9" s="134"/>
      <c r="S9" s="134"/>
      <c r="T9" s="134"/>
      <c r="U9" s="134"/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4"/>
    </row>
    <row r="10" spans="1:32">
      <c r="A10" s="151"/>
      <c r="B10" s="152"/>
      <c r="C10" s="147">
        <v>2.1</v>
      </c>
      <c r="D10" s="148">
        <v>1.8</v>
      </c>
      <c r="E10" s="157"/>
      <c r="F10" s="158"/>
      <c r="G10" s="134"/>
      <c r="H10" s="134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  <c r="T10" s="134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</row>
    <row r="11" spans="1:32">
      <c r="A11" s="151"/>
      <c r="B11" s="152"/>
      <c r="C11" s="147">
        <v>2.7</v>
      </c>
      <c r="D11" s="148">
        <v>2.5</v>
      </c>
      <c r="E11" s="157"/>
      <c r="F11" s="158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134"/>
      <c r="U11" s="134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</row>
    <row r="12" spans="1:32">
      <c r="A12" s="151"/>
      <c r="B12" s="152"/>
      <c r="C12" s="147">
        <v>3.2</v>
      </c>
      <c r="D12" s="159">
        <v>2.6</v>
      </c>
      <c r="E12" s="157"/>
      <c r="F12" s="158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1:32">
      <c r="A13" s="151"/>
      <c r="B13" s="152"/>
      <c r="C13" s="147">
        <v>3.7</v>
      </c>
      <c r="D13" s="148">
        <v>3.9</v>
      </c>
      <c r="E13" s="157"/>
      <c r="F13" s="158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134"/>
      <c r="U13" s="134"/>
      <c r="V13" s="134"/>
      <c r="W13" s="134"/>
      <c r="X13" s="134"/>
      <c r="Y13" s="134"/>
      <c r="Z13" s="134"/>
      <c r="AA13" s="134"/>
      <c r="AB13" s="134"/>
      <c r="AC13" s="134"/>
      <c r="AD13" s="134"/>
      <c r="AE13" s="134"/>
      <c r="AF13" s="134"/>
    </row>
    <row r="14" spans="1:32">
      <c r="A14" s="151"/>
      <c r="B14" s="152"/>
      <c r="C14" s="147">
        <v>4.2</v>
      </c>
      <c r="D14" s="148">
        <v>5.8</v>
      </c>
      <c r="E14" s="157"/>
      <c r="F14" s="158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</row>
    <row r="15" spans="1:32">
      <c r="A15" s="151"/>
      <c r="B15" s="152"/>
      <c r="C15" s="147">
        <v>4.7</v>
      </c>
      <c r="D15" s="148">
        <v>9.5</v>
      </c>
      <c r="E15" s="157"/>
      <c r="F15" s="158"/>
      <c r="G15" s="134"/>
      <c r="H15" s="134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</row>
    <row r="16" spans="1:32" ht="14.5" thickBot="1">
      <c r="A16" s="160"/>
      <c r="B16" s="161"/>
      <c r="C16" s="162">
        <v>5.2</v>
      </c>
      <c r="D16" s="163">
        <v>13.9</v>
      </c>
      <c r="E16" s="164"/>
      <c r="F16" s="165"/>
      <c r="G16" s="134"/>
      <c r="H16" s="134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34"/>
      <c r="AC16" s="134"/>
      <c r="AD16" s="134"/>
      <c r="AE16" s="134"/>
      <c r="AF16" s="134"/>
    </row>
    <row r="17" spans="1:32">
      <c r="A17" s="145"/>
      <c r="B17" s="166" t="s">
        <v>800</v>
      </c>
      <c r="C17" s="167">
        <v>4.9000000000000004</v>
      </c>
      <c r="D17" s="167">
        <v>0</v>
      </c>
      <c r="E17" s="168"/>
      <c r="F17" s="150"/>
      <c r="G17" s="134"/>
      <c r="H17" s="134"/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  <c r="T17" s="134"/>
      <c r="U17" s="134"/>
      <c r="V17" s="134"/>
      <c r="W17" s="134"/>
      <c r="X17" s="134"/>
      <c r="Y17" s="134"/>
      <c r="Z17" s="134"/>
      <c r="AA17" s="134"/>
      <c r="AB17" s="134"/>
      <c r="AC17" s="134"/>
      <c r="AD17" s="134"/>
      <c r="AE17" s="134"/>
      <c r="AF17" s="134"/>
    </row>
    <row r="18" spans="1:32" ht="14.5" thickBot="1">
      <c r="A18" s="160"/>
      <c r="B18" s="169" t="s">
        <v>800</v>
      </c>
      <c r="C18" s="170">
        <v>4.9000000000000004</v>
      </c>
      <c r="D18" s="170">
        <v>13</v>
      </c>
      <c r="E18" s="171"/>
      <c r="F18" s="156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1:32">
      <c r="B19" s="172" t="s">
        <v>865</v>
      </c>
      <c r="C19" s="173">
        <v>3.9</v>
      </c>
      <c r="D19" s="173">
        <v>0</v>
      </c>
      <c r="E19" s="119"/>
      <c r="F19" s="119"/>
      <c r="G19" s="134"/>
      <c r="H19" s="134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34"/>
      <c r="AC19" s="134"/>
      <c r="AD19" s="134"/>
      <c r="AE19" s="134"/>
      <c r="AF19" s="134"/>
    </row>
    <row r="20" spans="1:32">
      <c r="B20" s="172" t="s">
        <v>865</v>
      </c>
      <c r="C20" s="173">
        <v>3.9</v>
      </c>
      <c r="D20" s="173">
        <v>20</v>
      </c>
      <c r="E20" s="119"/>
      <c r="F20" s="119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</row>
    <row r="21" spans="1:32">
      <c r="B21" s="172" t="s">
        <v>866</v>
      </c>
      <c r="C21" s="173">
        <v>5.5</v>
      </c>
      <c r="D21" s="173">
        <v>0</v>
      </c>
      <c r="E21" s="119"/>
      <c r="F21" s="119"/>
      <c r="G21" s="134"/>
      <c r="H21" s="134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  <c r="T21" s="134"/>
      <c r="U21" s="134"/>
      <c r="V21" s="134"/>
      <c r="W21" s="134"/>
      <c r="X21" s="134"/>
      <c r="Y21" s="134"/>
      <c r="Z21" s="134"/>
      <c r="AA21" s="134"/>
      <c r="AB21" s="134"/>
      <c r="AC21" s="134"/>
      <c r="AD21" s="134"/>
      <c r="AE21" s="134"/>
      <c r="AF21" s="134"/>
    </row>
    <row r="22" spans="1:32">
      <c r="B22" s="172" t="s">
        <v>866</v>
      </c>
      <c r="C22" s="173">
        <v>5.5</v>
      </c>
      <c r="D22" s="173">
        <v>20</v>
      </c>
      <c r="E22" s="119"/>
      <c r="F22" s="119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1:32"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134"/>
    </row>
    <row r="24" spans="1:32">
      <c r="A24" s="131"/>
      <c r="B24" s="131"/>
      <c r="C24" s="132" t="s">
        <v>867</v>
      </c>
      <c r="D24" s="131"/>
      <c r="E24" s="131"/>
      <c r="F24" s="131"/>
      <c r="G24" s="134"/>
      <c r="H24" s="134"/>
      <c r="I24" s="134"/>
      <c r="J24" s="134"/>
      <c r="K24" s="134"/>
      <c r="L24" s="134"/>
      <c r="M24" s="134"/>
      <c r="N24" s="134"/>
      <c r="O24" s="134"/>
      <c r="P24" s="134"/>
      <c r="Q24" s="134"/>
      <c r="R24" s="134"/>
      <c r="S24" s="134"/>
      <c r="T24" s="134"/>
      <c r="U24" s="134"/>
      <c r="V24" s="134"/>
      <c r="W24" s="134"/>
      <c r="X24" s="134"/>
      <c r="Y24" s="134"/>
      <c r="Z24" s="134"/>
      <c r="AA24" s="134"/>
      <c r="AB24" s="134"/>
      <c r="AC24" s="134"/>
      <c r="AD24" s="134"/>
      <c r="AE24" s="134"/>
      <c r="AF24" s="134"/>
    </row>
    <row r="25" spans="1:32">
      <c r="C25" s="133" t="s">
        <v>856</v>
      </c>
      <c r="D25" s="133" t="s">
        <v>856</v>
      </c>
      <c r="G25" s="134"/>
      <c r="H25" s="134"/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  <c r="AD25" s="134"/>
      <c r="AE25" s="134"/>
      <c r="AF25" s="134"/>
    </row>
    <row r="26" spans="1:32" ht="14.5" thickBot="1">
      <c r="C26" s="135" t="s">
        <v>813</v>
      </c>
      <c r="D26" s="135" t="s">
        <v>813</v>
      </c>
      <c r="E26" s="136" t="s">
        <v>857</v>
      </c>
      <c r="F26" s="136" t="s">
        <v>857</v>
      </c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R26" s="134"/>
      <c r="S26" s="134"/>
      <c r="T26" s="134"/>
      <c r="U26" s="134"/>
      <c r="V26" s="134"/>
      <c r="W26" s="134"/>
      <c r="X26" s="134"/>
      <c r="Y26" s="134"/>
      <c r="Z26" s="134"/>
      <c r="AA26" s="134"/>
      <c r="AB26" s="134"/>
      <c r="AC26" s="134"/>
      <c r="AD26" s="134"/>
      <c r="AE26" s="134"/>
      <c r="AF26" s="134"/>
    </row>
    <row r="27" spans="1:32" ht="14.5" thickBot="1">
      <c r="C27" s="137" t="s">
        <v>858</v>
      </c>
      <c r="D27" s="138" t="s">
        <v>859</v>
      </c>
      <c r="E27" s="137" t="s">
        <v>858</v>
      </c>
      <c r="F27" s="138" t="s">
        <v>859</v>
      </c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4"/>
      <c r="V27" s="134"/>
      <c r="W27" s="134"/>
      <c r="X27" s="134"/>
      <c r="Y27" s="134"/>
      <c r="Z27" s="134"/>
      <c r="AA27" s="134"/>
      <c r="AB27" s="134"/>
      <c r="AC27" s="134"/>
      <c r="AD27" s="134"/>
      <c r="AE27" s="134"/>
      <c r="AF27" s="134"/>
    </row>
    <row r="28" spans="1:32" ht="14.5" thickBot="1">
      <c r="A28" s="174" t="s">
        <v>860</v>
      </c>
      <c r="B28" s="175" t="s">
        <v>861</v>
      </c>
      <c r="C28" s="176" t="s">
        <v>862</v>
      </c>
      <c r="D28" s="177" t="s">
        <v>863</v>
      </c>
      <c r="E28" s="176" t="s">
        <v>862</v>
      </c>
      <c r="F28" s="177" t="s">
        <v>863</v>
      </c>
      <c r="G28" s="134"/>
      <c r="H28" s="134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</row>
    <row r="29" spans="1:32">
      <c r="A29" s="145">
        <v>18</v>
      </c>
      <c r="B29" s="146" t="s">
        <v>868</v>
      </c>
      <c r="C29" s="178">
        <v>0.5</v>
      </c>
      <c r="D29" s="146">
        <v>3</v>
      </c>
      <c r="E29" s="151">
        <v>2.1</v>
      </c>
      <c r="F29" s="152">
        <v>11</v>
      </c>
      <c r="G29" s="134"/>
      <c r="H29" s="134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</row>
    <row r="30" spans="1:32">
      <c r="A30" s="151"/>
      <c r="B30" s="152"/>
      <c r="C30" s="147">
        <v>1.1000000000000001</v>
      </c>
      <c r="D30" s="152">
        <v>4.5</v>
      </c>
      <c r="E30" s="151">
        <v>2.6</v>
      </c>
      <c r="F30" s="152">
        <v>7</v>
      </c>
      <c r="G30" s="134"/>
      <c r="H30" s="134"/>
      <c r="I30" s="134"/>
      <c r="J30" s="134"/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</row>
    <row r="31" spans="1:32">
      <c r="A31" s="151"/>
      <c r="B31" s="152"/>
      <c r="C31" s="147">
        <v>1.6</v>
      </c>
      <c r="D31" s="152">
        <v>6.5</v>
      </c>
      <c r="E31" s="151">
        <v>3.2</v>
      </c>
      <c r="F31" s="152">
        <v>5</v>
      </c>
      <c r="G31" s="134"/>
      <c r="H31" s="134"/>
      <c r="I31" s="134"/>
      <c r="J31" s="134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</row>
    <row r="32" spans="1:32">
      <c r="A32" s="151"/>
      <c r="B32" s="152"/>
      <c r="C32" s="147">
        <v>2.1</v>
      </c>
      <c r="D32" s="152">
        <v>11</v>
      </c>
      <c r="E32" s="151">
        <v>3.7</v>
      </c>
      <c r="F32" s="152">
        <v>2.5</v>
      </c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</row>
    <row r="33" spans="1:32">
      <c r="A33" s="151"/>
      <c r="B33" s="152"/>
      <c r="C33" s="147">
        <v>2.7</v>
      </c>
      <c r="D33" s="152">
        <v>14</v>
      </c>
      <c r="E33" s="151">
        <v>4.2</v>
      </c>
      <c r="F33" s="152">
        <v>1.5</v>
      </c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4"/>
      <c r="V33" s="134"/>
      <c r="W33" s="134"/>
      <c r="X33" s="134"/>
      <c r="Y33" s="134"/>
      <c r="Z33" s="134"/>
      <c r="AA33" s="134"/>
      <c r="AB33" s="134"/>
      <c r="AC33" s="134"/>
      <c r="AD33" s="134"/>
      <c r="AE33" s="134"/>
      <c r="AF33" s="134"/>
    </row>
    <row r="34" spans="1:32">
      <c r="A34" s="151"/>
      <c r="B34" s="152"/>
      <c r="C34" s="179"/>
      <c r="D34" s="180"/>
      <c r="E34" s="151">
        <v>4.7</v>
      </c>
      <c r="F34" s="152">
        <v>1</v>
      </c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4"/>
    </row>
    <row r="35" spans="1:32">
      <c r="A35" s="151"/>
      <c r="B35" s="152"/>
      <c r="C35" s="179"/>
      <c r="D35" s="180"/>
      <c r="E35" s="151">
        <v>5.2</v>
      </c>
      <c r="F35" s="152">
        <v>0.5</v>
      </c>
      <c r="G35" s="134"/>
      <c r="H35" s="134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34"/>
      <c r="AC35" s="134"/>
      <c r="AD35" s="134"/>
      <c r="AE35" s="134"/>
      <c r="AF35" s="134"/>
    </row>
    <row r="36" spans="1:32">
      <c r="A36" s="151"/>
      <c r="B36" s="152"/>
      <c r="C36" s="179"/>
      <c r="D36" s="180"/>
      <c r="E36" s="181"/>
      <c r="F36" s="180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134"/>
    </row>
    <row r="37" spans="1:32">
      <c r="A37" s="151"/>
      <c r="B37" s="152"/>
      <c r="C37" s="179"/>
      <c r="D37" s="180"/>
      <c r="E37" s="181"/>
      <c r="F37" s="180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</row>
    <row r="38" spans="1:32" ht="14.5" thickBot="1">
      <c r="A38" s="160"/>
      <c r="B38" s="161"/>
      <c r="C38" s="182"/>
      <c r="D38" s="183"/>
      <c r="E38" s="184"/>
      <c r="F38" s="183"/>
      <c r="G38" s="134"/>
      <c r="H38" s="134"/>
      <c r="I38" s="134"/>
      <c r="J38" s="134"/>
      <c r="K38" s="134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134"/>
    </row>
    <row r="39" spans="1:32"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  <c r="AC39" s="134"/>
      <c r="AD39" s="134"/>
      <c r="AE39" s="134"/>
      <c r="AF39" s="134"/>
    </row>
    <row r="40" spans="1:32">
      <c r="G40" s="134"/>
      <c r="H40" s="134"/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134"/>
    </row>
    <row r="41" spans="1:32">
      <c r="A41" s="131"/>
      <c r="B41" s="131"/>
      <c r="C41" s="185" t="s">
        <v>869</v>
      </c>
      <c r="D41" s="131"/>
      <c r="E41" s="131"/>
      <c r="F41" s="186" t="s">
        <v>870</v>
      </c>
      <c r="G41" s="134"/>
      <c r="H41" s="134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  <c r="AC41" s="134"/>
      <c r="AD41" s="134"/>
      <c r="AE41" s="134"/>
      <c r="AF41" s="134"/>
    </row>
    <row r="42" spans="1:32">
      <c r="C42" s="187" t="s">
        <v>856</v>
      </c>
      <c r="D42" s="187" t="s">
        <v>856</v>
      </c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</row>
    <row r="43" spans="1:32" ht="14.5" thickBot="1">
      <c r="C43" s="135" t="s">
        <v>813</v>
      </c>
      <c r="D43" s="135" t="s">
        <v>813</v>
      </c>
      <c r="E43" s="136" t="s">
        <v>857</v>
      </c>
      <c r="F43" s="136" t="s">
        <v>857</v>
      </c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4"/>
      <c r="Y43" s="134"/>
      <c r="Z43" s="134"/>
      <c r="AA43" s="134"/>
      <c r="AB43" s="134"/>
      <c r="AC43" s="134"/>
      <c r="AD43" s="134"/>
      <c r="AE43" s="134"/>
      <c r="AF43" s="134"/>
    </row>
    <row r="44" spans="1:32">
      <c r="C44" s="137" t="s">
        <v>858</v>
      </c>
      <c r="D44" s="138" t="s">
        <v>859</v>
      </c>
      <c r="E44" s="137" t="s">
        <v>858</v>
      </c>
      <c r="F44" s="138" t="s">
        <v>859</v>
      </c>
      <c r="G44" s="134"/>
      <c r="H44" s="13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  <c r="AB44" s="134"/>
      <c r="AC44" s="134"/>
      <c r="AD44" s="134"/>
      <c r="AE44" s="134"/>
      <c r="AF44" s="134"/>
    </row>
    <row r="45" spans="1:32" ht="14.5" thickBot="1">
      <c r="A45" s="139" t="s">
        <v>860</v>
      </c>
      <c r="B45" s="140" t="s">
        <v>861</v>
      </c>
      <c r="C45" s="143" t="s">
        <v>862</v>
      </c>
      <c r="D45" s="144" t="s">
        <v>863</v>
      </c>
      <c r="E45" s="143" t="s">
        <v>862</v>
      </c>
      <c r="F45" s="144" t="s">
        <v>863</v>
      </c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4"/>
      <c r="Y45" s="134"/>
      <c r="Z45" s="134"/>
      <c r="AA45" s="134"/>
      <c r="AB45" s="134"/>
      <c r="AC45" s="134"/>
      <c r="AD45" s="134"/>
      <c r="AE45" s="134"/>
      <c r="AF45" s="134"/>
    </row>
    <row r="46" spans="1:32">
      <c r="A46" s="145">
        <v>18</v>
      </c>
      <c r="B46" s="146" t="s">
        <v>871</v>
      </c>
      <c r="C46" s="188">
        <v>1.61130899376669</v>
      </c>
      <c r="D46" s="189">
        <v>3.2218844984802399</v>
      </c>
      <c r="E46" s="188">
        <v>2.6576135351736401</v>
      </c>
      <c r="F46" s="189">
        <v>12.55</v>
      </c>
      <c r="G46" s="134"/>
      <c r="H46" s="134"/>
      <c r="I46" s="134"/>
      <c r="J46" s="134"/>
      <c r="K46" s="134"/>
      <c r="L46" s="134"/>
      <c r="M46" s="134"/>
      <c r="N46" s="134"/>
      <c r="O46" s="134"/>
      <c r="P46" s="134"/>
      <c r="Q46" s="134"/>
      <c r="R46" s="134"/>
      <c r="S46" s="134"/>
      <c r="T46" s="134"/>
      <c r="U46" s="134"/>
      <c r="V46" s="134"/>
      <c r="W46" s="134"/>
      <c r="X46" s="134"/>
      <c r="Y46" s="134"/>
      <c r="Z46" s="134"/>
      <c r="AA46" s="134"/>
      <c r="AB46" s="134"/>
      <c r="AC46" s="134"/>
      <c r="AD46" s="134"/>
      <c r="AE46" s="134"/>
      <c r="AF46" s="134"/>
    </row>
    <row r="47" spans="1:32">
      <c r="A47" s="151"/>
      <c r="B47" s="152"/>
      <c r="C47" s="188">
        <v>2.1366874443455002</v>
      </c>
      <c r="D47" s="189">
        <v>6.5045592705167099</v>
      </c>
      <c r="E47" s="188">
        <v>3.1696349065004399</v>
      </c>
      <c r="F47" s="189">
        <v>8.3282674772036405</v>
      </c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  <c r="AC47" s="134"/>
      <c r="AD47" s="134"/>
      <c r="AE47" s="134"/>
      <c r="AF47" s="134"/>
    </row>
    <row r="48" spans="1:32">
      <c r="A48" s="151"/>
      <c r="B48" s="152"/>
      <c r="C48" s="188">
        <v>2.6576135351736401</v>
      </c>
      <c r="D48" s="189">
        <v>9.5744680851063801</v>
      </c>
      <c r="E48" s="188">
        <v>3.68610863757791</v>
      </c>
      <c r="F48" s="189">
        <v>4</v>
      </c>
      <c r="G48" s="134"/>
      <c r="H48" s="134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  <c r="AC48" s="134"/>
      <c r="AD48" s="134"/>
      <c r="AE48" s="134"/>
      <c r="AF48" s="134"/>
    </row>
    <row r="49" spans="1:32">
      <c r="A49" s="151"/>
      <c r="B49" s="152"/>
      <c r="C49" s="188">
        <v>3.1651825467497701</v>
      </c>
      <c r="D49" s="189">
        <v>15.2</v>
      </c>
      <c r="E49" s="188">
        <v>4.1892252894033799</v>
      </c>
      <c r="F49" s="189">
        <v>2.95</v>
      </c>
      <c r="G49" s="134"/>
      <c r="H49" s="134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  <c r="T49" s="134"/>
      <c r="U49" s="134"/>
      <c r="V49" s="134"/>
      <c r="W49" s="134"/>
      <c r="X49" s="134"/>
      <c r="Y49" s="134"/>
      <c r="Z49" s="134"/>
      <c r="AA49" s="134"/>
      <c r="AB49" s="134"/>
      <c r="AC49" s="134"/>
      <c r="AD49" s="134"/>
      <c r="AE49" s="134"/>
      <c r="AF49" s="134"/>
    </row>
    <row r="50" spans="1:32">
      <c r="A50" s="151"/>
      <c r="B50" s="152"/>
      <c r="C50" s="188">
        <v>3.68</v>
      </c>
      <c r="D50" s="189">
        <v>20</v>
      </c>
      <c r="E50" s="188">
        <v>4.6967943009795103</v>
      </c>
      <c r="F50" s="189">
        <v>2</v>
      </c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4"/>
      <c r="V50" s="134"/>
      <c r="W50" s="134"/>
      <c r="X50" s="134"/>
      <c r="Y50" s="134"/>
      <c r="Z50" s="134"/>
      <c r="AA50" s="134"/>
      <c r="AB50" s="134"/>
      <c r="AC50" s="134"/>
      <c r="AD50" s="134"/>
      <c r="AE50" s="134"/>
      <c r="AF50" s="134"/>
    </row>
    <row r="51" spans="1:32">
      <c r="A51" s="151"/>
      <c r="B51" s="152"/>
      <c r="C51" s="179"/>
      <c r="D51" s="180"/>
      <c r="E51" s="188">
        <v>5.1999109528049798</v>
      </c>
      <c r="F51" s="189">
        <v>0.51671732522796299</v>
      </c>
      <c r="G51" s="134"/>
      <c r="H51" s="134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  <c r="T51" s="134"/>
      <c r="U51" s="134"/>
      <c r="V51" s="134"/>
      <c r="W51" s="134"/>
      <c r="X51" s="134"/>
      <c r="Y51" s="134"/>
      <c r="Z51" s="134"/>
      <c r="AA51" s="134"/>
      <c r="AB51" s="134"/>
      <c r="AC51" s="134"/>
      <c r="AD51" s="134"/>
      <c r="AE51" s="134"/>
      <c r="AF51" s="134"/>
    </row>
    <row r="52" spans="1:32">
      <c r="A52" s="151"/>
      <c r="B52" s="152"/>
      <c r="C52" s="179"/>
      <c r="D52" s="180"/>
      <c r="E52" s="188">
        <v>5.6941228851291097</v>
      </c>
      <c r="F52" s="189">
        <v>1.0030395136778101</v>
      </c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</row>
    <row r="53" spans="1:32">
      <c r="A53" s="151"/>
      <c r="B53" s="152"/>
      <c r="C53" s="179"/>
      <c r="D53" s="180"/>
      <c r="E53" s="188">
        <v>6.1883348174532502</v>
      </c>
      <c r="F53" s="189">
        <v>1</v>
      </c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4"/>
      <c r="V53" s="134"/>
      <c r="W53" s="134"/>
      <c r="X53" s="134"/>
      <c r="Y53" s="134"/>
      <c r="Z53" s="134"/>
      <c r="AA53" s="134"/>
      <c r="AB53" s="134"/>
      <c r="AC53" s="134"/>
      <c r="AD53" s="134"/>
      <c r="AE53" s="134"/>
      <c r="AF53" s="134"/>
    </row>
    <row r="54" spans="1:32">
      <c r="A54" s="151"/>
      <c r="B54" s="152"/>
      <c r="C54" s="179"/>
      <c r="D54" s="180"/>
      <c r="E54" s="190"/>
      <c r="F54" s="191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  <c r="T54" s="134"/>
      <c r="U54" s="134"/>
      <c r="V54" s="134"/>
      <c r="W54" s="134"/>
      <c r="X54" s="134"/>
      <c r="Y54" s="134"/>
      <c r="Z54" s="134"/>
      <c r="AA54" s="134"/>
      <c r="AB54" s="134"/>
      <c r="AC54" s="134"/>
      <c r="AD54" s="134"/>
      <c r="AE54" s="134"/>
      <c r="AF54" s="134"/>
    </row>
    <row r="55" spans="1:32" ht="14.5" thickBot="1">
      <c r="A55" s="160"/>
      <c r="B55" s="161"/>
      <c r="C55" s="182"/>
      <c r="D55" s="183"/>
      <c r="E55" s="184"/>
      <c r="F55" s="183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4"/>
      <c r="V55" s="134"/>
      <c r="W55" s="134"/>
      <c r="X55" s="134"/>
      <c r="Y55" s="134"/>
      <c r="Z55" s="134"/>
      <c r="AA55" s="134"/>
      <c r="AB55" s="134"/>
      <c r="AC55" s="134"/>
      <c r="AD55" s="134"/>
      <c r="AE55" s="134"/>
      <c r="AF55" s="134"/>
    </row>
    <row r="56" spans="1:32">
      <c r="G56" s="134"/>
      <c r="H56" s="134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  <c r="T56" s="134"/>
      <c r="U56" s="134"/>
      <c r="V56" s="134"/>
      <c r="W56" s="134"/>
      <c r="X56" s="134"/>
      <c r="Y56" s="134"/>
      <c r="Z56" s="134"/>
      <c r="AA56" s="134"/>
      <c r="AB56" s="134"/>
      <c r="AC56" s="134"/>
      <c r="AD56" s="134"/>
      <c r="AE56" s="134"/>
      <c r="AF56" s="134"/>
    </row>
    <row r="57" spans="1:32">
      <c r="G57" s="134"/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4"/>
      <c r="V57" s="134"/>
      <c r="W57" s="134"/>
      <c r="X57" s="134"/>
      <c r="Y57" s="134"/>
      <c r="Z57" s="134"/>
      <c r="AA57" s="134"/>
      <c r="AB57" s="134"/>
      <c r="AC57" s="134"/>
      <c r="AD57" s="134"/>
      <c r="AE57" s="134"/>
      <c r="AF57" s="134"/>
    </row>
    <row r="58" spans="1:32">
      <c r="A58" s="131"/>
      <c r="B58" s="131"/>
      <c r="C58" s="185" t="s">
        <v>872</v>
      </c>
      <c r="D58" s="131"/>
      <c r="E58" s="131"/>
      <c r="F58" s="186" t="s">
        <v>870</v>
      </c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</row>
    <row r="59" spans="1:32">
      <c r="C59" s="187" t="s">
        <v>856</v>
      </c>
      <c r="D59" s="187" t="s">
        <v>856</v>
      </c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34"/>
      <c r="AC59" s="134"/>
      <c r="AD59" s="134"/>
      <c r="AE59" s="134"/>
      <c r="AF59" s="134"/>
    </row>
    <row r="60" spans="1:32" ht="14.5" thickBot="1">
      <c r="C60" s="135" t="s">
        <v>813</v>
      </c>
      <c r="D60" s="135" t="s">
        <v>813</v>
      </c>
      <c r="E60" s="136" t="s">
        <v>857</v>
      </c>
      <c r="F60" s="136" t="s">
        <v>857</v>
      </c>
      <c r="G60" s="134"/>
      <c r="H60" s="134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  <c r="T60" s="134"/>
      <c r="U60" s="134"/>
      <c r="V60" s="134"/>
      <c r="W60" s="134"/>
      <c r="X60" s="134"/>
      <c r="Y60" s="134"/>
      <c r="Z60" s="134"/>
      <c r="AA60" s="134"/>
      <c r="AB60" s="134"/>
      <c r="AC60" s="134"/>
      <c r="AD60" s="134"/>
      <c r="AE60" s="134"/>
      <c r="AF60" s="134"/>
    </row>
    <row r="61" spans="1:32">
      <c r="C61" s="137" t="s">
        <v>858</v>
      </c>
      <c r="D61" s="138" t="s">
        <v>859</v>
      </c>
      <c r="E61" s="137" t="s">
        <v>858</v>
      </c>
      <c r="F61" s="138" t="s">
        <v>859</v>
      </c>
      <c r="G61" s="134"/>
      <c r="H61" s="134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  <c r="T61" s="134"/>
      <c r="U61" s="134"/>
      <c r="V61" s="134"/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</row>
    <row r="62" spans="1:32" ht="14.5" thickBot="1">
      <c r="A62" s="139" t="s">
        <v>860</v>
      </c>
      <c r="B62" s="140" t="s">
        <v>861</v>
      </c>
      <c r="C62" s="143" t="s">
        <v>862</v>
      </c>
      <c r="D62" s="144" t="s">
        <v>863</v>
      </c>
      <c r="E62" s="143" t="s">
        <v>862</v>
      </c>
      <c r="F62" s="144" t="s">
        <v>863</v>
      </c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4"/>
      <c r="V62" s="134"/>
      <c r="W62" s="134"/>
      <c r="X62" s="134"/>
      <c r="Y62" s="134"/>
      <c r="Z62" s="134"/>
      <c r="AA62" s="134"/>
      <c r="AB62" s="134"/>
      <c r="AC62" s="134"/>
      <c r="AD62" s="134"/>
      <c r="AE62" s="134"/>
      <c r="AF62" s="134"/>
    </row>
    <row r="63" spans="1:32">
      <c r="A63" s="145">
        <v>19</v>
      </c>
      <c r="B63" s="146" t="s">
        <v>871</v>
      </c>
      <c r="C63" s="188">
        <v>1.6063829787234001</v>
      </c>
      <c r="D63" s="189">
        <v>2.83559577677224</v>
      </c>
      <c r="E63" s="188">
        <v>3.67</v>
      </c>
      <c r="F63" s="189">
        <v>15.082956259426799</v>
      </c>
      <c r="G63" s="134"/>
      <c r="H63" s="134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  <c r="T63" s="134"/>
      <c r="U63" s="134"/>
      <c r="V63" s="134"/>
      <c r="W63" s="134"/>
      <c r="X63" s="134"/>
      <c r="Y63" s="134"/>
      <c r="Z63" s="134"/>
      <c r="AA63" s="134"/>
      <c r="AB63" s="134"/>
      <c r="AC63" s="134"/>
      <c r="AD63" s="134"/>
      <c r="AE63" s="134"/>
      <c r="AF63" s="134"/>
    </row>
    <row r="64" spans="1:32">
      <c r="A64" s="192"/>
      <c r="B64" s="193"/>
      <c r="C64" s="188">
        <v>2.13</v>
      </c>
      <c r="D64" s="189">
        <v>4.3</v>
      </c>
      <c r="E64" s="188">
        <v>4.18</v>
      </c>
      <c r="F64" s="189">
        <v>9.6530920060331802</v>
      </c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134"/>
      <c r="AB64" s="134"/>
      <c r="AC64" s="134"/>
      <c r="AD64" s="134"/>
      <c r="AE64" s="134"/>
      <c r="AF64" s="134"/>
    </row>
    <row r="65" spans="1:32">
      <c r="A65" s="192"/>
      <c r="B65" s="193"/>
      <c r="C65" s="188">
        <v>2.6569148936170199</v>
      </c>
      <c r="D65" s="189">
        <v>4.2533936651583701</v>
      </c>
      <c r="E65" s="188">
        <v>4.6959219858156001</v>
      </c>
      <c r="F65" s="189">
        <v>7.1493212669683199</v>
      </c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34"/>
      <c r="AC65" s="134"/>
      <c r="AD65" s="134"/>
      <c r="AE65" s="134"/>
      <c r="AF65" s="134"/>
    </row>
    <row r="66" spans="1:32">
      <c r="A66" s="192"/>
      <c r="B66" s="193"/>
      <c r="C66" s="188">
        <v>3.16</v>
      </c>
      <c r="D66" s="189">
        <v>5.62</v>
      </c>
      <c r="E66" s="188">
        <v>5.19237588652482</v>
      </c>
      <c r="F66" s="189">
        <v>5.6108597285067798</v>
      </c>
      <c r="G66" s="134"/>
      <c r="H66" s="134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34"/>
      <c r="AC66" s="134"/>
      <c r="AD66" s="134"/>
      <c r="AE66" s="134"/>
      <c r="AF66" s="134"/>
    </row>
    <row r="67" spans="1:32">
      <c r="A67" s="192"/>
      <c r="B67" s="193"/>
      <c r="C67" s="188">
        <v>3.68</v>
      </c>
      <c r="D67" s="189">
        <v>5.8220211161387603</v>
      </c>
      <c r="E67" s="188">
        <v>5.69</v>
      </c>
      <c r="F67" s="189">
        <v>1.44796380090497</v>
      </c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</row>
    <row r="68" spans="1:32">
      <c r="A68" s="192"/>
      <c r="B68" s="193"/>
      <c r="C68" s="188">
        <v>4.1861702127659504</v>
      </c>
      <c r="D68" s="189">
        <v>10.1357466063348</v>
      </c>
      <c r="E68" s="188">
        <v>6.18</v>
      </c>
      <c r="F68" s="189">
        <v>0.93514328808446401</v>
      </c>
      <c r="G68" s="134"/>
      <c r="H68" s="134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</row>
    <row r="69" spans="1:32">
      <c r="A69" s="192"/>
      <c r="B69" s="193"/>
      <c r="C69" s="188">
        <v>4.6749999999999998</v>
      </c>
      <c r="D69" s="189">
        <v>15.3</v>
      </c>
      <c r="E69" s="194"/>
      <c r="F69" s="195"/>
      <c r="G69" s="134"/>
      <c r="H69" s="134"/>
      <c r="I69" s="134"/>
      <c r="J69" s="134"/>
      <c r="K69" s="134"/>
      <c r="L69" s="134"/>
      <c r="M69" s="134"/>
      <c r="N69" s="134"/>
      <c r="O69" s="134"/>
      <c r="P69" s="134"/>
      <c r="Q69" s="134"/>
      <c r="R69" s="134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</row>
    <row r="70" spans="1:32">
      <c r="A70" s="192"/>
      <c r="B70" s="193"/>
      <c r="C70" s="196"/>
      <c r="D70" s="197"/>
      <c r="E70" s="198"/>
      <c r="F70" s="195"/>
      <c r="G70" s="134"/>
      <c r="H70" s="134"/>
      <c r="I70" s="134"/>
      <c r="J70" s="134"/>
      <c r="K70" s="134"/>
      <c r="L70" s="134"/>
      <c r="M70" s="134"/>
      <c r="N70" s="134"/>
      <c r="O70" s="134"/>
      <c r="P70" s="134"/>
      <c r="Q70" s="134"/>
      <c r="R70" s="134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</row>
    <row r="71" spans="1:32">
      <c r="A71" s="192"/>
      <c r="B71" s="193"/>
      <c r="C71" s="196"/>
      <c r="D71" s="197"/>
      <c r="E71" s="194"/>
      <c r="F71" s="195"/>
      <c r="G71" s="134"/>
      <c r="H71" s="134"/>
      <c r="I71" s="134"/>
      <c r="J71" s="134"/>
      <c r="K71" s="134"/>
      <c r="L71" s="134"/>
      <c r="M71" s="134"/>
      <c r="N71" s="134"/>
      <c r="O71" s="134"/>
      <c r="P71" s="134"/>
      <c r="Q71" s="134"/>
      <c r="R71" s="134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</row>
    <row r="72" spans="1:32" ht="14.5" thickBot="1">
      <c r="A72" s="199"/>
      <c r="B72" s="200"/>
      <c r="C72" s="201"/>
      <c r="D72" s="202"/>
      <c r="E72" s="203"/>
      <c r="F72" s="204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4"/>
      <c r="R72" s="134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134"/>
    </row>
    <row r="73" spans="1:32">
      <c r="A73" s="205"/>
      <c r="B73" s="205"/>
      <c r="C73" s="205"/>
      <c r="D73" s="205"/>
      <c r="E73" s="205"/>
      <c r="F73" s="205"/>
      <c r="G73" s="134"/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134"/>
      <c r="AD73" s="134"/>
      <c r="AE73" s="134"/>
      <c r="AF73" s="134"/>
    </row>
    <row r="74" spans="1:32">
      <c r="A74" s="205"/>
      <c r="B74" s="205"/>
      <c r="C74" s="205"/>
      <c r="D74" s="205"/>
      <c r="E74" s="205"/>
      <c r="F74" s="205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</row>
    <row r="75" spans="1:32">
      <c r="A75" s="131"/>
      <c r="B75" s="131"/>
      <c r="C75" s="185" t="s">
        <v>873</v>
      </c>
      <c r="D75" s="131"/>
      <c r="E75" s="131"/>
      <c r="F75" s="186" t="s">
        <v>870</v>
      </c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4"/>
      <c r="Z75" s="134"/>
      <c r="AA75" s="134"/>
      <c r="AB75" s="134"/>
      <c r="AC75" s="134"/>
      <c r="AD75" s="134"/>
      <c r="AE75" s="134"/>
      <c r="AF75" s="134"/>
    </row>
    <row r="76" spans="1:32">
      <c r="C76" s="187" t="s">
        <v>856</v>
      </c>
      <c r="D76" s="187" t="s">
        <v>856</v>
      </c>
      <c r="G76" s="134"/>
      <c r="H76" s="134"/>
      <c r="I76" s="134"/>
      <c r="J76" s="134"/>
      <c r="K76" s="134"/>
      <c r="L76" s="134"/>
      <c r="M76" s="134"/>
      <c r="N76" s="134"/>
      <c r="O76" s="134"/>
      <c r="P76" s="134"/>
      <c r="Q76" s="134"/>
      <c r="R76" s="134"/>
      <c r="S76" s="134"/>
      <c r="T76" s="134"/>
      <c r="U76" s="134"/>
      <c r="V76" s="134"/>
      <c r="W76" s="134"/>
      <c r="X76" s="134"/>
      <c r="Y76" s="134"/>
      <c r="Z76" s="134"/>
      <c r="AA76" s="134"/>
      <c r="AB76" s="134"/>
      <c r="AC76" s="134"/>
      <c r="AD76" s="134"/>
      <c r="AE76" s="134"/>
      <c r="AF76" s="134"/>
    </row>
    <row r="77" spans="1:32" ht="14.5" thickBot="1">
      <c r="C77" s="135" t="s">
        <v>813</v>
      </c>
      <c r="D77" s="135" t="s">
        <v>813</v>
      </c>
      <c r="E77" s="136" t="s">
        <v>857</v>
      </c>
      <c r="F77" s="136" t="s">
        <v>857</v>
      </c>
      <c r="G77" s="134"/>
      <c r="H77" s="134"/>
      <c r="I77" s="134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34"/>
      <c r="U77" s="134"/>
      <c r="V77" s="134"/>
      <c r="W77" s="134"/>
      <c r="X77" s="134"/>
      <c r="Y77" s="134"/>
      <c r="Z77" s="134"/>
      <c r="AA77" s="134"/>
      <c r="AB77" s="134"/>
      <c r="AC77" s="134"/>
      <c r="AD77" s="134"/>
      <c r="AE77" s="134"/>
      <c r="AF77" s="134"/>
    </row>
    <row r="78" spans="1:32">
      <c r="C78" s="137" t="s">
        <v>858</v>
      </c>
      <c r="D78" s="138" t="s">
        <v>859</v>
      </c>
      <c r="E78" s="137" t="s">
        <v>858</v>
      </c>
      <c r="F78" s="138" t="s">
        <v>859</v>
      </c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34"/>
      <c r="U78" s="134"/>
      <c r="V78" s="134"/>
      <c r="W78" s="134"/>
      <c r="X78" s="134"/>
      <c r="Y78" s="134"/>
      <c r="Z78" s="134"/>
      <c r="AA78" s="134"/>
      <c r="AB78" s="134"/>
      <c r="AC78" s="134"/>
      <c r="AD78" s="134"/>
      <c r="AE78" s="134"/>
      <c r="AF78" s="134"/>
    </row>
    <row r="79" spans="1:32" ht="14.5" thickBot="1">
      <c r="A79" s="139" t="s">
        <v>860</v>
      </c>
      <c r="B79" s="140" t="s">
        <v>861</v>
      </c>
      <c r="C79" s="143" t="s">
        <v>862</v>
      </c>
      <c r="D79" s="144" t="s">
        <v>863</v>
      </c>
      <c r="E79" s="206" t="s">
        <v>862</v>
      </c>
      <c r="F79" s="207" t="s">
        <v>863</v>
      </c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34"/>
      <c r="U79" s="134"/>
      <c r="V79" s="134"/>
      <c r="W79" s="134"/>
      <c r="X79" s="134"/>
      <c r="Y79" s="134"/>
      <c r="Z79" s="134"/>
      <c r="AA79" s="134"/>
      <c r="AB79" s="134"/>
      <c r="AC79" s="134"/>
      <c r="AD79" s="134"/>
      <c r="AE79" s="134"/>
      <c r="AF79" s="134"/>
    </row>
    <row r="80" spans="1:32">
      <c r="A80" s="145">
        <v>19</v>
      </c>
      <c r="B80" s="146" t="s">
        <v>874</v>
      </c>
      <c r="C80" s="208">
        <v>1E-4</v>
      </c>
      <c r="D80" s="209">
        <v>0.95</v>
      </c>
      <c r="E80" s="188">
        <v>1.61</v>
      </c>
      <c r="F80" s="189">
        <v>17.850000000000001</v>
      </c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134"/>
      <c r="U80" s="134"/>
      <c r="V80" s="134"/>
      <c r="W80" s="134"/>
      <c r="X80" s="134"/>
      <c r="Y80" s="134"/>
      <c r="Z80" s="134"/>
      <c r="AA80" s="134"/>
      <c r="AB80" s="134"/>
      <c r="AC80" s="134"/>
      <c r="AD80" s="134"/>
      <c r="AE80" s="134"/>
      <c r="AF80" s="134"/>
    </row>
    <row r="81" spans="1:32">
      <c r="A81" s="151"/>
      <c r="B81" s="152"/>
      <c r="C81" s="210">
        <v>0.54298642533936603</v>
      </c>
      <c r="D81" s="189">
        <v>1.4197530864197501</v>
      </c>
      <c r="E81" s="188">
        <v>2.1349999999999998</v>
      </c>
      <c r="F81" s="189">
        <v>11.8</v>
      </c>
      <c r="G81" s="134"/>
      <c r="H81" s="134"/>
      <c r="I81" s="134"/>
      <c r="J81" s="134"/>
      <c r="K81" s="134"/>
      <c r="L81" s="134"/>
      <c r="M81" s="134"/>
      <c r="N81" s="134"/>
      <c r="O81" s="134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34"/>
      <c r="AC81" s="134"/>
      <c r="AD81" s="134"/>
      <c r="AE81" s="134"/>
      <c r="AF81" s="134"/>
    </row>
    <row r="82" spans="1:32">
      <c r="A82" s="151"/>
      <c r="B82" s="152"/>
      <c r="C82" s="210">
        <v>1.07692307692307</v>
      </c>
      <c r="D82" s="189">
        <v>5.85</v>
      </c>
      <c r="E82" s="188">
        <v>2.66</v>
      </c>
      <c r="F82" s="189">
        <v>2.9249999999999998</v>
      </c>
      <c r="G82" s="134"/>
      <c r="H82" s="134"/>
      <c r="I82" s="134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34"/>
      <c r="AC82" s="134"/>
      <c r="AD82" s="134"/>
      <c r="AE82" s="134"/>
      <c r="AF82" s="134"/>
    </row>
    <row r="83" spans="1:32">
      <c r="A83" s="151"/>
      <c r="B83" s="152"/>
      <c r="C83" s="210">
        <v>1.605</v>
      </c>
      <c r="D83" s="189">
        <v>18.899999999999999</v>
      </c>
      <c r="E83" s="188">
        <v>3.1764705882352899</v>
      </c>
      <c r="F83" s="189">
        <v>1.425</v>
      </c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</row>
    <row r="84" spans="1:32">
      <c r="A84" s="151"/>
      <c r="B84" s="152"/>
      <c r="C84" s="211"/>
      <c r="D84" s="212"/>
      <c r="E84" s="188">
        <v>3.68778280542986</v>
      </c>
      <c r="F84" s="189">
        <v>0.5</v>
      </c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  <c r="AA84" s="134"/>
      <c r="AB84" s="134"/>
      <c r="AC84" s="134"/>
      <c r="AD84" s="134"/>
      <c r="AE84" s="134"/>
      <c r="AF84" s="134"/>
    </row>
    <row r="85" spans="1:32">
      <c r="A85" s="151"/>
      <c r="B85" s="152"/>
      <c r="C85" s="211"/>
      <c r="D85" s="212"/>
      <c r="E85" s="188">
        <v>4.1950000000000003</v>
      </c>
      <c r="F85" s="189">
        <v>0.5</v>
      </c>
      <c r="G85" s="134"/>
      <c r="H85" s="134"/>
      <c r="I85" s="134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34"/>
      <c r="U85" s="134"/>
      <c r="V85" s="134"/>
      <c r="W85" s="134"/>
      <c r="X85" s="134"/>
      <c r="Y85" s="134"/>
      <c r="Z85" s="134"/>
      <c r="AA85" s="134"/>
      <c r="AB85" s="134"/>
      <c r="AC85" s="134"/>
      <c r="AD85" s="134"/>
      <c r="AE85" s="134"/>
      <c r="AF85" s="134"/>
    </row>
    <row r="86" spans="1:32">
      <c r="A86" s="151"/>
      <c r="B86" s="152"/>
      <c r="C86" s="211"/>
      <c r="D86" s="212"/>
      <c r="E86" s="188">
        <v>4.7050000000000001</v>
      </c>
      <c r="F86" s="189">
        <v>1E-3</v>
      </c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</row>
    <row r="87" spans="1:32">
      <c r="A87" s="151"/>
      <c r="B87" s="152"/>
      <c r="C87" s="179"/>
      <c r="D87" s="180"/>
      <c r="E87" s="181"/>
      <c r="F87" s="180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  <c r="AA87" s="134"/>
      <c r="AB87" s="134"/>
      <c r="AC87" s="134"/>
      <c r="AD87" s="134"/>
      <c r="AE87" s="134"/>
      <c r="AF87" s="134"/>
    </row>
    <row r="88" spans="1:32">
      <c r="A88" s="151"/>
      <c r="B88" s="152"/>
      <c r="C88" s="179"/>
      <c r="D88" s="180"/>
      <c r="E88" s="190"/>
      <c r="F88" s="191"/>
      <c r="G88" s="134"/>
      <c r="H88" s="134"/>
      <c r="I88" s="134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</row>
    <row r="89" spans="1:32" ht="14.5" thickBot="1">
      <c r="A89" s="160"/>
      <c r="B89" s="161"/>
      <c r="C89" s="182"/>
      <c r="D89" s="183"/>
      <c r="E89" s="184"/>
      <c r="F89" s="183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  <c r="AB89" s="134"/>
      <c r="AC89" s="134"/>
      <c r="AD89" s="134"/>
      <c r="AE89" s="134"/>
      <c r="AF89" s="134"/>
    </row>
    <row r="90" spans="1:32">
      <c r="A90" s="205"/>
      <c r="B90" s="205"/>
      <c r="C90" s="205"/>
      <c r="D90" s="205"/>
      <c r="E90" s="205"/>
      <c r="F90" s="205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4"/>
      <c r="V90" s="134"/>
      <c r="W90" s="134"/>
      <c r="X90" s="134"/>
      <c r="Y90" s="134"/>
      <c r="Z90" s="134"/>
      <c r="AA90" s="134"/>
      <c r="AB90" s="134"/>
      <c r="AC90" s="134"/>
      <c r="AD90" s="134"/>
      <c r="AE90" s="134"/>
      <c r="AF90" s="134"/>
    </row>
    <row r="91" spans="1:32">
      <c r="A91" s="205"/>
      <c r="B91" s="205"/>
      <c r="C91" s="205"/>
      <c r="D91" s="205"/>
      <c r="E91" s="205"/>
      <c r="F91" s="205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4"/>
      <c r="V91" s="134"/>
      <c r="W91" s="134"/>
      <c r="X91" s="134"/>
      <c r="Y91" s="134"/>
      <c r="Z91" s="134"/>
      <c r="AA91" s="134"/>
      <c r="AB91" s="134"/>
      <c r="AC91" s="134"/>
      <c r="AD91" s="134"/>
      <c r="AE91" s="134"/>
      <c r="AF91" s="134"/>
    </row>
    <row r="92" spans="1:32">
      <c r="A92" s="131"/>
      <c r="B92" s="131"/>
      <c r="C92" s="185" t="s">
        <v>875</v>
      </c>
      <c r="D92" s="131"/>
      <c r="E92" s="131"/>
      <c r="F92" s="186" t="s">
        <v>870</v>
      </c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4"/>
      <c r="V92" s="134"/>
      <c r="W92" s="134"/>
      <c r="X92" s="134"/>
      <c r="Y92" s="134"/>
      <c r="Z92" s="134"/>
      <c r="AA92" s="134"/>
      <c r="AB92" s="134"/>
      <c r="AC92" s="134"/>
      <c r="AD92" s="134"/>
      <c r="AE92" s="134"/>
      <c r="AF92" s="134"/>
    </row>
    <row r="93" spans="1:32">
      <c r="C93" s="187" t="s">
        <v>856</v>
      </c>
      <c r="D93" s="187" t="s">
        <v>856</v>
      </c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4"/>
      <c r="V93" s="134"/>
      <c r="W93" s="134"/>
      <c r="X93" s="134"/>
      <c r="Y93" s="134"/>
      <c r="Z93" s="134"/>
      <c r="AA93" s="134"/>
      <c r="AB93" s="134"/>
      <c r="AC93" s="134"/>
      <c r="AD93" s="134"/>
      <c r="AE93" s="134"/>
      <c r="AF93" s="134"/>
    </row>
    <row r="94" spans="1:32" ht="14.5" thickBot="1">
      <c r="C94" s="135" t="s">
        <v>813</v>
      </c>
      <c r="D94" s="135" t="s">
        <v>813</v>
      </c>
      <c r="E94" s="136" t="s">
        <v>857</v>
      </c>
      <c r="F94" s="136" t="s">
        <v>857</v>
      </c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4"/>
      <c r="V94" s="134"/>
      <c r="W94" s="134"/>
      <c r="X94" s="134"/>
      <c r="Y94" s="134"/>
      <c r="Z94" s="134"/>
      <c r="AA94" s="134"/>
      <c r="AB94" s="134"/>
      <c r="AC94" s="134"/>
      <c r="AD94" s="134"/>
      <c r="AE94" s="134"/>
      <c r="AF94" s="134"/>
    </row>
    <row r="95" spans="1:32">
      <c r="C95" s="137" t="s">
        <v>858</v>
      </c>
      <c r="D95" s="213" t="s">
        <v>859</v>
      </c>
      <c r="E95" s="137" t="s">
        <v>858</v>
      </c>
      <c r="F95" s="138" t="s">
        <v>859</v>
      </c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4"/>
      <c r="V95" s="134"/>
      <c r="W95" s="134"/>
      <c r="X95" s="134"/>
      <c r="Y95" s="134"/>
      <c r="Z95" s="134"/>
      <c r="AA95" s="134"/>
      <c r="AB95" s="134"/>
      <c r="AC95" s="134"/>
      <c r="AD95" s="134"/>
      <c r="AE95" s="134"/>
      <c r="AF95" s="134"/>
    </row>
    <row r="96" spans="1:32" ht="14.5" thickBot="1">
      <c r="A96" s="139" t="s">
        <v>860</v>
      </c>
      <c r="B96" s="140" t="s">
        <v>861</v>
      </c>
      <c r="C96" s="143" t="s">
        <v>862</v>
      </c>
      <c r="D96" s="214" t="s">
        <v>863</v>
      </c>
      <c r="E96" s="206" t="s">
        <v>862</v>
      </c>
      <c r="F96" s="207" t="s">
        <v>863</v>
      </c>
      <c r="G96" s="134"/>
      <c r="H96" s="134"/>
      <c r="I96" s="134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34"/>
      <c r="U96" s="134"/>
      <c r="V96" s="134"/>
      <c r="W96" s="134"/>
      <c r="X96" s="134"/>
      <c r="Y96" s="134"/>
      <c r="Z96" s="134"/>
      <c r="AA96" s="134"/>
      <c r="AB96" s="134"/>
      <c r="AC96" s="134"/>
      <c r="AD96" s="134"/>
      <c r="AE96" s="134"/>
      <c r="AF96" s="134"/>
    </row>
    <row r="97" spans="1:34">
      <c r="A97" s="145">
        <v>20</v>
      </c>
      <c r="B97" s="146" t="s">
        <v>876</v>
      </c>
      <c r="C97" s="215">
        <v>0.53717472118959098</v>
      </c>
      <c r="D97" s="215">
        <v>1</v>
      </c>
      <c r="E97" s="188">
        <v>4.7</v>
      </c>
      <c r="F97" s="189">
        <v>19.100000000000001</v>
      </c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4"/>
      <c r="V97" s="134"/>
      <c r="W97" s="134"/>
      <c r="X97" s="134"/>
      <c r="Y97" s="134"/>
      <c r="Z97" s="134"/>
      <c r="AA97" s="134"/>
      <c r="AB97" s="134"/>
      <c r="AC97" s="134"/>
      <c r="AD97" s="134"/>
      <c r="AE97" s="134"/>
      <c r="AF97" s="134"/>
    </row>
    <row r="98" spans="1:34">
      <c r="A98" s="151"/>
      <c r="B98" s="152"/>
      <c r="C98" s="215">
        <v>1.07156133828996</v>
      </c>
      <c r="D98" s="215">
        <v>1.32911392405063</v>
      </c>
      <c r="E98" s="188">
        <v>5.2</v>
      </c>
      <c r="F98" s="189">
        <v>2.51582278481012</v>
      </c>
      <c r="G98" s="134"/>
      <c r="H98" s="134"/>
      <c r="I98" s="134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34"/>
      <c r="U98" s="134"/>
      <c r="V98" s="134"/>
      <c r="W98" s="134"/>
      <c r="X98" s="134"/>
      <c r="Y98" s="134"/>
      <c r="Z98" s="134"/>
      <c r="AA98" s="134"/>
      <c r="AB98" s="134"/>
      <c r="AC98" s="134"/>
      <c r="AD98" s="134"/>
      <c r="AE98" s="134"/>
      <c r="AF98" s="134"/>
    </row>
    <row r="99" spans="1:34">
      <c r="A99" s="151"/>
      <c r="B99" s="152"/>
      <c r="C99" s="215">
        <v>1.6013011152416301</v>
      </c>
      <c r="D99" s="215">
        <v>3.70253164556962</v>
      </c>
      <c r="E99" s="216"/>
      <c r="F99" s="217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4"/>
      <c r="AE99" s="134"/>
      <c r="AF99" s="134"/>
    </row>
    <row r="100" spans="1:34">
      <c r="A100" s="151"/>
      <c r="B100" s="152"/>
      <c r="C100" s="215">
        <v>2.14</v>
      </c>
      <c r="D100" s="215">
        <v>4.6993670886075902</v>
      </c>
      <c r="E100" s="216"/>
      <c r="F100" s="217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134"/>
      <c r="Z100" s="134"/>
      <c r="AA100" s="134"/>
      <c r="AB100" s="134"/>
      <c r="AC100" s="134"/>
      <c r="AD100" s="134"/>
      <c r="AE100" s="134"/>
      <c r="AF100" s="134"/>
    </row>
    <row r="101" spans="1:34">
      <c r="A101" s="151"/>
      <c r="B101" s="152"/>
      <c r="C101" s="215">
        <v>2.6514869888475801</v>
      </c>
      <c r="D101" s="215">
        <v>6.17088607594936</v>
      </c>
      <c r="E101" s="216"/>
      <c r="F101" s="217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134"/>
      <c r="Z101" s="134"/>
      <c r="AA101" s="134"/>
      <c r="AB101" s="134"/>
      <c r="AC101" s="134"/>
      <c r="AD101" s="134"/>
      <c r="AE101" s="134"/>
      <c r="AF101" s="134"/>
      <c r="AG101" s="134"/>
      <c r="AH101" s="134"/>
    </row>
    <row r="102" spans="1:34">
      <c r="A102" s="151"/>
      <c r="B102" s="152"/>
      <c r="C102" s="215">
        <v>3.1765799256505498</v>
      </c>
      <c r="D102" s="215">
        <v>6.2183544303797396</v>
      </c>
      <c r="E102" s="216"/>
      <c r="F102" s="217"/>
      <c r="G102" s="134"/>
      <c r="H102" s="134"/>
      <c r="I102" s="134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34"/>
      <c r="V102" s="134"/>
      <c r="W102" s="134"/>
      <c r="X102" s="134"/>
      <c r="Y102" s="134"/>
      <c r="Z102" s="134"/>
      <c r="AA102" s="134"/>
      <c r="AB102" s="134"/>
      <c r="AC102" s="134"/>
      <c r="AD102" s="134"/>
      <c r="AE102" s="134"/>
      <c r="AF102" s="134"/>
      <c r="AG102" s="134"/>
      <c r="AH102" s="134"/>
    </row>
    <row r="103" spans="1:34">
      <c r="A103" s="151"/>
      <c r="B103" s="152"/>
      <c r="C103" s="215">
        <v>3.7</v>
      </c>
      <c r="D103" s="215">
        <v>8.9715189873417707</v>
      </c>
      <c r="E103" s="216"/>
      <c r="F103" s="217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34"/>
      <c r="U103" s="134"/>
      <c r="V103" s="134"/>
      <c r="W103" s="134"/>
      <c r="X103" s="134"/>
      <c r="Y103" s="134"/>
      <c r="Z103" s="134"/>
      <c r="AA103" s="134"/>
      <c r="AB103" s="134"/>
      <c r="AC103" s="134"/>
      <c r="AD103" s="134"/>
      <c r="AE103" s="134"/>
      <c r="AF103" s="134"/>
      <c r="AG103" s="134"/>
      <c r="AH103" s="134"/>
    </row>
    <row r="104" spans="1:34">
      <c r="A104" s="151"/>
      <c r="B104" s="152"/>
      <c r="C104" s="215">
        <v>4.1942379182156104</v>
      </c>
      <c r="D104" s="215">
        <v>15.284810126582199</v>
      </c>
      <c r="E104" s="216"/>
      <c r="F104" s="217"/>
      <c r="G104" s="134"/>
      <c r="H104" s="134"/>
      <c r="I104" s="134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34"/>
      <c r="U104" s="134"/>
      <c r="V104" s="134"/>
      <c r="W104" s="134"/>
      <c r="X104" s="134"/>
      <c r="Y104" s="134"/>
      <c r="Z104" s="134"/>
      <c r="AA104" s="134"/>
      <c r="AB104" s="134"/>
      <c r="AC104" s="134"/>
      <c r="AD104" s="134"/>
      <c r="AE104" s="134"/>
      <c r="AF104" s="134"/>
      <c r="AG104" s="134"/>
      <c r="AH104" s="134"/>
    </row>
    <row r="105" spans="1:34">
      <c r="A105" s="151"/>
      <c r="B105" s="152"/>
      <c r="C105" s="179"/>
      <c r="D105" s="218"/>
      <c r="E105" s="216"/>
      <c r="F105" s="217"/>
      <c r="G105" s="134"/>
      <c r="H105" s="134"/>
      <c r="I105" s="134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34"/>
      <c r="U105" s="134"/>
      <c r="V105" s="134"/>
      <c r="W105" s="134"/>
      <c r="X105" s="134"/>
      <c r="Y105" s="134"/>
      <c r="Z105" s="134"/>
      <c r="AA105" s="134"/>
      <c r="AB105" s="134"/>
      <c r="AC105" s="134"/>
      <c r="AD105" s="134"/>
      <c r="AE105" s="134"/>
      <c r="AF105" s="134"/>
      <c r="AG105" s="134"/>
      <c r="AH105" s="134"/>
    </row>
    <row r="106" spans="1:34" ht="14.5" thickBot="1">
      <c r="A106" s="160"/>
      <c r="B106" s="161"/>
      <c r="C106" s="182"/>
      <c r="D106" s="219"/>
      <c r="E106" s="220"/>
      <c r="F106" s="221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  <c r="W106" s="134"/>
      <c r="X106" s="134"/>
      <c r="Y106" s="134"/>
      <c r="Z106" s="134"/>
      <c r="AA106" s="134"/>
      <c r="AB106" s="134"/>
      <c r="AC106" s="134"/>
      <c r="AD106" s="134"/>
      <c r="AE106" s="134"/>
      <c r="AF106" s="134"/>
      <c r="AG106" s="134"/>
      <c r="AH106" s="134"/>
    </row>
    <row r="107" spans="1:34"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4"/>
      <c r="V107" s="134"/>
      <c r="W107" s="134"/>
      <c r="X107" s="134"/>
      <c r="Y107" s="134"/>
      <c r="Z107" s="134"/>
      <c r="AA107" s="134"/>
      <c r="AB107" s="134"/>
      <c r="AC107" s="134"/>
      <c r="AD107" s="134"/>
      <c r="AE107" s="134"/>
      <c r="AF107" s="134"/>
      <c r="AG107" s="134"/>
      <c r="AH107" s="134"/>
    </row>
    <row r="108" spans="1:34"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4"/>
      <c r="V108" s="134"/>
      <c r="W108" s="134"/>
      <c r="X108" s="134"/>
      <c r="Y108" s="134"/>
      <c r="Z108" s="134"/>
      <c r="AA108" s="134"/>
      <c r="AB108" s="134"/>
      <c r="AC108" s="134"/>
      <c r="AD108" s="134"/>
      <c r="AE108" s="134"/>
      <c r="AF108" s="134"/>
      <c r="AG108" s="134"/>
      <c r="AH108" s="134"/>
    </row>
    <row r="109" spans="1:34">
      <c r="A109" s="131"/>
      <c r="B109" s="131"/>
      <c r="C109" s="132" t="s">
        <v>877</v>
      </c>
      <c r="D109" s="131"/>
      <c r="E109" s="131"/>
      <c r="F109" s="186" t="s">
        <v>870</v>
      </c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  <c r="W109" s="134"/>
      <c r="X109" s="134"/>
      <c r="Y109" s="134"/>
      <c r="Z109" s="134"/>
      <c r="AA109" s="134"/>
      <c r="AB109" s="134"/>
      <c r="AC109" s="134"/>
      <c r="AD109" s="134"/>
      <c r="AE109" s="134"/>
      <c r="AF109" s="134"/>
      <c r="AG109" s="134"/>
      <c r="AH109" s="134"/>
    </row>
    <row r="110" spans="1:34">
      <c r="C110" s="133" t="s">
        <v>856</v>
      </c>
      <c r="D110" s="133" t="s">
        <v>856</v>
      </c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4"/>
      <c r="U110" s="134"/>
      <c r="V110" s="134"/>
      <c r="W110" s="134"/>
      <c r="X110" s="134"/>
      <c r="Y110" s="134"/>
      <c r="Z110" s="134"/>
      <c r="AA110" s="134"/>
      <c r="AB110" s="134"/>
      <c r="AC110" s="134"/>
      <c r="AD110" s="134"/>
      <c r="AE110" s="134"/>
      <c r="AF110" s="134"/>
      <c r="AG110" s="134"/>
      <c r="AH110" s="134"/>
    </row>
    <row r="111" spans="1:34" ht="14.5" thickBot="1">
      <c r="C111" s="135" t="s">
        <v>813</v>
      </c>
      <c r="D111" s="135" t="s">
        <v>813</v>
      </c>
      <c r="E111" s="136" t="s">
        <v>857</v>
      </c>
      <c r="F111" s="136" t="s">
        <v>857</v>
      </c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4"/>
      <c r="U111" s="134"/>
      <c r="V111" s="134"/>
      <c r="W111" s="134"/>
      <c r="X111" s="134"/>
      <c r="Y111" s="134"/>
      <c r="Z111" s="134"/>
      <c r="AA111" s="134"/>
      <c r="AB111" s="134"/>
      <c r="AC111" s="134"/>
      <c r="AD111" s="134"/>
      <c r="AE111" s="134"/>
      <c r="AF111" s="134"/>
      <c r="AG111" s="134"/>
      <c r="AH111" s="134"/>
    </row>
    <row r="112" spans="1:34">
      <c r="C112" s="137" t="s">
        <v>858</v>
      </c>
      <c r="D112" s="138" t="s">
        <v>859</v>
      </c>
      <c r="E112" s="137" t="s">
        <v>858</v>
      </c>
      <c r="F112" s="138" t="s">
        <v>859</v>
      </c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4"/>
      <c r="U112" s="134"/>
      <c r="V112" s="134"/>
      <c r="W112" s="134"/>
      <c r="X112" s="134"/>
      <c r="Y112" s="134"/>
      <c r="Z112" s="134"/>
      <c r="AA112" s="134"/>
      <c r="AB112" s="134"/>
      <c r="AC112" s="134"/>
      <c r="AD112" s="134"/>
      <c r="AE112" s="134"/>
      <c r="AF112" s="134"/>
      <c r="AG112" s="134"/>
      <c r="AH112" s="134"/>
    </row>
    <row r="113" spans="1:34" ht="14.5" thickBot="1">
      <c r="A113" s="139" t="s">
        <v>860</v>
      </c>
      <c r="B113" s="140" t="s">
        <v>861</v>
      </c>
      <c r="C113" s="206" t="s">
        <v>862</v>
      </c>
      <c r="D113" s="207" t="s">
        <v>863</v>
      </c>
      <c r="E113" s="206" t="s">
        <v>862</v>
      </c>
      <c r="F113" s="207" t="s">
        <v>863</v>
      </c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4"/>
      <c r="U113" s="134"/>
      <c r="V113" s="134"/>
      <c r="W113" s="134"/>
      <c r="X113" s="134"/>
      <c r="Y113" s="134"/>
      <c r="Z113" s="134"/>
      <c r="AA113" s="134"/>
      <c r="AB113" s="134"/>
      <c r="AC113" s="134"/>
      <c r="AD113" s="134"/>
      <c r="AE113" s="134"/>
      <c r="AF113" s="134"/>
      <c r="AG113" s="134"/>
      <c r="AH113" s="134"/>
    </row>
    <row r="114" spans="1:34">
      <c r="A114" s="145">
        <v>20</v>
      </c>
      <c r="B114" s="146" t="s">
        <v>878</v>
      </c>
      <c r="C114" s="188">
        <v>0.54</v>
      </c>
      <c r="D114" s="189">
        <v>0.85</v>
      </c>
      <c r="E114" s="188">
        <v>3.6826241134751698</v>
      </c>
      <c r="F114" s="189">
        <v>13.95</v>
      </c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4"/>
      <c r="U114" s="134"/>
      <c r="V114" s="134"/>
      <c r="W114" s="134"/>
      <c r="X114" s="134"/>
      <c r="Y114" s="134"/>
      <c r="Z114" s="134"/>
      <c r="AA114" s="134"/>
      <c r="AB114" s="134"/>
      <c r="AC114" s="134"/>
      <c r="AD114" s="134"/>
      <c r="AE114" s="134"/>
      <c r="AF114" s="134"/>
      <c r="AG114" s="134"/>
      <c r="AH114" s="134"/>
    </row>
    <row r="115" spans="1:34">
      <c r="A115" s="151"/>
      <c r="B115" s="152"/>
      <c r="C115" s="188">
        <v>1.08067375886524</v>
      </c>
      <c r="D115" s="189">
        <v>1.35</v>
      </c>
      <c r="E115" s="188">
        <v>4.19237588652482</v>
      </c>
      <c r="F115" s="189">
        <v>7.55</v>
      </c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4"/>
      <c r="U115" s="134"/>
      <c r="V115" s="134"/>
      <c r="W115" s="134"/>
      <c r="X115" s="134"/>
      <c r="Y115" s="134"/>
      <c r="Z115" s="134"/>
      <c r="AA115" s="134"/>
      <c r="AB115" s="134"/>
      <c r="AC115" s="134"/>
      <c r="AD115" s="134"/>
      <c r="AE115" s="134"/>
      <c r="AF115" s="134"/>
      <c r="AG115" s="134"/>
      <c r="AH115" s="134"/>
    </row>
    <row r="116" spans="1:34">
      <c r="A116" s="151"/>
      <c r="B116" s="152"/>
      <c r="C116" s="188">
        <v>1.6</v>
      </c>
      <c r="D116" s="189">
        <v>1.85</v>
      </c>
      <c r="E116" s="188">
        <v>4.6932624113475097</v>
      </c>
      <c r="F116" s="189">
        <v>4.3</v>
      </c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  <c r="AA116" s="134"/>
      <c r="AB116" s="134"/>
      <c r="AC116" s="134"/>
      <c r="AD116" s="134"/>
      <c r="AE116" s="134"/>
      <c r="AF116" s="134"/>
      <c r="AG116" s="134"/>
      <c r="AH116" s="134"/>
    </row>
    <row r="117" spans="1:34">
      <c r="A117" s="151"/>
      <c r="B117" s="152"/>
      <c r="C117" s="188">
        <v>2.1312056737588598</v>
      </c>
      <c r="D117" s="189">
        <v>2.85</v>
      </c>
      <c r="E117" s="188">
        <v>5.1985815602836798</v>
      </c>
      <c r="F117" s="189">
        <v>3.2980332829046901</v>
      </c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4"/>
      <c r="AD117" s="134"/>
      <c r="AE117" s="134"/>
      <c r="AF117" s="134"/>
      <c r="AG117" s="134"/>
      <c r="AH117" s="134"/>
    </row>
    <row r="118" spans="1:34">
      <c r="A118" s="151"/>
      <c r="B118" s="152"/>
      <c r="C118" s="188">
        <v>2.65868794326241</v>
      </c>
      <c r="D118" s="189">
        <v>3.7</v>
      </c>
      <c r="E118" s="216"/>
      <c r="F118" s="217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  <c r="W118" s="134"/>
      <c r="X118" s="134"/>
      <c r="Y118" s="134"/>
      <c r="Z118" s="134"/>
      <c r="AA118" s="134"/>
      <c r="AB118" s="134"/>
      <c r="AC118" s="134"/>
      <c r="AD118" s="134"/>
      <c r="AE118" s="134"/>
      <c r="AF118" s="134"/>
      <c r="AG118" s="134"/>
      <c r="AH118" s="134"/>
    </row>
    <row r="119" spans="1:34">
      <c r="A119" s="151"/>
      <c r="B119" s="152"/>
      <c r="C119" s="188">
        <v>3.1749999999999998</v>
      </c>
      <c r="D119" s="189">
        <v>6.05</v>
      </c>
      <c r="E119" s="216"/>
      <c r="F119" s="217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4"/>
      <c r="U119" s="134"/>
      <c r="V119" s="134"/>
      <c r="W119" s="134"/>
      <c r="X119" s="134"/>
      <c r="Y119" s="134"/>
      <c r="Z119" s="134"/>
      <c r="AA119" s="134"/>
      <c r="AB119" s="134"/>
      <c r="AC119" s="134"/>
      <c r="AD119" s="134"/>
      <c r="AE119" s="134"/>
      <c r="AF119" s="134"/>
      <c r="AG119" s="134"/>
      <c r="AH119" s="134"/>
    </row>
    <row r="120" spans="1:34">
      <c r="A120" s="151"/>
      <c r="B120" s="152"/>
      <c r="C120" s="188">
        <v>3.6870567375886498</v>
      </c>
      <c r="D120" s="189">
        <v>8.65</v>
      </c>
      <c r="E120" s="216"/>
      <c r="F120" s="217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  <c r="W120" s="134"/>
      <c r="X120" s="134"/>
      <c r="Y120" s="134"/>
      <c r="Z120" s="134"/>
      <c r="AA120" s="134"/>
      <c r="AB120" s="134"/>
      <c r="AC120" s="134"/>
      <c r="AD120" s="134"/>
      <c r="AE120" s="134"/>
      <c r="AF120" s="134"/>
      <c r="AG120" s="134"/>
      <c r="AH120" s="134"/>
    </row>
    <row r="121" spans="1:34">
      <c r="A121" s="151"/>
      <c r="B121" s="152"/>
      <c r="C121" s="188">
        <v>4.19237588652482</v>
      </c>
      <c r="D121" s="189">
        <v>10.9</v>
      </c>
      <c r="E121" s="216"/>
      <c r="F121" s="217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4"/>
      <c r="U121" s="134"/>
      <c r="V121" s="134"/>
      <c r="W121" s="134"/>
      <c r="X121" s="134"/>
      <c r="Y121" s="134"/>
      <c r="Z121" s="134"/>
      <c r="AA121" s="134"/>
      <c r="AB121" s="134"/>
      <c r="AC121" s="134"/>
      <c r="AD121" s="134"/>
      <c r="AE121" s="134"/>
      <c r="AF121" s="134"/>
      <c r="AG121" s="134"/>
      <c r="AH121" s="134"/>
    </row>
    <row r="122" spans="1:34">
      <c r="A122" s="151"/>
      <c r="B122" s="152"/>
      <c r="C122" s="188">
        <v>4.6843971631205603</v>
      </c>
      <c r="D122" s="189">
        <v>16.350000000000001</v>
      </c>
      <c r="E122" s="216"/>
      <c r="F122" s="217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4"/>
      <c r="U122" s="134"/>
      <c r="V122" s="134"/>
      <c r="W122" s="134"/>
      <c r="X122" s="134"/>
      <c r="Y122" s="134"/>
      <c r="Z122" s="134"/>
      <c r="AA122" s="134"/>
      <c r="AB122" s="134"/>
      <c r="AC122" s="134"/>
      <c r="AD122" s="134"/>
      <c r="AE122" s="134"/>
      <c r="AF122" s="134"/>
      <c r="AG122" s="134"/>
      <c r="AH122" s="134"/>
    </row>
    <row r="123" spans="1:34" ht="14.5" thickBot="1">
      <c r="A123" s="160"/>
      <c r="B123" s="161"/>
      <c r="C123" s="184"/>
      <c r="D123" s="183"/>
      <c r="E123" s="220"/>
      <c r="F123" s="221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4"/>
      <c r="U123" s="134"/>
      <c r="V123" s="134"/>
      <c r="W123" s="134"/>
      <c r="X123" s="134"/>
      <c r="Y123" s="134"/>
      <c r="Z123" s="134"/>
      <c r="AA123" s="134"/>
      <c r="AB123" s="134"/>
      <c r="AC123" s="134"/>
      <c r="AD123" s="134"/>
      <c r="AE123" s="134"/>
      <c r="AF123" s="134"/>
      <c r="AG123" s="134"/>
      <c r="AH123" s="134"/>
    </row>
    <row r="124" spans="1:34"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4"/>
      <c r="U124" s="134"/>
      <c r="V124" s="134"/>
      <c r="W124" s="134"/>
      <c r="X124" s="134"/>
      <c r="Y124" s="134"/>
      <c r="Z124" s="134"/>
      <c r="AA124" s="134"/>
      <c r="AB124" s="134"/>
      <c r="AC124" s="134"/>
      <c r="AD124" s="134"/>
      <c r="AE124" s="134"/>
      <c r="AF124" s="134"/>
      <c r="AG124" s="134"/>
      <c r="AH124" s="134"/>
    </row>
    <row r="125" spans="1:34"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  <c r="W125" s="134"/>
      <c r="X125" s="134"/>
      <c r="Y125" s="134"/>
      <c r="Z125" s="134"/>
      <c r="AA125" s="134"/>
      <c r="AB125" s="134"/>
      <c r="AC125" s="134"/>
      <c r="AD125" s="134"/>
      <c r="AE125" s="134"/>
      <c r="AF125" s="134"/>
      <c r="AG125" s="134"/>
      <c r="AH125" s="134"/>
    </row>
    <row r="126" spans="1:34">
      <c r="A126" s="131"/>
      <c r="B126" s="131"/>
      <c r="C126" s="132" t="s">
        <v>879</v>
      </c>
      <c r="D126" s="131"/>
      <c r="E126" s="131"/>
      <c r="F126" s="186" t="s">
        <v>870</v>
      </c>
      <c r="G126" s="134"/>
      <c r="H126" s="134"/>
      <c r="I126" s="134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34"/>
      <c r="U126" s="134"/>
      <c r="V126" s="134"/>
      <c r="W126" s="134"/>
      <c r="X126" s="134"/>
      <c r="Y126" s="134"/>
      <c r="Z126" s="134"/>
      <c r="AA126" s="134"/>
      <c r="AB126" s="134"/>
      <c r="AC126" s="134"/>
      <c r="AD126" s="134"/>
      <c r="AE126" s="134"/>
      <c r="AF126" s="134"/>
      <c r="AG126" s="134"/>
      <c r="AH126" s="134"/>
    </row>
    <row r="127" spans="1:34">
      <c r="C127" s="133" t="s">
        <v>856</v>
      </c>
      <c r="D127" s="133" t="s">
        <v>856</v>
      </c>
      <c r="G127" s="134"/>
      <c r="H127" s="134"/>
      <c r="I127" s="134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34"/>
      <c r="U127" s="134"/>
      <c r="V127" s="134"/>
      <c r="W127" s="134"/>
      <c r="X127" s="134"/>
      <c r="Y127" s="134"/>
      <c r="Z127" s="134"/>
      <c r="AA127" s="134"/>
      <c r="AB127" s="134"/>
      <c r="AC127" s="134"/>
      <c r="AD127" s="134"/>
      <c r="AE127" s="134"/>
      <c r="AF127" s="134"/>
      <c r="AG127" s="134"/>
      <c r="AH127" s="134"/>
    </row>
    <row r="128" spans="1:34" ht="14.5" thickBot="1">
      <c r="C128" s="135" t="s">
        <v>813</v>
      </c>
      <c r="D128" s="135" t="s">
        <v>813</v>
      </c>
      <c r="E128" s="136" t="s">
        <v>857</v>
      </c>
      <c r="F128" s="136" t="s">
        <v>857</v>
      </c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34"/>
      <c r="U128" s="134"/>
      <c r="V128" s="134"/>
      <c r="W128" s="134"/>
      <c r="X128" s="134"/>
      <c r="Y128" s="134"/>
      <c r="Z128" s="134"/>
      <c r="AA128" s="134"/>
      <c r="AB128" s="134"/>
      <c r="AC128" s="134"/>
      <c r="AD128" s="134"/>
      <c r="AE128" s="134"/>
      <c r="AF128" s="134"/>
      <c r="AG128" s="134"/>
      <c r="AH128" s="134"/>
    </row>
    <row r="129" spans="1:34">
      <c r="C129" s="137" t="s">
        <v>858</v>
      </c>
      <c r="D129" s="138" t="s">
        <v>859</v>
      </c>
      <c r="E129" s="137" t="s">
        <v>858</v>
      </c>
      <c r="F129" s="138" t="s">
        <v>859</v>
      </c>
      <c r="G129" s="134"/>
      <c r="H129" s="134"/>
      <c r="I129" s="134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34"/>
      <c r="U129" s="134"/>
      <c r="V129" s="134"/>
      <c r="W129" s="134"/>
      <c r="X129" s="134"/>
      <c r="Y129" s="134"/>
      <c r="Z129" s="134"/>
      <c r="AA129" s="134"/>
      <c r="AB129" s="134"/>
      <c r="AC129" s="134"/>
      <c r="AD129" s="134"/>
      <c r="AE129" s="134"/>
      <c r="AF129" s="134"/>
      <c r="AG129" s="134"/>
      <c r="AH129" s="134"/>
    </row>
    <row r="130" spans="1:34" ht="14.5" thickBot="1">
      <c r="A130" s="139" t="s">
        <v>860</v>
      </c>
      <c r="B130" s="140" t="s">
        <v>861</v>
      </c>
      <c r="C130" s="206" t="s">
        <v>862</v>
      </c>
      <c r="D130" s="207" t="s">
        <v>863</v>
      </c>
      <c r="E130" s="206" t="s">
        <v>862</v>
      </c>
      <c r="F130" s="207" t="s">
        <v>863</v>
      </c>
      <c r="G130" s="134"/>
      <c r="H130" s="134"/>
      <c r="I130" s="134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34"/>
      <c r="U130" s="134"/>
      <c r="V130" s="134"/>
      <c r="W130" s="134"/>
      <c r="X130" s="134"/>
      <c r="Y130" s="134"/>
      <c r="Z130" s="134"/>
      <c r="AA130" s="134"/>
      <c r="AB130" s="134"/>
      <c r="AC130" s="134"/>
      <c r="AD130" s="134"/>
      <c r="AE130" s="134"/>
      <c r="AF130" s="134"/>
      <c r="AG130" s="134"/>
      <c r="AH130" s="134"/>
    </row>
    <row r="131" spans="1:34">
      <c r="A131" s="145">
        <v>21</v>
      </c>
      <c r="B131" s="146" t="s">
        <v>880</v>
      </c>
      <c r="C131" s="188">
        <v>0.54155124653739595</v>
      </c>
      <c r="D131" s="189">
        <v>0.91051805337519598</v>
      </c>
      <c r="E131" s="188">
        <v>3.1777469990766298</v>
      </c>
      <c r="F131" s="189">
        <v>6.7</v>
      </c>
      <c r="G131" s="134"/>
      <c r="H131" s="134"/>
      <c r="I131" s="134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34"/>
      <c r="U131" s="134"/>
      <c r="V131" s="134"/>
      <c r="W131" s="134"/>
      <c r="X131" s="134"/>
      <c r="Y131" s="134"/>
      <c r="Z131" s="134"/>
      <c r="AA131" s="134"/>
      <c r="AB131" s="134"/>
      <c r="AC131" s="134"/>
      <c r="AD131" s="134"/>
      <c r="AE131" s="134"/>
      <c r="AF131" s="134"/>
      <c r="AG131" s="134"/>
      <c r="AH131" s="134"/>
    </row>
    <row r="132" spans="1:34">
      <c r="A132" s="151"/>
      <c r="B132" s="152"/>
      <c r="C132" s="188">
        <v>1.0817174515235399</v>
      </c>
      <c r="D132" s="189">
        <v>1.8838304552590199</v>
      </c>
      <c r="E132" s="188">
        <v>3.6902123730378502</v>
      </c>
      <c r="F132" s="189">
        <v>4.3642072213500702</v>
      </c>
      <c r="G132" s="134"/>
      <c r="H132" s="134"/>
      <c r="I132" s="134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34"/>
      <c r="U132" s="134"/>
      <c r="V132" s="134"/>
      <c r="W132" s="134"/>
      <c r="X132" s="134"/>
      <c r="Y132" s="134"/>
      <c r="Z132" s="134"/>
      <c r="AA132" s="134"/>
      <c r="AB132" s="134"/>
      <c r="AC132" s="134"/>
      <c r="AD132" s="134"/>
      <c r="AE132" s="134"/>
      <c r="AF132" s="134"/>
      <c r="AG132" s="134"/>
      <c r="AH132" s="134"/>
    </row>
    <row r="133" spans="1:34">
      <c r="A133" s="151"/>
      <c r="B133" s="152"/>
      <c r="C133" s="188">
        <v>1.61265004616805</v>
      </c>
      <c r="D133" s="189">
        <v>2.8257456828885399</v>
      </c>
      <c r="E133" s="188">
        <v>4.19806094182825</v>
      </c>
      <c r="F133" s="189">
        <v>1.9780219780219701</v>
      </c>
      <c r="G133" s="134"/>
      <c r="H133" s="134"/>
      <c r="I133" s="134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34"/>
      <c r="AC133" s="134"/>
      <c r="AD133" s="134"/>
      <c r="AE133" s="134"/>
      <c r="AF133" s="134"/>
      <c r="AG133" s="134"/>
      <c r="AH133" s="134"/>
    </row>
    <row r="134" spans="1:34">
      <c r="A134" s="151"/>
      <c r="B134" s="152"/>
      <c r="C134" s="188">
        <v>2.1343490304709101</v>
      </c>
      <c r="D134" s="189">
        <v>3.7990580847723701</v>
      </c>
      <c r="E134" s="188">
        <v>4.6966759002770004</v>
      </c>
      <c r="F134" s="189">
        <v>0.97331240188382995</v>
      </c>
      <c r="G134" s="134"/>
      <c r="H134" s="134"/>
      <c r="I134" s="134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34"/>
      <c r="AC134" s="134"/>
      <c r="AD134" s="134"/>
      <c r="AE134" s="134"/>
      <c r="AF134" s="134"/>
      <c r="AG134" s="134"/>
      <c r="AH134" s="134"/>
    </row>
    <row r="135" spans="1:34">
      <c r="A135" s="151"/>
      <c r="B135" s="152"/>
      <c r="C135" s="188">
        <v>2.6560480147737699</v>
      </c>
      <c r="D135" s="189">
        <v>9.8000000000000007</v>
      </c>
      <c r="E135" s="188">
        <v>5.19990766389658</v>
      </c>
      <c r="F135" s="189">
        <v>0.439560439560439</v>
      </c>
      <c r="G135" s="134"/>
      <c r="H135" s="134"/>
      <c r="I135" s="134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34"/>
      <c r="AC135" s="134"/>
      <c r="AD135" s="134"/>
      <c r="AE135" s="134"/>
      <c r="AF135" s="134"/>
      <c r="AG135" s="134"/>
      <c r="AH135" s="134"/>
    </row>
    <row r="136" spans="1:34">
      <c r="A136" s="151"/>
      <c r="B136" s="152"/>
      <c r="C136" s="211"/>
      <c r="D136" s="212"/>
      <c r="E136" s="190"/>
      <c r="F136" s="191"/>
      <c r="G136" s="134"/>
      <c r="H136" s="134"/>
      <c r="I136" s="134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34"/>
      <c r="U136" s="134"/>
      <c r="V136" s="134"/>
      <c r="W136" s="134"/>
      <c r="X136" s="134"/>
      <c r="Y136" s="134"/>
      <c r="Z136" s="134"/>
      <c r="AA136" s="134"/>
      <c r="AB136" s="134"/>
      <c r="AC136" s="134"/>
      <c r="AD136" s="134"/>
      <c r="AE136" s="134"/>
      <c r="AF136" s="134"/>
      <c r="AG136" s="134"/>
      <c r="AH136" s="134"/>
    </row>
    <row r="137" spans="1:34">
      <c r="A137" s="151"/>
      <c r="B137" s="152"/>
      <c r="C137" s="211"/>
      <c r="D137" s="212"/>
      <c r="E137" s="190"/>
      <c r="F137" s="191"/>
      <c r="G137" s="134"/>
      <c r="H137" s="134"/>
      <c r="I137" s="134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34"/>
      <c r="U137" s="134"/>
      <c r="V137" s="134"/>
      <c r="W137" s="134"/>
      <c r="X137" s="134"/>
      <c r="Y137" s="134"/>
      <c r="Z137" s="134"/>
      <c r="AA137" s="134"/>
      <c r="AB137" s="134"/>
      <c r="AC137" s="134"/>
      <c r="AD137" s="134"/>
      <c r="AE137" s="134"/>
      <c r="AF137" s="134"/>
      <c r="AG137" s="134"/>
      <c r="AH137" s="134"/>
    </row>
    <row r="138" spans="1:34">
      <c r="A138" s="151"/>
      <c r="B138" s="152"/>
      <c r="C138" s="179"/>
      <c r="D138" s="180"/>
      <c r="E138" s="190"/>
      <c r="F138" s="191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4"/>
      <c r="U138" s="134"/>
      <c r="V138" s="134"/>
      <c r="W138" s="134"/>
      <c r="X138" s="134"/>
      <c r="Y138" s="134"/>
      <c r="Z138" s="134"/>
      <c r="AA138" s="134"/>
      <c r="AB138" s="134"/>
      <c r="AC138" s="134"/>
      <c r="AD138" s="134"/>
      <c r="AE138" s="134"/>
      <c r="AF138" s="134"/>
      <c r="AG138" s="134"/>
      <c r="AH138" s="134"/>
    </row>
    <row r="139" spans="1:34">
      <c r="A139" s="151"/>
      <c r="B139" s="152"/>
      <c r="C139" s="179"/>
      <c r="D139" s="180"/>
      <c r="E139" s="190"/>
      <c r="F139" s="191"/>
      <c r="G139" s="134"/>
      <c r="H139" s="134"/>
      <c r="I139" s="134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34"/>
      <c r="U139" s="134"/>
      <c r="V139" s="134"/>
      <c r="W139" s="134"/>
      <c r="X139" s="134"/>
      <c r="Y139" s="134"/>
      <c r="Z139" s="134"/>
      <c r="AA139" s="134"/>
      <c r="AB139" s="134"/>
      <c r="AC139" s="134"/>
      <c r="AD139" s="134"/>
      <c r="AE139" s="134"/>
      <c r="AF139" s="134"/>
      <c r="AG139" s="134"/>
      <c r="AH139" s="134"/>
    </row>
    <row r="140" spans="1:34" ht="14.5" thickBot="1">
      <c r="A140" s="160"/>
      <c r="B140" s="161"/>
      <c r="C140" s="182"/>
      <c r="D140" s="183"/>
      <c r="E140" s="184"/>
      <c r="F140" s="183"/>
      <c r="G140" s="134"/>
      <c r="H140" s="134"/>
      <c r="I140" s="134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34"/>
      <c r="U140" s="134"/>
      <c r="V140" s="134"/>
      <c r="W140" s="134"/>
      <c r="X140" s="134"/>
      <c r="Y140" s="134"/>
      <c r="Z140" s="134"/>
      <c r="AA140" s="134"/>
      <c r="AB140" s="134"/>
      <c r="AC140" s="134"/>
      <c r="AD140" s="134"/>
      <c r="AE140" s="134"/>
      <c r="AF140" s="134"/>
      <c r="AG140" s="134"/>
      <c r="AH140" s="134"/>
    </row>
    <row r="141" spans="1:34">
      <c r="G141" s="134"/>
      <c r="H141" s="134"/>
      <c r="I141" s="134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34"/>
      <c r="U141" s="134"/>
      <c r="V141" s="134"/>
      <c r="W141" s="134"/>
      <c r="X141" s="134"/>
      <c r="Y141" s="134"/>
      <c r="Z141" s="134"/>
      <c r="AA141" s="134"/>
      <c r="AB141" s="134"/>
      <c r="AC141" s="134"/>
      <c r="AD141" s="134"/>
      <c r="AE141" s="134"/>
      <c r="AF141" s="134"/>
      <c r="AG141" s="134"/>
      <c r="AH141" s="134"/>
    </row>
    <row r="142" spans="1:34">
      <c r="G142" s="134"/>
      <c r="H142" s="134"/>
      <c r="I142" s="134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34"/>
      <c r="U142" s="134"/>
      <c r="V142" s="134"/>
      <c r="W142" s="134"/>
      <c r="X142" s="134"/>
      <c r="Y142" s="134"/>
      <c r="Z142" s="134"/>
      <c r="AA142" s="134"/>
      <c r="AB142" s="134"/>
      <c r="AC142" s="134"/>
      <c r="AD142" s="134"/>
      <c r="AE142" s="134"/>
      <c r="AF142" s="134"/>
      <c r="AG142" s="134"/>
      <c r="AH142" s="134"/>
    </row>
    <row r="143" spans="1:34">
      <c r="A143" s="131"/>
      <c r="B143" s="131"/>
      <c r="C143" s="132" t="s">
        <v>881</v>
      </c>
      <c r="D143" s="131"/>
      <c r="E143" s="131"/>
      <c r="F143" s="186" t="s">
        <v>870</v>
      </c>
      <c r="G143" s="134"/>
      <c r="H143" s="134"/>
      <c r="I143" s="134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34"/>
      <c r="U143" s="134"/>
      <c r="V143" s="134"/>
      <c r="W143" s="134"/>
      <c r="X143" s="134"/>
      <c r="Y143" s="134"/>
      <c r="Z143" s="134"/>
      <c r="AA143" s="134"/>
      <c r="AB143" s="134"/>
      <c r="AC143" s="134"/>
      <c r="AD143" s="134"/>
      <c r="AE143" s="134"/>
      <c r="AF143" s="134"/>
      <c r="AG143" s="134"/>
      <c r="AH143" s="134"/>
    </row>
    <row r="144" spans="1:34">
      <c r="C144" s="133" t="s">
        <v>856</v>
      </c>
      <c r="D144" s="133" t="s">
        <v>856</v>
      </c>
      <c r="G144" s="134"/>
      <c r="H144" s="134"/>
      <c r="I144" s="134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34"/>
      <c r="U144" s="134"/>
      <c r="V144" s="134"/>
      <c r="W144" s="134"/>
      <c r="X144" s="134"/>
      <c r="Y144" s="134"/>
      <c r="Z144" s="134"/>
      <c r="AA144" s="134"/>
      <c r="AB144" s="134"/>
      <c r="AC144" s="134"/>
      <c r="AD144" s="134"/>
      <c r="AE144" s="134"/>
      <c r="AF144" s="134"/>
      <c r="AG144" s="134"/>
      <c r="AH144" s="134"/>
    </row>
    <row r="145" spans="1:34" ht="14.5" thickBot="1">
      <c r="C145" s="135" t="s">
        <v>813</v>
      </c>
      <c r="D145" s="135" t="s">
        <v>813</v>
      </c>
      <c r="E145" s="136" t="s">
        <v>857</v>
      </c>
      <c r="F145" s="136" t="s">
        <v>857</v>
      </c>
      <c r="G145" s="134"/>
      <c r="H145" s="134"/>
      <c r="I145" s="134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34"/>
      <c r="U145" s="134"/>
      <c r="V145" s="134"/>
      <c r="W145" s="134"/>
      <c r="X145" s="134"/>
      <c r="Y145" s="134"/>
      <c r="Z145" s="134"/>
      <c r="AA145" s="134"/>
      <c r="AB145" s="134"/>
      <c r="AC145" s="134"/>
      <c r="AD145" s="134"/>
      <c r="AE145" s="134"/>
      <c r="AF145" s="134"/>
      <c r="AG145" s="134"/>
      <c r="AH145" s="134"/>
    </row>
    <row r="146" spans="1:34">
      <c r="C146" s="137" t="s">
        <v>858</v>
      </c>
      <c r="D146" s="213" t="s">
        <v>859</v>
      </c>
      <c r="E146" s="137" t="s">
        <v>858</v>
      </c>
      <c r="F146" s="138" t="s">
        <v>859</v>
      </c>
      <c r="G146" s="134"/>
      <c r="H146" s="134"/>
      <c r="I146" s="134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34"/>
      <c r="U146" s="134"/>
      <c r="V146" s="134"/>
      <c r="W146" s="134"/>
      <c r="X146" s="134"/>
      <c r="Y146" s="134"/>
      <c r="Z146" s="134"/>
      <c r="AA146" s="134"/>
      <c r="AB146" s="134"/>
      <c r="AC146" s="134"/>
      <c r="AD146" s="134"/>
      <c r="AE146" s="134"/>
      <c r="AF146" s="134"/>
      <c r="AG146" s="134"/>
      <c r="AH146" s="134"/>
    </row>
    <row r="147" spans="1:34" ht="14.5" thickBot="1">
      <c r="A147" s="139" t="s">
        <v>860</v>
      </c>
      <c r="B147" s="140" t="s">
        <v>861</v>
      </c>
      <c r="C147" s="206" t="s">
        <v>862</v>
      </c>
      <c r="D147" s="222" t="s">
        <v>863</v>
      </c>
      <c r="E147" s="206" t="s">
        <v>862</v>
      </c>
      <c r="F147" s="207" t="s">
        <v>863</v>
      </c>
      <c r="G147" s="134"/>
      <c r="H147" s="134"/>
      <c r="I147" s="134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34"/>
      <c r="U147" s="134"/>
      <c r="V147" s="134"/>
      <c r="W147" s="134"/>
      <c r="X147" s="134"/>
      <c r="Y147" s="134"/>
      <c r="Z147" s="134"/>
      <c r="AA147" s="134"/>
      <c r="AB147" s="134"/>
      <c r="AC147" s="134"/>
      <c r="AD147" s="134"/>
      <c r="AE147" s="134"/>
      <c r="AF147" s="134"/>
      <c r="AG147" s="134"/>
      <c r="AH147" s="134"/>
    </row>
    <row r="148" spans="1:34">
      <c r="A148" s="145">
        <v>21</v>
      </c>
      <c r="B148" s="146" t="s">
        <v>882</v>
      </c>
      <c r="C148" s="215">
        <v>0.53500000000000003</v>
      </c>
      <c r="D148" s="215">
        <v>0.95</v>
      </c>
      <c r="E148" s="188">
        <v>2.65</v>
      </c>
      <c r="F148" s="189">
        <v>19.05</v>
      </c>
      <c r="G148" s="134"/>
      <c r="H148" s="134"/>
      <c r="I148" s="134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34"/>
      <c r="U148" s="134"/>
      <c r="V148" s="134"/>
      <c r="W148" s="134"/>
      <c r="X148" s="134"/>
      <c r="Y148" s="134"/>
      <c r="Z148" s="134"/>
      <c r="AA148" s="134"/>
      <c r="AB148" s="134"/>
      <c r="AC148" s="134"/>
      <c r="AD148" s="134"/>
      <c r="AE148" s="134"/>
      <c r="AF148" s="134"/>
      <c r="AG148" s="134"/>
      <c r="AH148" s="134"/>
    </row>
    <row r="149" spans="1:34">
      <c r="A149" s="151"/>
      <c r="B149" s="152"/>
      <c r="C149" s="215">
        <v>1.075</v>
      </c>
      <c r="D149" s="215">
        <v>1.4</v>
      </c>
      <c r="E149" s="188">
        <v>3.1718606779999998</v>
      </c>
      <c r="F149" s="189">
        <v>11.1</v>
      </c>
      <c r="G149" s="134"/>
      <c r="H149" s="134"/>
      <c r="I149" s="134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34"/>
      <c r="U149" s="134"/>
      <c r="V149" s="134"/>
      <c r="W149" s="134"/>
      <c r="X149" s="134"/>
      <c r="Y149" s="134"/>
      <c r="Z149" s="134"/>
      <c r="AA149" s="134"/>
      <c r="AB149" s="134"/>
      <c r="AC149" s="134"/>
      <c r="AD149" s="134"/>
      <c r="AE149" s="134"/>
      <c r="AF149" s="134"/>
      <c r="AG149" s="134"/>
      <c r="AH149" s="134"/>
    </row>
    <row r="150" spans="1:34">
      <c r="A150" s="151"/>
      <c r="B150" s="152"/>
      <c r="C150" s="215">
        <v>1.6</v>
      </c>
      <c r="D150" s="215">
        <v>2.8125</v>
      </c>
      <c r="E150" s="190"/>
      <c r="F150" s="191"/>
      <c r="G150" s="134"/>
      <c r="H150" s="134"/>
      <c r="I150" s="134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34"/>
      <c r="U150" s="134"/>
      <c r="V150" s="134"/>
      <c r="W150" s="134"/>
      <c r="X150" s="134"/>
      <c r="Y150" s="134"/>
      <c r="Z150" s="134"/>
      <c r="AA150" s="134"/>
      <c r="AB150" s="134"/>
      <c r="AC150" s="134"/>
      <c r="AD150" s="134"/>
      <c r="AE150" s="134"/>
      <c r="AF150" s="134"/>
      <c r="AG150" s="134"/>
      <c r="AH150" s="134"/>
    </row>
    <row r="151" spans="1:34">
      <c r="A151" s="151"/>
      <c r="B151" s="152"/>
      <c r="C151" s="215">
        <v>2.13</v>
      </c>
      <c r="D151" s="215">
        <v>2.4500000000000002</v>
      </c>
      <c r="E151" s="190"/>
      <c r="F151" s="191"/>
      <c r="G151" s="134"/>
      <c r="H151" s="134"/>
      <c r="I151" s="134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34"/>
      <c r="U151" s="134"/>
      <c r="V151" s="134"/>
      <c r="W151" s="134"/>
      <c r="X151" s="134"/>
      <c r="Y151" s="134"/>
      <c r="Z151" s="134"/>
      <c r="AA151" s="134"/>
      <c r="AB151" s="134"/>
      <c r="AC151" s="134"/>
      <c r="AD151" s="134"/>
      <c r="AE151" s="134"/>
      <c r="AF151" s="134"/>
      <c r="AG151" s="134"/>
      <c r="AH151" s="134"/>
    </row>
    <row r="152" spans="1:34">
      <c r="A152" s="151"/>
      <c r="B152" s="152"/>
      <c r="C152" s="215">
        <v>2.6494042163153</v>
      </c>
      <c r="D152" s="215">
        <v>7.1</v>
      </c>
      <c r="E152" s="190"/>
      <c r="F152" s="191"/>
      <c r="G152" s="134"/>
      <c r="H152" s="134"/>
      <c r="I152" s="134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34"/>
      <c r="U152" s="134"/>
      <c r="V152" s="134"/>
      <c r="W152" s="134"/>
      <c r="X152" s="134"/>
      <c r="Y152" s="134"/>
      <c r="Z152" s="134"/>
      <c r="AA152" s="134"/>
      <c r="AB152" s="134"/>
      <c r="AC152" s="134"/>
      <c r="AD152" s="134"/>
      <c r="AE152" s="134"/>
      <c r="AF152" s="134"/>
      <c r="AG152" s="134"/>
      <c r="AH152" s="134"/>
    </row>
    <row r="153" spans="1:34">
      <c r="A153" s="151"/>
      <c r="B153" s="152"/>
      <c r="C153" s="215">
        <v>3.17186067827681</v>
      </c>
      <c r="D153" s="215">
        <v>14.45</v>
      </c>
      <c r="E153" s="190"/>
      <c r="F153" s="191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34"/>
      <c r="U153" s="134"/>
      <c r="V153" s="134"/>
      <c r="W153" s="134"/>
      <c r="X153" s="134"/>
      <c r="Y153" s="134"/>
      <c r="Z153" s="134"/>
      <c r="AA153" s="134"/>
      <c r="AB153" s="134"/>
      <c r="AC153" s="134"/>
      <c r="AD153" s="134"/>
      <c r="AE153" s="134"/>
      <c r="AF153" s="134"/>
      <c r="AG153" s="134"/>
      <c r="AH153" s="134"/>
    </row>
    <row r="154" spans="1:34">
      <c r="A154" s="151"/>
      <c r="C154" s="218"/>
      <c r="D154" s="218"/>
      <c r="E154" s="190"/>
      <c r="F154" s="191"/>
      <c r="G154" s="134"/>
      <c r="H154" s="134"/>
      <c r="I154" s="134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34"/>
      <c r="U154" s="134"/>
      <c r="V154" s="134"/>
      <c r="W154" s="134"/>
      <c r="X154" s="134"/>
      <c r="Y154" s="134"/>
      <c r="Z154" s="134"/>
      <c r="AA154" s="134"/>
      <c r="AB154" s="134"/>
      <c r="AC154" s="134"/>
      <c r="AD154" s="134"/>
      <c r="AE154" s="134"/>
      <c r="AF154" s="134"/>
      <c r="AG154" s="134"/>
      <c r="AH154" s="134"/>
    </row>
    <row r="155" spans="1:34">
      <c r="A155" s="151"/>
      <c r="C155" s="223"/>
      <c r="D155" s="223"/>
      <c r="E155" s="190"/>
      <c r="F155" s="191"/>
      <c r="G155" s="134"/>
      <c r="H155" s="134"/>
      <c r="I155" s="134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34"/>
      <c r="U155" s="134"/>
      <c r="V155" s="134"/>
      <c r="W155" s="134"/>
      <c r="X155" s="134"/>
      <c r="Y155" s="134"/>
      <c r="Z155" s="134"/>
      <c r="AA155" s="134"/>
      <c r="AB155" s="134"/>
      <c r="AC155" s="134"/>
      <c r="AD155" s="134"/>
      <c r="AE155" s="134"/>
      <c r="AF155" s="134"/>
      <c r="AG155" s="134"/>
      <c r="AH155" s="134"/>
    </row>
    <row r="156" spans="1:34">
      <c r="A156" s="151"/>
      <c r="B156" s="152"/>
      <c r="C156" s="179"/>
      <c r="D156" s="218"/>
      <c r="E156" s="190"/>
      <c r="F156" s="191"/>
      <c r="G156" s="134"/>
      <c r="H156" s="134"/>
      <c r="I156" s="134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34"/>
      <c r="U156" s="134"/>
      <c r="V156" s="134"/>
      <c r="W156" s="134"/>
      <c r="X156" s="134"/>
      <c r="Y156" s="134"/>
      <c r="Z156" s="134"/>
      <c r="AA156" s="134"/>
      <c r="AB156" s="134"/>
      <c r="AC156" s="134"/>
      <c r="AD156" s="134"/>
      <c r="AE156" s="134"/>
      <c r="AF156" s="134"/>
      <c r="AG156" s="134"/>
      <c r="AH156" s="134"/>
    </row>
    <row r="157" spans="1:34" ht="14.5" thickBot="1">
      <c r="A157" s="160"/>
      <c r="B157" s="161"/>
      <c r="C157" s="182"/>
      <c r="D157" s="219"/>
      <c r="E157" s="184"/>
      <c r="F157" s="183"/>
      <c r="G157" s="134"/>
      <c r="H157" s="134"/>
      <c r="I157" s="134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34"/>
      <c r="U157" s="134"/>
      <c r="V157" s="134"/>
      <c r="W157" s="134"/>
      <c r="X157" s="134"/>
      <c r="Y157" s="134"/>
      <c r="Z157" s="134"/>
      <c r="AA157" s="134"/>
      <c r="AB157" s="134"/>
      <c r="AC157" s="134"/>
      <c r="AD157" s="134"/>
      <c r="AE157" s="134"/>
      <c r="AF157" s="134"/>
      <c r="AG157" s="134"/>
      <c r="AH157" s="134"/>
    </row>
    <row r="158" spans="1:34">
      <c r="G158" s="134"/>
      <c r="H158" s="134"/>
      <c r="I158" s="134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34"/>
      <c r="U158" s="134"/>
      <c r="V158" s="134"/>
      <c r="W158" s="134"/>
      <c r="X158" s="134"/>
      <c r="Y158" s="134"/>
      <c r="Z158" s="134"/>
      <c r="AA158" s="134"/>
      <c r="AB158" s="134"/>
      <c r="AC158" s="134"/>
      <c r="AD158" s="134"/>
      <c r="AE158" s="134"/>
      <c r="AF158" s="134"/>
      <c r="AG158" s="134"/>
      <c r="AH158" s="134"/>
    </row>
    <row r="159" spans="1:34"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  <c r="AA159" s="134"/>
      <c r="AB159" s="134"/>
      <c r="AC159" s="134"/>
      <c r="AD159" s="134"/>
      <c r="AE159" s="134"/>
      <c r="AF159" s="134"/>
      <c r="AG159" s="134"/>
      <c r="AH159" s="134"/>
    </row>
    <row r="160" spans="1:34">
      <c r="A160" s="131"/>
      <c r="B160" s="131"/>
      <c r="C160" s="132" t="s">
        <v>883</v>
      </c>
      <c r="D160" s="131"/>
      <c r="E160" s="131"/>
      <c r="F160" s="186" t="s">
        <v>870</v>
      </c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  <c r="AA160" s="134"/>
      <c r="AB160" s="134"/>
      <c r="AC160" s="134"/>
      <c r="AD160" s="134"/>
      <c r="AE160" s="134"/>
      <c r="AF160" s="134"/>
      <c r="AG160" s="134"/>
      <c r="AH160" s="134"/>
    </row>
    <row r="161" spans="1:34">
      <c r="C161" s="133" t="s">
        <v>856</v>
      </c>
      <c r="D161" s="133" t="s">
        <v>856</v>
      </c>
      <c r="G161" s="134"/>
      <c r="H161" s="134"/>
      <c r="I161" s="134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34"/>
      <c r="U161" s="134"/>
      <c r="V161" s="134"/>
      <c r="W161" s="134"/>
      <c r="X161" s="134"/>
      <c r="Y161" s="134"/>
      <c r="Z161" s="134"/>
      <c r="AA161" s="134"/>
      <c r="AB161" s="134"/>
      <c r="AC161" s="134"/>
      <c r="AD161" s="134"/>
      <c r="AE161" s="134"/>
      <c r="AF161" s="134"/>
      <c r="AG161" s="134"/>
      <c r="AH161" s="134"/>
    </row>
    <row r="162" spans="1:34" ht="14.5" thickBot="1">
      <c r="C162" s="135" t="s">
        <v>813</v>
      </c>
      <c r="D162" s="135" t="s">
        <v>813</v>
      </c>
      <c r="E162" s="136" t="s">
        <v>857</v>
      </c>
      <c r="F162" s="136" t="s">
        <v>857</v>
      </c>
      <c r="G162" s="134"/>
      <c r="H162" s="134"/>
      <c r="I162" s="134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34"/>
      <c r="U162" s="134"/>
      <c r="V162" s="134"/>
      <c r="W162" s="134"/>
      <c r="X162" s="134"/>
      <c r="Y162" s="134"/>
      <c r="Z162" s="134"/>
      <c r="AA162" s="134"/>
      <c r="AB162" s="134"/>
      <c r="AC162" s="134"/>
      <c r="AD162" s="134"/>
      <c r="AE162" s="134"/>
      <c r="AF162" s="134"/>
      <c r="AG162" s="134"/>
      <c r="AH162" s="134"/>
    </row>
    <row r="163" spans="1:34">
      <c r="C163" s="137" t="s">
        <v>858</v>
      </c>
      <c r="D163" s="213" t="s">
        <v>859</v>
      </c>
      <c r="E163" s="137" t="s">
        <v>858</v>
      </c>
      <c r="F163" s="138" t="s">
        <v>859</v>
      </c>
      <c r="G163" s="134"/>
      <c r="H163" s="134"/>
      <c r="I163" s="134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34"/>
      <c r="U163" s="134"/>
      <c r="V163" s="134"/>
      <c r="W163" s="134"/>
      <c r="X163" s="134"/>
      <c r="Y163" s="134"/>
      <c r="Z163" s="134"/>
      <c r="AA163" s="134"/>
      <c r="AB163" s="134"/>
      <c r="AC163" s="134"/>
      <c r="AD163" s="134"/>
      <c r="AE163" s="134"/>
      <c r="AF163" s="134"/>
      <c r="AG163" s="134"/>
      <c r="AH163" s="134"/>
    </row>
    <row r="164" spans="1:34" ht="14.5" thickBot="1">
      <c r="A164" s="139" t="s">
        <v>860</v>
      </c>
      <c r="B164" s="140" t="s">
        <v>861</v>
      </c>
      <c r="C164" s="206" t="s">
        <v>862</v>
      </c>
      <c r="D164" s="222" t="s">
        <v>863</v>
      </c>
      <c r="E164" s="206" t="s">
        <v>862</v>
      </c>
      <c r="F164" s="207" t="s">
        <v>863</v>
      </c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34"/>
      <c r="U164" s="134"/>
      <c r="V164" s="134"/>
      <c r="W164" s="134"/>
      <c r="X164" s="134"/>
      <c r="Y164" s="134"/>
      <c r="Z164" s="134"/>
      <c r="AA164" s="134"/>
      <c r="AB164" s="134"/>
      <c r="AC164" s="134"/>
      <c r="AD164" s="134"/>
      <c r="AE164" s="134"/>
      <c r="AF164" s="134"/>
      <c r="AG164" s="134"/>
      <c r="AH164" s="134"/>
    </row>
    <row r="165" spans="1:34">
      <c r="A165" s="145">
        <v>22</v>
      </c>
      <c r="B165" s="146" t="s">
        <v>884</v>
      </c>
      <c r="C165" s="215">
        <v>0.54464285714285698</v>
      </c>
      <c r="D165" s="215">
        <v>0.85496183206106802</v>
      </c>
      <c r="E165" s="188">
        <v>3.1749999999999998</v>
      </c>
      <c r="F165" s="189">
        <v>9.75</v>
      </c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34"/>
      <c r="U165" s="134"/>
      <c r="V165" s="134"/>
      <c r="W165" s="134"/>
      <c r="X165" s="134"/>
      <c r="Y165" s="134"/>
      <c r="Z165" s="134"/>
      <c r="AA165" s="134"/>
      <c r="AB165" s="134"/>
      <c r="AC165" s="134"/>
      <c r="AD165" s="134"/>
      <c r="AE165" s="134"/>
      <c r="AF165" s="134"/>
      <c r="AG165" s="134"/>
      <c r="AH165" s="134"/>
    </row>
    <row r="166" spans="1:34">
      <c r="A166" s="151"/>
      <c r="B166" s="152"/>
      <c r="C166" s="215">
        <v>1.0803571428571399</v>
      </c>
      <c r="D166" s="215">
        <v>1.89312977099236</v>
      </c>
      <c r="E166" s="188">
        <v>3.6850000000000001</v>
      </c>
      <c r="F166" s="189">
        <v>4.3499999999999996</v>
      </c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34"/>
      <c r="U166" s="134"/>
      <c r="V166" s="134"/>
      <c r="W166" s="134"/>
      <c r="X166" s="134"/>
      <c r="Y166" s="134"/>
      <c r="Z166" s="134"/>
      <c r="AA166" s="134"/>
      <c r="AB166" s="134"/>
      <c r="AC166" s="134"/>
      <c r="AD166" s="134"/>
      <c r="AE166" s="134"/>
      <c r="AF166" s="134"/>
      <c r="AG166" s="134"/>
      <c r="AH166" s="134"/>
    </row>
    <row r="167" spans="1:34">
      <c r="A167" s="151"/>
      <c r="B167" s="152"/>
      <c r="C167" s="215">
        <v>1.6026785714285701</v>
      </c>
      <c r="D167" s="215">
        <v>3.2977099236641201</v>
      </c>
      <c r="E167" s="188">
        <v>4.1964285714285703</v>
      </c>
      <c r="F167" s="189">
        <v>1.925</v>
      </c>
      <c r="G167" s="134"/>
      <c r="H167" s="134"/>
      <c r="I167" s="134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34"/>
      <c r="U167" s="134"/>
      <c r="V167" s="134"/>
      <c r="W167" s="134"/>
      <c r="X167" s="134"/>
      <c r="Y167" s="134"/>
      <c r="Z167" s="134"/>
      <c r="AA167" s="134"/>
      <c r="AB167" s="134"/>
      <c r="AC167" s="134"/>
      <c r="AD167" s="134"/>
      <c r="AE167" s="134"/>
      <c r="AF167" s="134"/>
      <c r="AG167" s="134"/>
      <c r="AH167" s="134"/>
    </row>
    <row r="168" spans="1:34">
      <c r="A168" s="151"/>
      <c r="B168" s="152"/>
      <c r="C168" s="215">
        <v>2.1294642857142798</v>
      </c>
      <c r="D168" s="215">
        <v>4.8244274809160297</v>
      </c>
      <c r="E168" s="188">
        <v>4.6950000000000003</v>
      </c>
      <c r="F168" s="189">
        <v>1.45</v>
      </c>
      <c r="G168" s="134"/>
      <c r="H168" s="134"/>
      <c r="I168" s="134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34"/>
      <c r="U168" s="134"/>
      <c r="V168" s="134"/>
      <c r="W168" s="134"/>
      <c r="X168" s="134"/>
      <c r="Y168" s="134"/>
      <c r="Z168" s="134"/>
      <c r="AA168" s="134"/>
      <c r="AB168" s="134"/>
      <c r="AC168" s="134"/>
      <c r="AD168" s="134"/>
      <c r="AE168" s="134"/>
      <c r="AF168" s="134"/>
      <c r="AG168" s="134"/>
      <c r="AH168" s="134"/>
    </row>
    <row r="169" spans="1:34">
      <c r="A169" s="151"/>
      <c r="B169" s="152"/>
      <c r="C169" s="215">
        <v>2.6428571428571401</v>
      </c>
      <c r="D169" s="215">
        <v>15.5114503816793</v>
      </c>
      <c r="E169" s="188">
        <v>5.2050000000000001</v>
      </c>
      <c r="F169" s="189">
        <v>0.977099236641221</v>
      </c>
      <c r="G169" s="134"/>
      <c r="H169" s="134"/>
      <c r="I169" s="134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34"/>
      <c r="U169" s="134"/>
      <c r="V169" s="134"/>
      <c r="W169" s="134"/>
      <c r="X169" s="134"/>
      <c r="Y169" s="134"/>
      <c r="Z169" s="134"/>
      <c r="AA169" s="134"/>
      <c r="AB169" s="134"/>
      <c r="AC169" s="134"/>
      <c r="AD169" s="134"/>
      <c r="AE169" s="134"/>
      <c r="AF169" s="134"/>
      <c r="AG169" s="134"/>
      <c r="AH169" s="134"/>
    </row>
    <row r="170" spans="1:34">
      <c r="A170" s="151"/>
      <c r="B170" s="152"/>
      <c r="C170" s="211"/>
      <c r="D170" s="224"/>
      <c r="E170" s="190"/>
      <c r="F170" s="191"/>
      <c r="G170" s="134"/>
      <c r="H170" s="134"/>
      <c r="I170" s="134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34"/>
      <c r="U170" s="134"/>
      <c r="V170" s="134"/>
      <c r="W170" s="134"/>
      <c r="X170" s="134"/>
      <c r="Y170" s="134"/>
      <c r="Z170" s="134"/>
      <c r="AA170" s="134"/>
      <c r="AB170" s="134"/>
      <c r="AC170" s="134"/>
      <c r="AD170" s="134"/>
      <c r="AE170" s="134"/>
      <c r="AF170" s="134"/>
      <c r="AG170" s="134"/>
      <c r="AH170" s="134"/>
    </row>
    <row r="171" spans="1:34">
      <c r="A171" s="151"/>
      <c r="B171" s="152"/>
      <c r="C171" s="211"/>
      <c r="D171" s="224"/>
      <c r="E171" s="190"/>
      <c r="F171" s="191"/>
      <c r="G171" s="134"/>
      <c r="H171" s="134"/>
      <c r="I171" s="134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34"/>
      <c r="U171" s="134"/>
      <c r="V171" s="134"/>
      <c r="W171" s="134"/>
      <c r="X171" s="134"/>
      <c r="Y171" s="134"/>
      <c r="Z171" s="134"/>
      <c r="AA171" s="134"/>
      <c r="AB171" s="134"/>
      <c r="AC171" s="134"/>
      <c r="AD171" s="134"/>
      <c r="AE171" s="134"/>
      <c r="AF171" s="134"/>
      <c r="AG171" s="134"/>
      <c r="AH171" s="134"/>
    </row>
    <row r="172" spans="1:34">
      <c r="A172" s="151"/>
      <c r="B172" s="152"/>
      <c r="C172" s="179"/>
      <c r="D172" s="218"/>
      <c r="E172" s="190"/>
      <c r="F172" s="191"/>
      <c r="G172" s="134"/>
      <c r="H172" s="134"/>
      <c r="I172" s="134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34"/>
      <c r="U172" s="134"/>
      <c r="V172" s="134"/>
      <c r="W172" s="134"/>
      <c r="X172" s="134"/>
      <c r="Y172" s="134"/>
      <c r="Z172" s="134"/>
      <c r="AA172" s="134"/>
      <c r="AB172" s="134"/>
      <c r="AC172" s="134"/>
      <c r="AD172" s="134"/>
      <c r="AE172" s="134"/>
      <c r="AF172" s="134"/>
      <c r="AG172" s="134"/>
      <c r="AH172" s="134"/>
    </row>
    <row r="173" spans="1:34">
      <c r="A173" s="151"/>
      <c r="B173" s="152"/>
      <c r="C173" s="179"/>
      <c r="D173" s="218"/>
      <c r="E173" s="190"/>
      <c r="F173" s="191"/>
      <c r="G173" s="134"/>
      <c r="H173" s="134"/>
      <c r="I173" s="134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34"/>
      <c r="U173" s="134"/>
      <c r="V173" s="134"/>
      <c r="W173" s="134"/>
      <c r="X173" s="134"/>
      <c r="Y173" s="134"/>
      <c r="Z173" s="134"/>
      <c r="AA173" s="134"/>
      <c r="AB173" s="134"/>
      <c r="AC173" s="134"/>
      <c r="AD173" s="134"/>
      <c r="AE173" s="134"/>
      <c r="AF173" s="134"/>
      <c r="AG173" s="134"/>
      <c r="AH173" s="134"/>
    </row>
    <row r="174" spans="1:34" ht="14.5" thickBot="1">
      <c r="A174" s="160"/>
      <c r="B174" s="161"/>
      <c r="C174" s="182"/>
      <c r="D174" s="219"/>
      <c r="E174" s="184"/>
      <c r="F174" s="183"/>
      <c r="G174" s="134"/>
      <c r="H174" s="134"/>
      <c r="I174" s="134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34"/>
      <c r="U174" s="134"/>
      <c r="V174" s="134"/>
      <c r="W174" s="134"/>
      <c r="X174" s="134"/>
      <c r="Y174" s="134"/>
      <c r="Z174" s="134"/>
      <c r="AA174" s="134"/>
      <c r="AB174" s="134"/>
      <c r="AC174" s="134"/>
      <c r="AD174" s="134"/>
      <c r="AE174" s="134"/>
      <c r="AF174" s="134"/>
      <c r="AG174" s="134"/>
      <c r="AH174" s="134"/>
    </row>
    <row r="175" spans="1:34">
      <c r="G175" s="134"/>
      <c r="H175" s="134"/>
      <c r="I175" s="134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34"/>
      <c r="U175" s="134"/>
      <c r="V175" s="134"/>
      <c r="W175" s="134"/>
      <c r="X175" s="134"/>
      <c r="Y175" s="134"/>
      <c r="Z175" s="134"/>
      <c r="AA175" s="134"/>
      <c r="AB175" s="134"/>
      <c r="AC175" s="134"/>
      <c r="AD175" s="134"/>
      <c r="AE175" s="134"/>
      <c r="AF175" s="134"/>
      <c r="AG175" s="134"/>
      <c r="AH175" s="134"/>
    </row>
    <row r="176" spans="1:34">
      <c r="G176" s="134"/>
      <c r="H176" s="134"/>
      <c r="I176" s="134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34"/>
      <c r="U176" s="134"/>
      <c r="V176" s="134"/>
      <c r="W176" s="134"/>
      <c r="X176" s="134"/>
      <c r="Y176" s="134"/>
      <c r="Z176" s="134"/>
      <c r="AA176" s="134"/>
      <c r="AB176" s="134"/>
      <c r="AC176" s="134"/>
      <c r="AD176" s="134"/>
      <c r="AE176" s="134"/>
      <c r="AF176" s="134"/>
      <c r="AG176" s="134"/>
      <c r="AH176" s="134"/>
    </row>
    <row r="177" spans="1:34">
      <c r="A177" s="131"/>
      <c r="B177" s="131"/>
      <c r="C177" s="132" t="s">
        <v>885</v>
      </c>
      <c r="D177" s="131"/>
      <c r="E177" s="131"/>
      <c r="F177" s="186" t="s">
        <v>870</v>
      </c>
      <c r="G177" s="134"/>
      <c r="H177" s="134"/>
      <c r="I177" s="134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34"/>
      <c r="U177" s="134"/>
      <c r="V177" s="134"/>
      <c r="W177" s="134"/>
      <c r="X177" s="134"/>
      <c r="Y177" s="134"/>
      <c r="Z177" s="134"/>
      <c r="AA177" s="134"/>
      <c r="AB177" s="134"/>
      <c r="AC177" s="134"/>
      <c r="AD177" s="134"/>
      <c r="AE177" s="134"/>
      <c r="AF177" s="134"/>
      <c r="AG177" s="134"/>
      <c r="AH177" s="134"/>
    </row>
    <row r="178" spans="1:34" ht="14.5" thickBot="1">
      <c r="C178" s="133" t="s">
        <v>856</v>
      </c>
      <c r="D178" s="133" t="s">
        <v>856</v>
      </c>
      <c r="G178" s="134"/>
      <c r="H178" s="134"/>
      <c r="I178" s="134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34"/>
      <c r="U178" s="134"/>
      <c r="V178" s="134"/>
      <c r="W178" s="134"/>
      <c r="X178" s="134"/>
      <c r="Y178" s="134"/>
      <c r="Z178" s="134"/>
      <c r="AA178" s="134"/>
      <c r="AB178" s="134"/>
      <c r="AC178" s="134"/>
      <c r="AD178" s="134"/>
      <c r="AE178" s="134"/>
      <c r="AF178" s="134"/>
      <c r="AG178" s="134"/>
      <c r="AH178" s="134"/>
    </row>
    <row r="179" spans="1:34" ht="14.5" thickBot="1">
      <c r="C179" s="225" t="s">
        <v>813</v>
      </c>
      <c r="D179" s="226" t="s">
        <v>813</v>
      </c>
      <c r="E179" s="227" t="s">
        <v>857</v>
      </c>
      <c r="F179" s="228" t="s">
        <v>857</v>
      </c>
      <c r="G179" s="134"/>
      <c r="H179" s="134"/>
      <c r="I179" s="134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34"/>
      <c r="U179" s="134"/>
      <c r="V179" s="134"/>
      <c r="W179" s="134"/>
      <c r="X179" s="134"/>
      <c r="Y179" s="134"/>
      <c r="Z179" s="134"/>
      <c r="AA179" s="134"/>
      <c r="AB179" s="134"/>
      <c r="AC179" s="134"/>
      <c r="AD179" s="134"/>
      <c r="AE179" s="134"/>
      <c r="AF179" s="134"/>
      <c r="AG179" s="134"/>
      <c r="AH179" s="134"/>
    </row>
    <row r="180" spans="1:34">
      <c r="C180" s="137" t="s">
        <v>858</v>
      </c>
      <c r="D180" s="213" t="s">
        <v>859</v>
      </c>
      <c r="E180" s="137" t="s">
        <v>858</v>
      </c>
      <c r="F180" s="138" t="s">
        <v>859</v>
      </c>
      <c r="G180" s="134"/>
      <c r="H180" s="134"/>
      <c r="I180" s="134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34"/>
      <c r="U180" s="134"/>
      <c r="V180" s="134"/>
      <c r="W180" s="134"/>
      <c r="X180" s="134"/>
      <c r="Y180" s="134"/>
      <c r="Z180" s="134"/>
      <c r="AA180" s="134"/>
      <c r="AB180" s="134"/>
      <c r="AC180" s="134"/>
      <c r="AD180" s="134"/>
      <c r="AE180" s="134"/>
      <c r="AF180" s="134"/>
      <c r="AG180" s="134"/>
      <c r="AH180" s="134"/>
    </row>
    <row r="181" spans="1:34" ht="14.5" thickBot="1">
      <c r="A181" s="139" t="s">
        <v>860</v>
      </c>
      <c r="B181" s="140" t="s">
        <v>861</v>
      </c>
      <c r="C181" s="206" t="s">
        <v>862</v>
      </c>
      <c r="D181" s="222" t="s">
        <v>863</v>
      </c>
      <c r="E181" s="206" t="s">
        <v>862</v>
      </c>
      <c r="F181" s="207" t="s">
        <v>863</v>
      </c>
      <c r="G181" s="134"/>
      <c r="H181" s="134"/>
      <c r="I181" s="134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34"/>
      <c r="U181" s="134"/>
      <c r="V181" s="134"/>
      <c r="W181" s="134"/>
      <c r="X181" s="134"/>
      <c r="Y181" s="134"/>
      <c r="Z181" s="134"/>
      <c r="AA181" s="134"/>
      <c r="AB181" s="134"/>
      <c r="AC181" s="134"/>
      <c r="AD181" s="134"/>
      <c r="AE181" s="134"/>
      <c r="AF181" s="134"/>
      <c r="AG181" s="134"/>
      <c r="AH181" s="134"/>
    </row>
    <row r="182" spans="1:34">
      <c r="A182" s="145">
        <v>22</v>
      </c>
      <c r="B182" s="146" t="s">
        <v>886</v>
      </c>
      <c r="C182" s="215">
        <v>0.540946314831665</v>
      </c>
      <c r="D182" s="215">
        <v>0.89922480620154999</v>
      </c>
      <c r="E182" s="188">
        <v>2.1151046405823402</v>
      </c>
      <c r="F182" s="189">
        <v>18.325581395348799</v>
      </c>
      <c r="G182" s="134"/>
      <c r="H182" s="134"/>
      <c r="I182" s="134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34"/>
      <c r="U182" s="134"/>
      <c r="V182" s="134"/>
      <c r="W182" s="134"/>
      <c r="X182" s="134"/>
      <c r="Y182" s="134"/>
      <c r="Z182" s="134"/>
      <c r="AA182" s="134"/>
      <c r="AB182" s="134"/>
      <c r="AC182" s="134"/>
      <c r="AD182" s="134"/>
      <c r="AE182" s="134"/>
      <c r="AF182" s="134"/>
      <c r="AG182" s="134"/>
      <c r="AH182" s="134"/>
    </row>
    <row r="183" spans="1:34">
      <c r="A183" s="151"/>
      <c r="B183" s="152"/>
      <c r="C183" s="215">
        <v>1.07779799818016</v>
      </c>
      <c r="D183" s="215">
        <v>1.86046511627906</v>
      </c>
      <c r="E183" s="188">
        <v>2.6428571428571401</v>
      </c>
      <c r="F183" s="189">
        <v>11.968992248061999</v>
      </c>
      <c r="G183" s="134"/>
      <c r="H183" s="134"/>
      <c r="I183" s="134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34"/>
      <c r="U183" s="134"/>
      <c r="V183" s="134"/>
      <c r="W183" s="134"/>
      <c r="X183" s="134"/>
      <c r="Y183" s="134"/>
      <c r="Z183" s="134"/>
      <c r="AA183" s="134"/>
      <c r="AB183" s="134"/>
      <c r="AC183" s="134"/>
      <c r="AD183" s="134"/>
      <c r="AE183" s="134"/>
      <c r="AF183" s="134"/>
      <c r="AG183" s="134"/>
      <c r="AH183" s="134"/>
    </row>
    <row r="184" spans="1:34">
      <c r="A184" s="151"/>
      <c r="B184" s="152"/>
      <c r="C184" s="215">
        <v>1.60555050045495</v>
      </c>
      <c r="D184" s="215">
        <v>4.3720930232558102</v>
      </c>
      <c r="E184" s="188">
        <v>3.1706096451319299</v>
      </c>
      <c r="F184" s="189">
        <v>7.8449612403100701</v>
      </c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  <c r="X184" s="134"/>
      <c r="Y184" s="134"/>
      <c r="Z184" s="134"/>
      <c r="AA184" s="134"/>
      <c r="AB184" s="134"/>
      <c r="AC184" s="134"/>
      <c r="AD184" s="134"/>
      <c r="AE184" s="134"/>
      <c r="AF184" s="134"/>
      <c r="AG184" s="134"/>
      <c r="AH184" s="134"/>
    </row>
    <row r="185" spans="1:34">
      <c r="A185" s="151"/>
      <c r="B185" s="152"/>
      <c r="C185" s="215">
        <v>2.1242038216560499</v>
      </c>
      <c r="D185" s="215">
        <v>14.4806201550387</v>
      </c>
      <c r="E185" s="188">
        <v>3.6892629663330299</v>
      </c>
      <c r="F185" s="189">
        <v>4.8372093023255802</v>
      </c>
      <c r="G185" s="134"/>
      <c r="H185" s="134"/>
      <c r="I185" s="134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34"/>
      <c r="U185" s="134"/>
      <c r="V185" s="134"/>
      <c r="W185" s="134"/>
      <c r="X185" s="134"/>
      <c r="Y185" s="134"/>
      <c r="Z185" s="134"/>
      <c r="AA185" s="134"/>
      <c r="AB185" s="134"/>
      <c r="AC185" s="134"/>
      <c r="AD185" s="134"/>
      <c r="AE185" s="134"/>
      <c r="AF185" s="134"/>
      <c r="AG185" s="134"/>
      <c r="AH185" s="134"/>
    </row>
    <row r="186" spans="1:34">
      <c r="A186" s="151"/>
      <c r="B186" s="152"/>
      <c r="C186" s="211"/>
      <c r="D186" s="224"/>
      <c r="E186" s="188">
        <v>4.1897179253867103</v>
      </c>
      <c r="F186" s="189">
        <v>3.0077519379844899</v>
      </c>
      <c r="G186" s="134"/>
      <c r="H186" s="134"/>
      <c r="I186" s="134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34"/>
      <c r="U186" s="134"/>
      <c r="V186" s="134"/>
      <c r="W186" s="134"/>
      <c r="X186" s="134"/>
      <c r="Y186" s="134"/>
      <c r="Z186" s="134"/>
      <c r="AA186" s="134"/>
      <c r="AB186" s="134"/>
      <c r="AC186" s="134"/>
      <c r="AD186" s="134"/>
      <c r="AE186" s="134"/>
      <c r="AF186" s="134"/>
      <c r="AG186" s="134"/>
      <c r="AH186" s="134"/>
    </row>
    <row r="187" spans="1:34">
      <c r="A187" s="151"/>
      <c r="B187" s="152"/>
      <c r="C187" s="211"/>
      <c r="D187" s="224"/>
      <c r="E187" s="188">
        <v>4.69472247497725</v>
      </c>
      <c r="F187" s="189">
        <v>2.5116279069767402</v>
      </c>
      <c r="G187" s="134"/>
      <c r="H187" s="134"/>
      <c r="I187" s="134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34"/>
      <c r="U187" s="134"/>
      <c r="V187" s="134"/>
      <c r="W187" s="134"/>
      <c r="X187" s="134"/>
      <c r="Y187" s="134"/>
      <c r="Z187" s="134"/>
      <c r="AA187" s="134"/>
      <c r="AB187" s="134"/>
      <c r="AC187" s="134"/>
      <c r="AD187" s="134"/>
      <c r="AE187" s="134"/>
      <c r="AF187" s="134"/>
      <c r="AG187" s="134"/>
      <c r="AH187" s="134"/>
    </row>
    <row r="188" spans="1:34">
      <c r="A188" s="151"/>
      <c r="B188" s="152"/>
      <c r="C188" s="211"/>
      <c r="D188" s="224"/>
      <c r="E188" s="188">
        <v>5.19972702456778</v>
      </c>
      <c r="F188" s="189">
        <v>1.5813953488371999</v>
      </c>
      <c r="G188" s="134"/>
      <c r="H188" s="134"/>
      <c r="I188" s="134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34"/>
      <c r="U188" s="134"/>
      <c r="V188" s="134"/>
      <c r="W188" s="134"/>
      <c r="X188" s="134"/>
      <c r="Y188" s="134"/>
      <c r="Z188" s="134"/>
      <c r="AA188" s="134"/>
      <c r="AB188" s="134"/>
      <c r="AC188" s="134"/>
      <c r="AD188" s="134"/>
      <c r="AE188" s="134"/>
      <c r="AF188" s="134"/>
      <c r="AG188" s="134"/>
      <c r="AH188" s="134"/>
    </row>
    <row r="189" spans="1:34">
      <c r="A189" s="151"/>
      <c r="B189" s="152"/>
      <c r="C189" s="179"/>
      <c r="D189" s="218"/>
      <c r="E189" s="190"/>
      <c r="F189" s="191"/>
      <c r="G189" s="134"/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34"/>
      <c r="U189" s="134"/>
      <c r="V189" s="134"/>
      <c r="W189" s="134"/>
      <c r="X189" s="134"/>
      <c r="Y189" s="134"/>
      <c r="Z189" s="134"/>
      <c r="AA189" s="134"/>
      <c r="AB189" s="134"/>
      <c r="AC189" s="134"/>
      <c r="AD189" s="134"/>
      <c r="AE189" s="134"/>
      <c r="AF189" s="134"/>
      <c r="AG189" s="134"/>
      <c r="AH189" s="134"/>
    </row>
    <row r="190" spans="1:34">
      <c r="A190" s="151"/>
      <c r="B190" s="152"/>
      <c r="C190" s="179"/>
      <c r="D190" s="218"/>
      <c r="E190" s="190"/>
      <c r="F190" s="191"/>
      <c r="G190" s="134"/>
      <c r="H190" s="134"/>
      <c r="I190" s="134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34"/>
      <c r="U190" s="134"/>
      <c r="V190" s="134"/>
      <c r="W190" s="134"/>
      <c r="X190" s="134"/>
      <c r="Y190" s="134"/>
      <c r="Z190" s="134"/>
      <c r="AA190" s="134"/>
      <c r="AB190" s="134"/>
      <c r="AC190" s="134"/>
      <c r="AD190" s="134"/>
      <c r="AE190" s="134"/>
      <c r="AF190" s="134"/>
      <c r="AG190" s="134"/>
      <c r="AH190" s="134"/>
    </row>
    <row r="191" spans="1:34" ht="14.5" thickBot="1">
      <c r="A191" s="160"/>
      <c r="B191" s="161"/>
      <c r="C191" s="182"/>
      <c r="D191" s="219"/>
      <c r="E191" s="184"/>
      <c r="F191" s="183"/>
      <c r="G191" s="134"/>
      <c r="H191" s="134"/>
      <c r="I191" s="134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34"/>
      <c r="U191" s="134"/>
      <c r="V191" s="134"/>
      <c r="W191" s="134"/>
      <c r="X191" s="134"/>
      <c r="Y191" s="134"/>
      <c r="Z191" s="134"/>
      <c r="AA191" s="134"/>
      <c r="AB191" s="134"/>
      <c r="AC191" s="134"/>
      <c r="AD191" s="134"/>
      <c r="AE191" s="134"/>
      <c r="AF191" s="134"/>
      <c r="AG191" s="134"/>
      <c r="AH191" s="134"/>
    </row>
    <row r="192" spans="1:34">
      <c r="G192" s="134"/>
      <c r="H192" s="134"/>
      <c r="I192" s="134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34"/>
      <c r="U192" s="134"/>
      <c r="V192" s="134"/>
      <c r="W192" s="134"/>
      <c r="X192" s="134"/>
      <c r="Y192" s="134"/>
      <c r="Z192" s="134"/>
      <c r="AA192" s="134"/>
      <c r="AB192" s="134"/>
      <c r="AC192" s="134"/>
      <c r="AD192" s="134"/>
      <c r="AE192" s="134"/>
      <c r="AF192" s="134"/>
      <c r="AG192" s="134"/>
      <c r="AH192" s="134"/>
    </row>
    <row r="193" spans="1:34">
      <c r="G193" s="134"/>
      <c r="H193" s="134"/>
      <c r="I193" s="134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34"/>
      <c r="U193" s="134"/>
      <c r="V193" s="134"/>
      <c r="W193" s="134"/>
      <c r="X193" s="134"/>
      <c r="Y193" s="134"/>
      <c r="Z193" s="134"/>
      <c r="AA193" s="134"/>
      <c r="AB193" s="134"/>
      <c r="AC193" s="134"/>
      <c r="AD193" s="134"/>
      <c r="AE193" s="134"/>
      <c r="AF193" s="134"/>
      <c r="AG193" s="134"/>
      <c r="AH193" s="134"/>
    </row>
    <row r="194" spans="1:34">
      <c r="A194" s="131"/>
      <c r="B194" s="131"/>
      <c r="C194" s="132" t="s">
        <v>887</v>
      </c>
      <c r="D194" s="131"/>
      <c r="E194" s="131"/>
      <c r="F194" s="186" t="s">
        <v>870</v>
      </c>
      <c r="G194" s="134"/>
      <c r="H194" s="134"/>
      <c r="I194" s="134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34"/>
      <c r="U194" s="134"/>
      <c r="V194" s="134"/>
      <c r="W194" s="134"/>
      <c r="X194" s="134"/>
      <c r="Y194" s="134"/>
      <c r="Z194" s="134"/>
      <c r="AA194" s="134"/>
      <c r="AB194" s="134"/>
      <c r="AC194" s="134"/>
      <c r="AD194" s="134"/>
      <c r="AE194" s="134"/>
      <c r="AF194" s="134"/>
      <c r="AG194" s="134"/>
      <c r="AH194" s="134"/>
    </row>
    <row r="195" spans="1:34">
      <c r="C195" s="133" t="s">
        <v>856</v>
      </c>
      <c r="D195" s="133" t="s">
        <v>856</v>
      </c>
      <c r="G195" s="134"/>
      <c r="H195" s="134"/>
      <c r="I195" s="134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34"/>
      <c r="U195" s="134"/>
      <c r="V195" s="134"/>
      <c r="W195" s="134"/>
      <c r="X195" s="134"/>
      <c r="Y195" s="134"/>
      <c r="Z195" s="134"/>
      <c r="AA195" s="134"/>
      <c r="AB195" s="134"/>
      <c r="AC195" s="134"/>
      <c r="AD195" s="134"/>
      <c r="AE195" s="134"/>
      <c r="AF195" s="134"/>
      <c r="AG195" s="134"/>
      <c r="AH195" s="134"/>
    </row>
    <row r="196" spans="1:34" ht="14.5" thickBot="1">
      <c r="C196" s="135" t="s">
        <v>813</v>
      </c>
      <c r="D196" s="135" t="s">
        <v>813</v>
      </c>
      <c r="E196" s="136" t="s">
        <v>857</v>
      </c>
      <c r="F196" s="136" t="s">
        <v>857</v>
      </c>
      <c r="G196" s="134"/>
      <c r="H196" s="134"/>
      <c r="I196" s="134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34"/>
      <c r="U196" s="134"/>
      <c r="V196" s="134"/>
      <c r="W196" s="134"/>
      <c r="X196" s="134"/>
      <c r="Y196" s="134"/>
      <c r="Z196" s="134"/>
      <c r="AA196" s="134"/>
      <c r="AB196" s="134"/>
      <c r="AC196" s="134"/>
      <c r="AD196" s="134"/>
      <c r="AE196" s="134"/>
      <c r="AF196" s="134"/>
      <c r="AG196" s="134"/>
      <c r="AH196" s="134"/>
    </row>
    <row r="197" spans="1:34">
      <c r="C197" s="137" t="s">
        <v>858</v>
      </c>
      <c r="D197" s="213" t="s">
        <v>859</v>
      </c>
      <c r="E197" s="137" t="s">
        <v>858</v>
      </c>
      <c r="F197" s="138" t="s">
        <v>859</v>
      </c>
      <c r="G197" s="134"/>
      <c r="H197" s="134"/>
      <c r="I197" s="134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34"/>
      <c r="U197" s="134"/>
      <c r="V197" s="134"/>
      <c r="W197" s="134"/>
      <c r="X197" s="134"/>
      <c r="Y197" s="134"/>
      <c r="Z197" s="134"/>
      <c r="AA197" s="134"/>
      <c r="AB197" s="134"/>
      <c r="AC197" s="134"/>
      <c r="AD197" s="134"/>
      <c r="AE197" s="134"/>
      <c r="AF197" s="134"/>
      <c r="AG197" s="134"/>
      <c r="AH197" s="134"/>
    </row>
    <row r="198" spans="1:34" ht="14.5" thickBot="1">
      <c r="A198" s="139" t="s">
        <v>860</v>
      </c>
      <c r="B198" s="140" t="s">
        <v>861</v>
      </c>
      <c r="C198" s="206" t="s">
        <v>862</v>
      </c>
      <c r="D198" s="222" t="s">
        <v>863</v>
      </c>
      <c r="E198" s="206" t="s">
        <v>862</v>
      </c>
      <c r="F198" s="207" t="s">
        <v>863</v>
      </c>
      <c r="G198" s="134"/>
      <c r="H198" s="134"/>
      <c r="I198" s="134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34"/>
      <c r="U198" s="134"/>
      <c r="V198" s="134"/>
      <c r="W198" s="134"/>
      <c r="X198" s="134"/>
      <c r="Y198" s="134"/>
      <c r="Z198" s="134"/>
      <c r="AA198" s="134"/>
      <c r="AB198" s="134"/>
      <c r="AC198" s="134"/>
      <c r="AD198" s="134"/>
      <c r="AE198" s="134"/>
      <c r="AF198" s="134"/>
      <c r="AG198" s="134"/>
      <c r="AH198" s="134"/>
    </row>
    <row r="199" spans="1:34">
      <c r="A199" s="145">
        <v>23</v>
      </c>
      <c r="B199" s="146" t="s">
        <v>888</v>
      </c>
      <c r="C199" s="215">
        <v>0.53623188405797095</v>
      </c>
      <c r="D199" s="215">
        <v>0.893682588597842</v>
      </c>
      <c r="E199" s="188">
        <v>3.1721014492753601</v>
      </c>
      <c r="F199" s="189">
        <v>15.7</v>
      </c>
      <c r="G199" s="134"/>
      <c r="H199" s="134"/>
      <c r="I199" s="134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34"/>
      <c r="U199" s="134"/>
      <c r="V199" s="134"/>
      <c r="W199" s="134"/>
      <c r="X199" s="134"/>
      <c r="Y199" s="134"/>
      <c r="Z199" s="134"/>
      <c r="AA199" s="134"/>
      <c r="AB199" s="134"/>
      <c r="AC199" s="134"/>
      <c r="AD199" s="134"/>
      <c r="AE199" s="134"/>
      <c r="AF199" s="134"/>
      <c r="AG199" s="134"/>
      <c r="AH199" s="134"/>
    </row>
    <row r="200" spans="1:34">
      <c r="A200" s="151"/>
      <c r="B200" s="152"/>
      <c r="C200" s="215">
        <v>1.07518115942029</v>
      </c>
      <c r="D200" s="215">
        <v>1.8798151001540799</v>
      </c>
      <c r="E200" s="188">
        <v>3.6884057971014399</v>
      </c>
      <c r="F200" s="189">
        <v>10.1078582434514</v>
      </c>
      <c r="G200" s="134"/>
      <c r="H200" s="134"/>
      <c r="I200" s="134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34"/>
      <c r="U200" s="134"/>
      <c r="V200" s="134"/>
      <c r="W200" s="134"/>
      <c r="X200" s="134"/>
      <c r="Y200" s="134"/>
      <c r="Z200" s="134"/>
      <c r="AA200" s="134"/>
      <c r="AB200" s="134"/>
      <c r="AC200" s="134"/>
      <c r="AD200" s="134"/>
      <c r="AE200" s="134"/>
      <c r="AF200" s="134"/>
      <c r="AG200" s="134"/>
      <c r="AH200" s="134"/>
    </row>
    <row r="201" spans="1:34">
      <c r="A201" s="151"/>
      <c r="B201" s="152"/>
      <c r="C201" s="215">
        <v>1.60507246376811</v>
      </c>
      <c r="D201" s="215">
        <v>2.86594761171032</v>
      </c>
      <c r="E201" s="188">
        <v>4.7</v>
      </c>
      <c r="F201" s="189">
        <v>3.45</v>
      </c>
      <c r="G201" s="134"/>
      <c r="H201" s="134"/>
      <c r="I201" s="134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34"/>
      <c r="U201" s="134"/>
      <c r="V201" s="134"/>
      <c r="W201" s="134"/>
      <c r="X201" s="134"/>
      <c r="Y201" s="134"/>
      <c r="Z201" s="134"/>
      <c r="AA201" s="134"/>
      <c r="AB201" s="134"/>
      <c r="AC201" s="134"/>
      <c r="AD201" s="134"/>
      <c r="AE201" s="134"/>
      <c r="AF201" s="134"/>
      <c r="AG201" s="134"/>
      <c r="AH201" s="134"/>
    </row>
    <row r="202" spans="1:34">
      <c r="A202" s="151"/>
      <c r="B202" s="152"/>
      <c r="C202" s="215">
        <v>2.13043478260869</v>
      </c>
      <c r="D202" s="215">
        <v>3.2973805855161702</v>
      </c>
      <c r="E202" s="188">
        <v>5.2050000000000001</v>
      </c>
      <c r="F202" s="189">
        <v>1.95</v>
      </c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4"/>
      <c r="U202" s="134"/>
      <c r="V202" s="134"/>
      <c r="W202" s="134"/>
      <c r="X202" s="134"/>
      <c r="Y202" s="134"/>
      <c r="Z202" s="134"/>
      <c r="AA202" s="134"/>
      <c r="AB202" s="134"/>
      <c r="AC202" s="134"/>
      <c r="AD202" s="134"/>
      <c r="AE202" s="134"/>
      <c r="AF202" s="134"/>
      <c r="AG202" s="134"/>
      <c r="AH202" s="134"/>
    </row>
    <row r="203" spans="1:34">
      <c r="A203" s="151"/>
      <c r="B203" s="152"/>
      <c r="C203" s="215">
        <v>2.65</v>
      </c>
      <c r="D203" s="215">
        <v>4.77657935285053</v>
      </c>
      <c r="E203" s="190"/>
      <c r="F203" s="191"/>
      <c r="G203" s="134"/>
      <c r="H203" s="134"/>
      <c r="I203" s="134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34"/>
      <c r="U203" s="134"/>
      <c r="V203" s="134"/>
      <c r="W203" s="134"/>
      <c r="X203" s="134"/>
      <c r="Y203" s="134"/>
      <c r="Z203" s="134"/>
      <c r="AA203" s="134"/>
      <c r="AB203" s="134"/>
      <c r="AC203" s="134"/>
      <c r="AD203" s="134"/>
      <c r="AE203" s="134"/>
      <c r="AF203" s="134"/>
      <c r="AG203" s="134"/>
      <c r="AH203" s="134"/>
    </row>
    <row r="204" spans="1:34">
      <c r="A204" s="151"/>
      <c r="B204" s="152"/>
      <c r="C204" s="215">
        <v>3.1749999999999998</v>
      </c>
      <c r="D204" s="215">
        <v>10.292758089368199</v>
      </c>
      <c r="E204" s="190"/>
      <c r="F204" s="191"/>
      <c r="G204" s="134"/>
      <c r="H204" s="134"/>
      <c r="I204" s="134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34"/>
      <c r="U204" s="134"/>
      <c r="V204" s="134"/>
      <c r="W204" s="134"/>
      <c r="X204" s="134"/>
      <c r="Y204" s="134"/>
      <c r="Z204" s="134"/>
      <c r="AA204" s="134"/>
      <c r="AB204" s="134"/>
      <c r="AC204" s="134"/>
      <c r="AD204" s="134"/>
      <c r="AE204" s="134"/>
      <c r="AF204" s="134"/>
      <c r="AG204" s="134"/>
      <c r="AH204" s="134"/>
    </row>
    <row r="205" spans="1:34">
      <c r="A205" s="151"/>
      <c r="B205" s="152"/>
      <c r="C205" s="215">
        <v>3.6884057971014399</v>
      </c>
      <c r="D205" s="215">
        <v>18.151001540831999</v>
      </c>
      <c r="E205" s="190"/>
      <c r="F205" s="191"/>
      <c r="G205" s="134"/>
      <c r="H205" s="134"/>
      <c r="I205" s="134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34"/>
      <c r="U205" s="134"/>
      <c r="V205" s="134"/>
      <c r="W205" s="134"/>
      <c r="X205" s="134"/>
      <c r="Y205" s="134"/>
      <c r="Z205" s="134"/>
      <c r="AA205" s="134"/>
      <c r="AB205" s="134"/>
      <c r="AC205" s="134"/>
      <c r="AD205" s="134"/>
      <c r="AE205" s="134"/>
      <c r="AF205" s="134"/>
      <c r="AG205" s="134"/>
      <c r="AH205" s="134"/>
    </row>
    <row r="206" spans="1:34">
      <c r="A206" s="151"/>
      <c r="B206" s="152"/>
      <c r="C206" s="179"/>
      <c r="D206" s="218"/>
      <c r="E206" s="190"/>
      <c r="F206" s="191"/>
      <c r="G206" s="134"/>
      <c r="H206" s="134"/>
      <c r="I206" s="134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34"/>
      <c r="U206" s="134"/>
      <c r="V206" s="134"/>
      <c r="W206" s="134"/>
      <c r="X206" s="134"/>
      <c r="Y206" s="134"/>
      <c r="Z206" s="134"/>
      <c r="AA206" s="134"/>
      <c r="AB206" s="134"/>
      <c r="AC206" s="134"/>
      <c r="AD206" s="134"/>
      <c r="AE206" s="134"/>
      <c r="AF206" s="134"/>
      <c r="AG206" s="134"/>
      <c r="AH206" s="134"/>
    </row>
    <row r="207" spans="1:34">
      <c r="A207" s="151"/>
      <c r="B207" s="152"/>
      <c r="C207" s="179"/>
      <c r="D207" s="218"/>
      <c r="E207" s="190"/>
      <c r="F207" s="191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34"/>
      <c r="U207" s="134"/>
      <c r="V207" s="134"/>
      <c r="W207" s="134"/>
      <c r="X207" s="134"/>
      <c r="Y207" s="134"/>
      <c r="Z207" s="134"/>
      <c r="AA207" s="134"/>
      <c r="AB207" s="134"/>
      <c r="AC207" s="134"/>
      <c r="AD207" s="134"/>
      <c r="AE207" s="134"/>
      <c r="AF207" s="134"/>
      <c r="AG207" s="134"/>
      <c r="AH207" s="134"/>
    </row>
    <row r="208" spans="1:34" ht="14.5" thickBot="1">
      <c r="A208" s="160"/>
      <c r="B208" s="161"/>
      <c r="C208" s="182"/>
      <c r="D208" s="219"/>
      <c r="E208" s="184"/>
      <c r="F208" s="183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34"/>
      <c r="U208" s="134"/>
      <c r="V208" s="134"/>
      <c r="W208" s="134"/>
      <c r="X208" s="134"/>
      <c r="Y208" s="134"/>
      <c r="Z208" s="134"/>
      <c r="AA208" s="134"/>
      <c r="AB208" s="134"/>
      <c r="AC208" s="134"/>
      <c r="AD208" s="134"/>
      <c r="AE208" s="134"/>
      <c r="AF208" s="134"/>
      <c r="AG208" s="134"/>
      <c r="AH208" s="134"/>
    </row>
    <row r="209" spans="1:34"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34"/>
      <c r="U209" s="134"/>
      <c r="V209" s="134"/>
      <c r="W209" s="134"/>
      <c r="X209" s="134"/>
      <c r="Y209" s="134"/>
      <c r="Z209" s="134"/>
      <c r="AA209" s="134"/>
      <c r="AB209" s="134"/>
      <c r="AC209" s="134"/>
      <c r="AD209" s="134"/>
      <c r="AE209" s="134"/>
      <c r="AF209" s="134"/>
      <c r="AG209" s="134"/>
      <c r="AH209" s="134"/>
    </row>
    <row r="210" spans="1:34">
      <c r="G210" s="134"/>
      <c r="H210" s="134"/>
      <c r="I210" s="134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34"/>
      <c r="U210" s="134"/>
      <c r="V210" s="134"/>
      <c r="W210" s="134"/>
      <c r="X210" s="134"/>
      <c r="Y210" s="134"/>
      <c r="Z210" s="134"/>
      <c r="AA210" s="134"/>
      <c r="AB210" s="134"/>
      <c r="AC210" s="134"/>
      <c r="AD210" s="134"/>
      <c r="AE210" s="134"/>
      <c r="AF210" s="134"/>
      <c r="AG210" s="134"/>
      <c r="AH210" s="134"/>
    </row>
    <row r="211" spans="1:34">
      <c r="A211" s="131"/>
      <c r="B211" s="131"/>
      <c r="C211" s="132" t="s">
        <v>889</v>
      </c>
      <c r="D211" s="131"/>
      <c r="E211" s="131"/>
      <c r="F211" s="186" t="s">
        <v>870</v>
      </c>
      <c r="G211" s="134"/>
      <c r="H211" s="134"/>
      <c r="I211" s="134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34"/>
      <c r="U211" s="134"/>
      <c r="V211" s="134"/>
      <c r="W211" s="134"/>
      <c r="X211" s="134"/>
      <c r="Y211" s="134"/>
      <c r="Z211" s="134"/>
      <c r="AA211" s="134"/>
      <c r="AB211" s="134"/>
      <c r="AC211" s="134"/>
      <c r="AD211" s="134"/>
      <c r="AE211" s="134"/>
      <c r="AF211" s="134"/>
      <c r="AG211" s="134"/>
      <c r="AH211" s="134"/>
    </row>
    <row r="212" spans="1:34">
      <c r="C212" s="133" t="s">
        <v>856</v>
      </c>
      <c r="D212" s="133" t="s">
        <v>856</v>
      </c>
      <c r="G212" s="134"/>
      <c r="H212" s="134"/>
      <c r="I212" s="134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34"/>
      <c r="U212" s="134"/>
      <c r="V212" s="134"/>
      <c r="W212" s="134"/>
      <c r="X212" s="134"/>
      <c r="Y212" s="134"/>
      <c r="Z212" s="134"/>
      <c r="AA212" s="134"/>
      <c r="AB212" s="134"/>
      <c r="AC212" s="134"/>
      <c r="AD212" s="134"/>
      <c r="AE212" s="134"/>
      <c r="AF212" s="134"/>
      <c r="AG212" s="134"/>
      <c r="AH212" s="134"/>
    </row>
    <row r="213" spans="1:34" ht="14.5" thickBot="1">
      <c r="C213" s="135" t="s">
        <v>813</v>
      </c>
      <c r="D213" s="135" t="s">
        <v>813</v>
      </c>
      <c r="E213" s="136" t="s">
        <v>857</v>
      </c>
      <c r="F213" s="136" t="s">
        <v>857</v>
      </c>
      <c r="G213" s="134"/>
      <c r="H213" s="134"/>
      <c r="I213" s="134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34"/>
      <c r="U213" s="134"/>
      <c r="V213" s="134"/>
      <c r="W213" s="134"/>
      <c r="X213" s="134"/>
      <c r="Y213" s="134"/>
      <c r="Z213" s="134"/>
      <c r="AA213" s="134"/>
      <c r="AB213" s="134"/>
      <c r="AC213" s="134"/>
      <c r="AD213" s="134"/>
      <c r="AE213" s="134"/>
      <c r="AF213" s="134"/>
      <c r="AG213" s="134"/>
      <c r="AH213" s="134"/>
    </row>
    <row r="214" spans="1:34">
      <c r="C214" s="137" t="s">
        <v>858</v>
      </c>
      <c r="D214" s="138" t="s">
        <v>859</v>
      </c>
      <c r="E214" s="137" t="s">
        <v>858</v>
      </c>
      <c r="F214" s="138" t="s">
        <v>859</v>
      </c>
      <c r="G214" s="134"/>
      <c r="H214" s="134"/>
      <c r="I214" s="134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34"/>
      <c r="U214" s="134"/>
      <c r="V214" s="134"/>
      <c r="W214" s="134"/>
      <c r="X214" s="134"/>
      <c r="Y214" s="134"/>
      <c r="Z214" s="134"/>
      <c r="AA214" s="134"/>
      <c r="AB214" s="134"/>
      <c r="AC214" s="134"/>
      <c r="AD214" s="134"/>
      <c r="AE214" s="134"/>
      <c r="AF214" s="134"/>
      <c r="AG214" s="134"/>
      <c r="AH214" s="134"/>
    </row>
    <row r="215" spans="1:34" ht="14.5" thickBot="1">
      <c r="A215" s="139" t="s">
        <v>860</v>
      </c>
      <c r="B215" s="140" t="s">
        <v>861</v>
      </c>
      <c r="C215" s="206" t="s">
        <v>862</v>
      </c>
      <c r="D215" s="207" t="s">
        <v>863</v>
      </c>
      <c r="E215" s="206" t="s">
        <v>862</v>
      </c>
      <c r="F215" s="207" t="s">
        <v>863</v>
      </c>
      <c r="G215" s="134"/>
      <c r="H215" s="134"/>
      <c r="I215" s="134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34"/>
      <c r="U215" s="134"/>
      <c r="V215" s="134"/>
      <c r="W215" s="134"/>
      <c r="X215" s="134"/>
      <c r="Y215" s="134"/>
      <c r="Z215" s="134"/>
      <c r="AA215" s="134"/>
      <c r="AB215" s="134"/>
      <c r="AC215" s="134"/>
      <c r="AD215" s="134"/>
      <c r="AE215" s="134"/>
      <c r="AF215" s="134"/>
      <c r="AG215" s="134"/>
      <c r="AH215" s="134"/>
    </row>
    <row r="216" spans="1:34">
      <c r="A216" s="145">
        <v>23</v>
      </c>
      <c r="B216" s="146" t="s">
        <v>890</v>
      </c>
      <c r="C216" s="188">
        <v>0.54</v>
      </c>
      <c r="D216" s="189">
        <v>0.97331240188382995</v>
      </c>
      <c r="E216" s="188">
        <v>4.6950321987120498</v>
      </c>
      <c r="F216" s="189">
        <v>15.395</v>
      </c>
      <c r="G216" s="134"/>
      <c r="H216" s="134"/>
      <c r="I216" s="134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34"/>
      <c r="U216" s="134"/>
      <c r="V216" s="134"/>
      <c r="W216" s="134"/>
      <c r="X216" s="134"/>
      <c r="Y216" s="134"/>
      <c r="Z216" s="134"/>
      <c r="AA216" s="134"/>
      <c r="AB216" s="134"/>
      <c r="AC216" s="134"/>
      <c r="AD216" s="134"/>
      <c r="AE216" s="134"/>
      <c r="AF216" s="134"/>
      <c r="AG216" s="134"/>
      <c r="AH216" s="134"/>
    </row>
    <row r="217" spans="1:34">
      <c r="A217" s="151"/>
      <c r="B217" s="152"/>
      <c r="C217" s="188">
        <v>1.08</v>
      </c>
      <c r="D217" s="189">
        <v>1.9780219780219701</v>
      </c>
      <c r="E217" s="188">
        <v>5.2</v>
      </c>
      <c r="F217" s="189">
        <v>5.4003139717425404</v>
      </c>
      <c r="G217" s="134"/>
      <c r="H217" s="134"/>
      <c r="I217" s="134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34"/>
      <c r="U217" s="134"/>
      <c r="V217" s="134"/>
      <c r="W217" s="134"/>
      <c r="X217" s="134"/>
      <c r="Y217" s="134"/>
      <c r="Z217" s="134"/>
      <c r="AA217" s="134"/>
      <c r="AB217" s="134"/>
      <c r="AC217" s="134"/>
      <c r="AD217" s="134"/>
      <c r="AE217" s="134"/>
      <c r="AF217" s="134"/>
      <c r="AG217" s="134"/>
      <c r="AH217" s="134"/>
    </row>
    <row r="218" spans="1:34">
      <c r="A218" s="151"/>
      <c r="B218" s="152"/>
      <c r="C218" s="188">
        <v>1.61</v>
      </c>
      <c r="D218" s="189">
        <v>2.4803767660910498</v>
      </c>
      <c r="E218" s="190"/>
      <c r="F218" s="191"/>
      <c r="G218" s="134"/>
      <c r="H218" s="134"/>
      <c r="I218" s="134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34"/>
      <c r="U218" s="134"/>
      <c r="V218" s="134"/>
      <c r="W218" s="134"/>
      <c r="X218" s="134"/>
      <c r="Y218" s="134"/>
      <c r="Z218" s="134"/>
      <c r="AA218" s="134"/>
      <c r="AB218" s="134"/>
      <c r="AC218" s="134"/>
      <c r="AD218" s="134"/>
      <c r="AE218" s="134"/>
      <c r="AF218" s="134"/>
      <c r="AG218" s="134"/>
      <c r="AH218" s="134"/>
    </row>
    <row r="219" spans="1:34">
      <c r="A219" s="151"/>
      <c r="B219" s="152"/>
      <c r="C219" s="188">
        <v>2.13</v>
      </c>
      <c r="D219" s="189">
        <v>2.9513343799057998</v>
      </c>
      <c r="E219" s="190"/>
      <c r="F219" s="191"/>
      <c r="G219" s="134"/>
      <c r="H219" s="134"/>
      <c r="I219" s="134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34"/>
      <c r="U219" s="134"/>
      <c r="V219" s="134"/>
      <c r="W219" s="134"/>
      <c r="X219" s="134"/>
      <c r="Y219" s="134"/>
      <c r="Z219" s="134"/>
      <c r="AA219" s="134"/>
      <c r="AB219" s="134"/>
      <c r="AC219" s="134"/>
      <c r="AD219" s="134"/>
      <c r="AE219" s="134"/>
      <c r="AF219" s="134"/>
      <c r="AG219" s="134"/>
      <c r="AH219" s="134"/>
    </row>
    <row r="220" spans="1:34">
      <c r="A220" s="151"/>
      <c r="B220" s="152"/>
      <c r="C220" s="188">
        <v>2.6549999999999998</v>
      </c>
      <c r="D220" s="189">
        <v>3.95604395604395</v>
      </c>
      <c r="E220" s="190"/>
      <c r="F220" s="191"/>
      <c r="G220" s="134"/>
      <c r="H220" s="134"/>
      <c r="I220" s="134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34"/>
      <c r="U220" s="134"/>
      <c r="V220" s="134"/>
      <c r="W220" s="134"/>
      <c r="X220" s="134"/>
      <c r="Y220" s="134"/>
      <c r="Z220" s="134"/>
      <c r="AA220" s="134"/>
      <c r="AB220" s="134"/>
      <c r="AC220" s="134"/>
      <c r="AD220" s="134"/>
      <c r="AE220" s="134"/>
      <c r="AF220" s="134"/>
      <c r="AG220" s="134"/>
      <c r="AH220" s="134"/>
    </row>
    <row r="221" spans="1:34">
      <c r="A221" s="151"/>
      <c r="B221" s="152"/>
      <c r="C221" s="188">
        <v>3.1749999999999998</v>
      </c>
      <c r="D221" s="189">
        <v>4.3328100470957596</v>
      </c>
      <c r="E221" s="190"/>
      <c r="F221" s="191"/>
      <c r="G221" s="134"/>
      <c r="H221" s="134"/>
      <c r="I221" s="134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34"/>
      <c r="U221" s="134"/>
      <c r="V221" s="134"/>
      <c r="W221" s="134"/>
      <c r="X221" s="134"/>
      <c r="Y221" s="134"/>
      <c r="Z221" s="134"/>
      <c r="AA221" s="134"/>
      <c r="AB221" s="134"/>
      <c r="AC221" s="134"/>
      <c r="AD221" s="134"/>
      <c r="AE221" s="134"/>
      <c r="AF221" s="134"/>
      <c r="AG221" s="134"/>
      <c r="AH221" s="134"/>
    </row>
    <row r="222" spans="1:34">
      <c r="A222" s="151"/>
      <c r="B222" s="152"/>
      <c r="C222" s="188">
        <v>3.69</v>
      </c>
      <c r="D222" s="189">
        <v>7.9120879120879097</v>
      </c>
      <c r="E222" s="190"/>
      <c r="F222" s="191"/>
      <c r="G222" s="134"/>
      <c r="H222" s="134"/>
      <c r="I222" s="134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34"/>
      <c r="U222" s="134"/>
      <c r="V222" s="134"/>
      <c r="W222" s="134"/>
      <c r="X222" s="134"/>
      <c r="Y222" s="134"/>
      <c r="Z222" s="134"/>
      <c r="AA222" s="134"/>
      <c r="AB222" s="134"/>
      <c r="AC222" s="134"/>
      <c r="AD222" s="134"/>
      <c r="AE222" s="134"/>
      <c r="AF222" s="134"/>
      <c r="AG222" s="134"/>
      <c r="AH222" s="134"/>
    </row>
    <row r="223" spans="1:34">
      <c r="A223" s="151"/>
      <c r="B223" s="152"/>
      <c r="C223" s="188">
        <v>4.1982520699172001</v>
      </c>
      <c r="D223" s="189">
        <v>7.2841444270015696</v>
      </c>
      <c r="E223" s="190"/>
      <c r="F223" s="191"/>
      <c r="G223" s="134"/>
      <c r="H223" s="134"/>
      <c r="I223" s="134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34"/>
      <c r="U223" s="134"/>
      <c r="V223" s="134"/>
      <c r="W223" s="134"/>
      <c r="X223" s="134"/>
      <c r="Y223" s="134"/>
      <c r="Z223" s="134"/>
      <c r="AA223" s="134"/>
      <c r="AB223" s="134"/>
      <c r="AC223" s="134"/>
      <c r="AD223" s="134"/>
      <c r="AE223" s="134"/>
      <c r="AF223" s="134"/>
      <c r="AG223" s="134"/>
      <c r="AH223" s="134"/>
    </row>
    <row r="224" spans="1:34">
      <c r="A224" s="151"/>
      <c r="B224" s="152"/>
      <c r="C224" s="188">
        <v>4.6950000000000003</v>
      </c>
      <c r="D224" s="189">
        <v>9.6075353218210306</v>
      </c>
      <c r="E224" s="190"/>
      <c r="F224" s="191"/>
      <c r="G224" s="134"/>
      <c r="H224" s="134"/>
      <c r="I224" s="134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34"/>
      <c r="U224" s="134"/>
      <c r="V224" s="134"/>
      <c r="W224" s="134"/>
      <c r="X224" s="134"/>
      <c r="Y224" s="134"/>
      <c r="Z224" s="134"/>
      <c r="AA224" s="134"/>
      <c r="AB224" s="134"/>
      <c r="AC224" s="134"/>
      <c r="AD224" s="134"/>
      <c r="AE224" s="134"/>
      <c r="AF224" s="134"/>
      <c r="AG224" s="134"/>
      <c r="AH224" s="134"/>
    </row>
    <row r="225" spans="1:34" ht="14.5" thickBot="1">
      <c r="A225" s="160"/>
      <c r="B225" s="161"/>
      <c r="C225" s="229">
        <v>5.2</v>
      </c>
      <c r="D225" s="230">
        <v>15.2276295133437</v>
      </c>
      <c r="E225" s="184"/>
      <c r="F225" s="183"/>
      <c r="G225" s="134"/>
      <c r="H225" s="134"/>
      <c r="I225" s="134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34"/>
      <c r="U225" s="134"/>
      <c r="V225" s="134"/>
      <c r="W225" s="134"/>
      <c r="X225" s="134"/>
      <c r="Y225" s="134"/>
      <c r="Z225" s="134"/>
      <c r="AA225" s="134"/>
      <c r="AB225" s="134"/>
      <c r="AC225" s="134"/>
      <c r="AD225" s="134"/>
      <c r="AE225" s="134"/>
      <c r="AF225" s="134"/>
      <c r="AG225" s="134"/>
      <c r="AH225" s="134"/>
    </row>
    <row r="226" spans="1:34">
      <c r="G226" s="134"/>
      <c r="H226" s="134"/>
      <c r="I226" s="134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34"/>
      <c r="U226" s="134"/>
      <c r="V226" s="134"/>
      <c r="W226" s="134"/>
      <c r="X226" s="134"/>
      <c r="Y226" s="134"/>
      <c r="Z226" s="134"/>
      <c r="AA226" s="134"/>
      <c r="AB226" s="134"/>
      <c r="AC226" s="134"/>
      <c r="AD226" s="134"/>
      <c r="AE226" s="134"/>
      <c r="AF226" s="134"/>
      <c r="AG226" s="134"/>
      <c r="AH226" s="134"/>
    </row>
    <row r="227" spans="1:34">
      <c r="G227" s="134"/>
      <c r="H227" s="134"/>
      <c r="I227" s="134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34"/>
      <c r="U227" s="134"/>
      <c r="V227" s="134"/>
      <c r="W227" s="134"/>
      <c r="X227" s="134"/>
      <c r="Y227" s="134"/>
      <c r="Z227" s="134"/>
      <c r="AA227" s="134"/>
      <c r="AB227" s="134"/>
      <c r="AC227" s="134"/>
      <c r="AD227" s="134"/>
      <c r="AE227" s="134"/>
      <c r="AF227" s="134"/>
      <c r="AG227" s="134"/>
      <c r="AH227" s="134"/>
    </row>
    <row r="228" spans="1:34">
      <c r="A228" s="131"/>
      <c r="B228" s="131"/>
      <c r="C228" s="132" t="s">
        <v>891</v>
      </c>
      <c r="D228" s="131"/>
      <c r="E228" s="131"/>
      <c r="F228" s="186" t="s">
        <v>870</v>
      </c>
      <c r="G228" s="134"/>
      <c r="H228" s="134"/>
      <c r="I228" s="134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34"/>
      <c r="U228" s="134"/>
      <c r="V228" s="134"/>
      <c r="W228" s="134"/>
      <c r="X228" s="134"/>
      <c r="Y228" s="134"/>
      <c r="Z228" s="134"/>
      <c r="AA228" s="134"/>
      <c r="AB228" s="134"/>
      <c r="AC228" s="134"/>
      <c r="AD228" s="134"/>
      <c r="AE228" s="134"/>
      <c r="AF228" s="134"/>
      <c r="AG228" s="134"/>
      <c r="AH228" s="134"/>
    </row>
    <row r="229" spans="1:34">
      <c r="C229" s="133" t="s">
        <v>856</v>
      </c>
      <c r="D229" s="133" t="s">
        <v>856</v>
      </c>
      <c r="G229" s="134"/>
      <c r="H229" s="134"/>
      <c r="I229" s="134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34"/>
      <c r="U229" s="134"/>
      <c r="V229" s="134"/>
      <c r="W229" s="134"/>
      <c r="X229" s="134"/>
      <c r="Y229" s="134"/>
      <c r="Z229" s="134"/>
      <c r="AA229" s="134"/>
      <c r="AB229" s="134"/>
      <c r="AC229" s="134"/>
      <c r="AD229" s="134"/>
      <c r="AE229" s="134"/>
      <c r="AF229" s="134"/>
      <c r="AG229" s="134"/>
      <c r="AH229" s="134"/>
    </row>
    <row r="230" spans="1:34" ht="14.5" thickBot="1">
      <c r="C230" s="135" t="s">
        <v>813</v>
      </c>
      <c r="D230" s="135" t="s">
        <v>813</v>
      </c>
      <c r="E230" s="136" t="s">
        <v>857</v>
      </c>
      <c r="F230" s="136" t="s">
        <v>857</v>
      </c>
      <c r="G230" s="134"/>
      <c r="H230" s="134"/>
      <c r="I230" s="134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34"/>
      <c r="U230" s="134"/>
      <c r="V230" s="134"/>
      <c r="W230" s="134"/>
      <c r="X230" s="134"/>
      <c r="Y230" s="134"/>
      <c r="Z230" s="134"/>
      <c r="AA230" s="134"/>
      <c r="AB230" s="134"/>
      <c r="AC230" s="134"/>
      <c r="AD230" s="134"/>
      <c r="AE230" s="134"/>
      <c r="AF230" s="134"/>
      <c r="AG230" s="134"/>
      <c r="AH230" s="134"/>
    </row>
    <row r="231" spans="1:34">
      <c r="C231" s="137" t="s">
        <v>858</v>
      </c>
      <c r="D231" s="138" t="s">
        <v>859</v>
      </c>
      <c r="E231" s="137" t="s">
        <v>858</v>
      </c>
      <c r="F231" s="138" t="s">
        <v>859</v>
      </c>
      <c r="G231" s="134"/>
      <c r="H231" s="134"/>
      <c r="I231" s="134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34"/>
      <c r="U231" s="134"/>
      <c r="V231" s="134"/>
      <c r="W231" s="134"/>
      <c r="X231" s="134"/>
      <c r="Y231" s="134"/>
      <c r="Z231" s="134"/>
      <c r="AA231" s="134"/>
      <c r="AB231" s="134"/>
      <c r="AC231" s="134"/>
      <c r="AD231" s="134"/>
      <c r="AE231" s="134"/>
      <c r="AF231" s="134"/>
      <c r="AG231" s="134"/>
      <c r="AH231" s="134"/>
    </row>
    <row r="232" spans="1:34" ht="14.5" thickBot="1">
      <c r="A232" s="139" t="s">
        <v>860</v>
      </c>
      <c r="B232" s="140" t="s">
        <v>861</v>
      </c>
      <c r="C232" s="206" t="s">
        <v>862</v>
      </c>
      <c r="D232" s="207" t="s">
        <v>863</v>
      </c>
      <c r="E232" s="206" t="s">
        <v>862</v>
      </c>
      <c r="F232" s="207" t="s">
        <v>863</v>
      </c>
      <c r="G232" s="134"/>
      <c r="H232" s="134"/>
      <c r="I232" s="134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34"/>
      <c r="U232" s="134"/>
      <c r="V232" s="134"/>
      <c r="W232" s="134"/>
      <c r="X232" s="134"/>
      <c r="Y232" s="134"/>
      <c r="Z232" s="134"/>
      <c r="AA232" s="134"/>
      <c r="AB232" s="134"/>
      <c r="AC232" s="134"/>
      <c r="AD232" s="134"/>
      <c r="AE232" s="134"/>
      <c r="AF232" s="134"/>
      <c r="AG232" s="134"/>
      <c r="AH232" s="134"/>
    </row>
    <row r="233" spans="1:34">
      <c r="A233" s="145">
        <v>24</v>
      </c>
      <c r="B233" s="146" t="s">
        <v>892</v>
      </c>
      <c r="C233" s="188">
        <v>0.53693444136657398</v>
      </c>
      <c r="D233" s="189">
        <v>2.3861852433281001</v>
      </c>
      <c r="E233" s="188">
        <v>3.1731301939058101</v>
      </c>
      <c r="F233" s="189">
        <v>12.2448979591836</v>
      </c>
      <c r="G233" s="134"/>
      <c r="H233" s="134"/>
      <c r="I233" s="134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34"/>
      <c r="U233" s="134"/>
      <c r="V233" s="134"/>
      <c r="W233" s="134"/>
      <c r="X233" s="134"/>
      <c r="Y233" s="134"/>
      <c r="Z233" s="134"/>
      <c r="AA233" s="134"/>
      <c r="AB233" s="134"/>
      <c r="AC233" s="134"/>
      <c r="AD233" s="134"/>
      <c r="AE233" s="134"/>
      <c r="AF233" s="134"/>
      <c r="AG233" s="134"/>
      <c r="AH233" s="134"/>
    </row>
    <row r="234" spans="1:34">
      <c r="A234" s="151"/>
      <c r="B234" s="152"/>
      <c r="C234" s="188">
        <v>1.07710064635272</v>
      </c>
      <c r="D234" s="189">
        <v>2.9513343799057998</v>
      </c>
      <c r="E234" s="188">
        <v>3.69482917820867</v>
      </c>
      <c r="F234" s="189">
        <v>5.4317111459968599</v>
      </c>
      <c r="G234" s="134"/>
      <c r="H234" s="134"/>
      <c r="I234" s="134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34"/>
      <c r="U234" s="134"/>
      <c r="V234" s="134"/>
      <c r="W234" s="134"/>
      <c r="X234" s="134"/>
      <c r="Y234" s="134"/>
      <c r="Z234" s="134"/>
      <c r="AA234" s="134"/>
      <c r="AB234" s="134"/>
      <c r="AC234" s="134"/>
      <c r="AD234" s="134"/>
      <c r="AE234" s="134"/>
      <c r="AF234" s="134"/>
      <c r="AG234" s="134"/>
      <c r="AH234" s="134"/>
    </row>
    <row r="235" spans="1:34">
      <c r="A235" s="151"/>
      <c r="B235" s="152"/>
      <c r="C235" s="188">
        <v>1.5987996306555801</v>
      </c>
      <c r="D235" s="189">
        <v>5.2747252747252702</v>
      </c>
      <c r="E235" s="188">
        <v>4.19806094182825</v>
      </c>
      <c r="F235" s="189">
        <v>2.9513343799057998</v>
      </c>
      <c r="G235" s="134"/>
      <c r="H235" s="134"/>
      <c r="I235" s="134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34"/>
      <c r="U235" s="134"/>
      <c r="V235" s="134"/>
      <c r="W235" s="134"/>
      <c r="X235" s="134"/>
      <c r="Y235" s="134"/>
      <c r="Z235" s="134"/>
      <c r="AA235" s="134"/>
      <c r="AB235" s="134"/>
      <c r="AC235" s="134"/>
      <c r="AD235" s="134"/>
      <c r="AE235" s="134"/>
      <c r="AF235" s="134"/>
      <c r="AG235" s="134"/>
      <c r="AH235" s="134"/>
    </row>
    <row r="236" spans="1:34">
      <c r="A236" s="151"/>
      <c r="B236" s="152"/>
      <c r="C236" s="188">
        <v>2.1297322253000899</v>
      </c>
      <c r="D236" s="189">
        <v>7.3155416012558803</v>
      </c>
      <c r="E236" s="188">
        <v>4.6966759002770004</v>
      </c>
      <c r="F236" s="189">
        <v>2.5117739403453601</v>
      </c>
      <c r="G236" s="134"/>
      <c r="H236" s="134"/>
      <c r="I236" s="134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34"/>
      <c r="U236" s="134"/>
      <c r="V236" s="134"/>
      <c r="W236" s="134"/>
      <c r="X236" s="134"/>
      <c r="Y236" s="134"/>
      <c r="Z236" s="134"/>
      <c r="AA236" s="134"/>
      <c r="AB236" s="134"/>
      <c r="AC236" s="134"/>
      <c r="AD236" s="134"/>
      <c r="AE236" s="134"/>
      <c r="AF236" s="134"/>
      <c r="AG236" s="134"/>
      <c r="AH236" s="134"/>
    </row>
    <row r="237" spans="1:34">
      <c r="A237" s="151"/>
      <c r="B237" s="152"/>
      <c r="C237" s="188">
        <v>2.64681440443213</v>
      </c>
      <c r="D237" s="189">
        <v>13.5007849293563</v>
      </c>
      <c r="E237" s="188">
        <v>5.1952908587257598</v>
      </c>
      <c r="F237" s="189">
        <v>2.0408163265306101</v>
      </c>
      <c r="G237" s="134"/>
      <c r="H237" s="134"/>
      <c r="I237" s="134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34"/>
      <c r="U237" s="134"/>
      <c r="V237" s="134"/>
      <c r="W237" s="134"/>
      <c r="X237" s="134"/>
      <c r="Y237" s="134"/>
      <c r="Z237" s="134"/>
      <c r="AA237" s="134"/>
      <c r="AB237" s="134"/>
      <c r="AC237" s="134"/>
      <c r="AD237" s="134"/>
      <c r="AE237" s="134"/>
      <c r="AF237" s="134"/>
      <c r="AG237" s="134"/>
      <c r="AH237" s="134"/>
    </row>
    <row r="238" spans="1:34">
      <c r="A238" s="151"/>
      <c r="B238" s="152"/>
      <c r="C238" s="188">
        <v>3.1685133887349899</v>
      </c>
      <c r="D238" s="189">
        <v>20</v>
      </c>
      <c r="E238" s="190"/>
      <c r="F238" s="191"/>
      <c r="G238" s="134"/>
      <c r="H238" s="134"/>
      <c r="I238" s="134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34"/>
      <c r="U238" s="134"/>
      <c r="V238" s="134"/>
      <c r="W238" s="134"/>
      <c r="X238" s="134"/>
      <c r="Y238" s="134"/>
      <c r="Z238" s="134"/>
      <c r="AA238" s="134"/>
      <c r="AB238" s="134"/>
      <c r="AC238" s="134"/>
      <c r="AD238" s="134"/>
      <c r="AE238" s="134"/>
      <c r="AF238" s="134"/>
      <c r="AG238" s="134"/>
      <c r="AH238" s="134"/>
    </row>
    <row r="239" spans="1:34">
      <c r="A239" s="151"/>
      <c r="B239" s="152"/>
      <c r="C239" s="211"/>
      <c r="D239" s="212"/>
      <c r="E239" s="190"/>
      <c r="F239" s="191"/>
      <c r="G239" s="134"/>
      <c r="H239" s="134"/>
      <c r="I239" s="134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34"/>
      <c r="U239" s="134"/>
      <c r="V239" s="134"/>
      <c r="W239" s="134"/>
      <c r="X239" s="134"/>
      <c r="Y239" s="134"/>
      <c r="Z239" s="134"/>
      <c r="AA239" s="134"/>
      <c r="AB239" s="134"/>
      <c r="AC239" s="134"/>
      <c r="AD239" s="134"/>
      <c r="AE239" s="134"/>
      <c r="AF239" s="134"/>
      <c r="AG239" s="134"/>
      <c r="AH239" s="134"/>
    </row>
    <row r="240" spans="1:34">
      <c r="A240" s="151"/>
      <c r="B240" s="152"/>
      <c r="C240" s="179"/>
      <c r="D240" s="180"/>
      <c r="E240" s="190"/>
      <c r="F240" s="191"/>
      <c r="G240" s="134"/>
      <c r="H240" s="134"/>
      <c r="I240" s="134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34"/>
      <c r="U240" s="134"/>
      <c r="V240" s="134"/>
      <c r="W240" s="134"/>
      <c r="X240" s="134"/>
      <c r="Y240" s="134"/>
      <c r="Z240" s="134"/>
      <c r="AA240" s="134"/>
      <c r="AB240" s="134"/>
      <c r="AC240" s="134"/>
      <c r="AD240" s="134"/>
      <c r="AE240" s="134"/>
      <c r="AF240" s="134"/>
      <c r="AG240" s="134"/>
      <c r="AH240" s="134"/>
    </row>
    <row r="241" spans="1:34">
      <c r="A241" s="151"/>
      <c r="B241" s="152"/>
      <c r="C241" s="179"/>
      <c r="D241" s="180"/>
      <c r="E241" s="190"/>
      <c r="F241" s="191"/>
      <c r="G241" s="134"/>
      <c r="H241" s="134"/>
      <c r="I241" s="134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34"/>
      <c r="U241" s="134"/>
      <c r="V241" s="134"/>
      <c r="W241" s="134"/>
      <c r="X241" s="134"/>
      <c r="Y241" s="134"/>
      <c r="Z241" s="134"/>
      <c r="AA241" s="134"/>
      <c r="AB241" s="134"/>
      <c r="AC241" s="134"/>
      <c r="AD241" s="134"/>
      <c r="AE241" s="134"/>
      <c r="AF241" s="134"/>
      <c r="AG241" s="134"/>
      <c r="AH241" s="134"/>
    </row>
    <row r="242" spans="1:34" ht="14.5" thickBot="1">
      <c r="A242" s="160"/>
      <c r="B242" s="161"/>
      <c r="C242" s="182"/>
      <c r="D242" s="183"/>
      <c r="E242" s="184"/>
      <c r="F242" s="183"/>
      <c r="G242" s="134"/>
      <c r="H242" s="134"/>
      <c r="I242" s="134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34"/>
      <c r="U242" s="134"/>
      <c r="V242" s="134"/>
      <c r="W242" s="134"/>
      <c r="X242" s="134"/>
      <c r="Y242" s="134"/>
      <c r="Z242" s="134"/>
      <c r="AA242" s="134"/>
      <c r="AB242" s="134"/>
      <c r="AC242" s="134"/>
      <c r="AD242" s="134"/>
      <c r="AE242" s="134"/>
      <c r="AF242" s="134"/>
      <c r="AG242" s="134"/>
      <c r="AH242" s="134"/>
    </row>
    <row r="243" spans="1:34">
      <c r="G243" s="134"/>
      <c r="H243" s="134"/>
      <c r="I243" s="134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34"/>
      <c r="U243" s="134"/>
      <c r="V243" s="134"/>
      <c r="W243" s="134"/>
      <c r="X243" s="134"/>
      <c r="Y243" s="134"/>
      <c r="Z243" s="134"/>
      <c r="AA243" s="134"/>
      <c r="AB243" s="134"/>
      <c r="AC243" s="134"/>
      <c r="AD243" s="134"/>
      <c r="AE243" s="134"/>
      <c r="AF243" s="134"/>
      <c r="AG243" s="134"/>
      <c r="AH243" s="134"/>
    </row>
    <row r="244" spans="1:34">
      <c r="G244" s="134"/>
      <c r="H244" s="134"/>
      <c r="I244" s="134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34"/>
      <c r="U244" s="134"/>
      <c r="V244" s="134"/>
      <c r="W244" s="134"/>
      <c r="X244" s="134"/>
      <c r="Y244" s="134"/>
      <c r="Z244" s="134"/>
      <c r="AA244" s="134"/>
      <c r="AB244" s="134"/>
      <c r="AC244" s="134"/>
      <c r="AD244" s="134"/>
      <c r="AE244" s="134"/>
      <c r="AF244" s="134"/>
      <c r="AG244" s="134"/>
      <c r="AH244" s="134"/>
    </row>
    <row r="245" spans="1:34">
      <c r="A245" s="131"/>
      <c r="B245" s="131"/>
      <c r="C245" s="132" t="s">
        <v>893</v>
      </c>
      <c r="D245" s="131"/>
      <c r="E245" s="131"/>
      <c r="F245" s="186" t="s">
        <v>870</v>
      </c>
      <c r="G245" s="134"/>
      <c r="H245" s="134"/>
      <c r="I245" s="134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34"/>
      <c r="U245" s="134"/>
      <c r="V245" s="134"/>
      <c r="W245" s="134"/>
      <c r="X245" s="134"/>
      <c r="Y245" s="134"/>
      <c r="Z245" s="134"/>
      <c r="AA245" s="134"/>
      <c r="AB245" s="134"/>
      <c r="AC245" s="134"/>
      <c r="AD245" s="134"/>
      <c r="AE245" s="134"/>
      <c r="AF245" s="134"/>
      <c r="AG245" s="134"/>
      <c r="AH245" s="134"/>
    </row>
    <row r="246" spans="1:34">
      <c r="C246" s="133" t="s">
        <v>856</v>
      </c>
      <c r="D246" s="133" t="s">
        <v>856</v>
      </c>
      <c r="G246" s="134"/>
      <c r="H246" s="134"/>
      <c r="I246" s="134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34"/>
      <c r="U246" s="134"/>
      <c r="V246" s="134"/>
      <c r="W246" s="134"/>
      <c r="X246" s="134"/>
      <c r="Y246" s="134"/>
      <c r="Z246" s="134"/>
      <c r="AA246" s="134"/>
      <c r="AB246" s="134"/>
      <c r="AC246" s="134"/>
      <c r="AD246" s="134"/>
      <c r="AE246" s="134"/>
      <c r="AF246" s="134"/>
      <c r="AG246" s="134"/>
      <c r="AH246" s="134"/>
    </row>
    <row r="247" spans="1:34" ht="14.5" thickBot="1">
      <c r="C247" s="135" t="s">
        <v>813</v>
      </c>
      <c r="D247" s="135" t="s">
        <v>813</v>
      </c>
      <c r="E247" s="136" t="s">
        <v>857</v>
      </c>
      <c r="F247" s="136" t="s">
        <v>857</v>
      </c>
      <c r="G247" s="134"/>
      <c r="H247" s="134"/>
      <c r="I247" s="134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34"/>
      <c r="U247" s="134"/>
      <c r="V247" s="134"/>
      <c r="W247" s="134"/>
      <c r="X247" s="134"/>
      <c r="Y247" s="134"/>
      <c r="Z247" s="134"/>
      <c r="AA247" s="134"/>
      <c r="AB247" s="134"/>
      <c r="AC247" s="134"/>
      <c r="AD247" s="134"/>
      <c r="AE247" s="134"/>
      <c r="AF247" s="134"/>
      <c r="AG247" s="134"/>
      <c r="AH247" s="134"/>
    </row>
    <row r="248" spans="1:34">
      <c r="C248" s="137" t="s">
        <v>858</v>
      </c>
      <c r="D248" s="138" t="s">
        <v>859</v>
      </c>
      <c r="E248" s="137" t="s">
        <v>858</v>
      </c>
      <c r="F248" s="138" t="s">
        <v>859</v>
      </c>
      <c r="G248" s="134"/>
      <c r="H248" s="134"/>
      <c r="I248" s="134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34"/>
      <c r="U248" s="134"/>
      <c r="V248" s="134"/>
      <c r="W248" s="134"/>
      <c r="X248" s="134"/>
      <c r="Y248" s="134"/>
      <c r="Z248" s="134"/>
      <c r="AA248" s="134"/>
      <c r="AB248" s="134"/>
      <c r="AC248" s="134"/>
      <c r="AD248" s="134"/>
      <c r="AE248" s="134"/>
      <c r="AF248" s="134"/>
      <c r="AG248" s="134"/>
      <c r="AH248" s="134"/>
    </row>
    <row r="249" spans="1:34" ht="14.5" thickBot="1">
      <c r="A249" s="139" t="s">
        <v>860</v>
      </c>
      <c r="B249" s="140" t="s">
        <v>861</v>
      </c>
      <c r="C249" s="206" t="s">
        <v>862</v>
      </c>
      <c r="D249" s="207" t="s">
        <v>863</v>
      </c>
      <c r="E249" s="206" t="s">
        <v>862</v>
      </c>
      <c r="F249" s="207" t="s">
        <v>863</v>
      </c>
      <c r="G249" s="134"/>
      <c r="H249" s="134"/>
      <c r="I249" s="134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34"/>
      <c r="U249" s="134"/>
      <c r="V249" s="134"/>
      <c r="W249" s="134"/>
      <c r="X249" s="134"/>
      <c r="Y249" s="134"/>
      <c r="Z249" s="134"/>
      <c r="AA249" s="134"/>
      <c r="AB249" s="134"/>
      <c r="AC249" s="134"/>
      <c r="AD249" s="134"/>
      <c r="AE249" s="134"/>
      <c r="AF249" s="134"/>
      <c r="AG249" s="134"/>
      <c r="AH249" s="134"/>
    </row>
    <row r="250" spans="1:34">
      <c r="A250" s="145">
        <v>24</v>
      </c>
      <c r="B250" s="146" t="s">
        <v>894</v>
      </c>
      <c r="C250" s="231">
        <v>0.54317789291882501</v>
      </c>
      <c r="D250" s="209">
        <v>2.9411764705882302</v>
      </c>
      <c r="E250" s="231">
        <v>2.6502590673575099</v>
      </c>
      <c r="F250" s="209">
        <v>6.3235294117647003</v>
      </c>
      <c r="G250" s="134"/>
      <c r="H250" s="134"/>
      <c r="I250" s="134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134"/>
      <c r="U250" s="134"/>
      <c r="V250" s="134"/>
      <c r="W250" s="134"/>
      <c r="X250" s="134"/>
      <c r="Y250" s="134"/>
      <c r="Z250" s="134"/>
      <c r="AA250" s="134"/>
      <c r="AB250" s="134"/>
      <c r="AC250" s="134"/>
      <c r="AD250" s="134"/>
      <c r="AE250" s="134"/>
      <c r="AF250" s="134"/>
      <c r="AG250" s="134"/>
      <c r="AH250" s="134"/>
    </row>
    <row r="251" spans="1:34">
      <c r="A251" s="151"/>
      <c r="B251" s="152"/>
      <c r="C251" s="188">
        <v>1.0785837651122601</v>
      </c>
      <c r="D251" s="189">
        <v>3.8235294117646998</v>
      </c>
      <c r="E251" s="188">
        <v>3.1727115716753</v>
      </c>
      <c r="F251" s="189">
        <v>3.8823529411764701</v>
      </c>
      <c r="G251" s="134"/>
      <c r="H251" s="134"/>
      <c r="I251" s="134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134"/>
      <c r="U251" s="134"/>
      <c r="V251" s="134"/>
      <c r="W251" s="134"/>
      <c r="X251" s="134"/>
      <c r="Y251" s="134"/>
      <c r="Z251" s="134"/>
      <c r="AA251" s="134"/>
      <c r="AB251" s="134"/>
      <c r="AC251" s="134"/>
      <c r="AD251" s="134"/>
      <c r="AE251" s="134"/>
      <c r="AF251" s="134"/>
      <c r="AG251" s="134"/>
      <c r="AH251" s="134"/>
    </row>
    <row r="252" spans="1:34">
      <c r="A252" s="151"/>
      <c r="B252" s="152"/>
      <c r="C252" s="188">
        <v>1.6053540587219299</v>
      </c>
      <c r="D252" s="189">
        <v>5.8823529411764701</v>
      </c>
      <c r="E252" s="188">
        <v>3.6908462867012002</v>
      </c>
      <c r="F252" s="189">
        <v>1.97058823529411</v>
      </c>
      <c r="G252" s="134"/>
      <c r="H252" s="134"/>
      <c r="I252" s="134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134"/>
      <c r="U252" s="134"/>
      <c r="V252" s="134"/>
      <c r="W252" s="134"/>
      <c r="X252" s="134"/>
      <c r="Y252" s="134"/>
      <c r="Z252" s="134"/>
      <c r="AA252" s="134"/>
      <c r="AB252" s="134"/>
      <c r="AC252" s="134"/>
      <c r="AD252" s="134"/>
      <c r="AE252" s="134"/>
      <c r="AF252" s="134"/>
      <c r="AG252" s="134"/>
      <c r="AH252" s="134"/>
    </row>
    <row r="253" spans="1:34">
      <c r="A253" s="151"/>
      <c r="B253" s="152"/>
      <c r="C253" s="188">
        <v>2.1278065630397198</v>
      </c>
      <c r="D253" s="189">
        <v>16.029411764705799</v>
      </c>
      <c r="E253" s="188">
        <v>4.1960276338514602</v>
      </c>
      <c r="F253" s="189">
        <v>1.47058823529411</v>
      </c>
      <c r="G253" s="134"/>
      <c r="H253" s="134"/>
      <c r="I253" s="134"/>
      <c r="J253" s="134"/>
      <c r="K253" s="134"/>
      <c r="L253" s="134"/>
      <c r="M253" s="134"/>
      <c r="N253" s="134"/>
      <c r="O253" s="134"/>
      <c r="P253" s="134"/>
      <c r="Q253" s="134"/>
      <c r="R253" s="134"/>
      <c r="S253" s="134"/>
      <c r="T253" s="134"/>
      <c r="U253" s="134"/>
      <c r="V253" s="134"/>
      <c r="W253" s="134"/>
      <c r="X253" s="134"/>
      <c r="Y253" s="134"/>
      <c r="Z253" s="134"/>
      <c r="AA253" s="134"/>
      <c r="AB253" s="134"/>
      <c r="AC253" s="134"/>
      <c r="AD253" s="134"/>
      <c r="AE253" s="134"/>
      <c r="AF253" s="134"/>
      <c r="AG253" s="134"/>
      <c r="AH253" s="134"/>
    </row>
    <row r="254" spans="1:34">
      <c r="A254" s="151"/>
      <c r="B254" s="152"/>
      <c r="C254" s="211"/>
      <c r="D254" s="212"/>
      <c r="E254" s="188">
        <v>4.6925734024179597</v>
      </c>
      <c r="F254" s="189">
        <v>1</v>
      </c>
      <c r="G254" s="134"/>
      <c r="H254" s="134"/>
      <c r="I254" s="134"/>
      <c r="J254" s="134"/>
      <c r="K254" s="134"/>
      <c r="L254" s="134"/>
      <c r="M254" s="134"/>
      <c r="N254" s="134"/>
      <c r="O254" s="134"/>
      <c r="P254" s="134"/>
      <c r="Q254" s="134"/>
      <c r="R254" s="134"/>
      <c r="S254" s="134"/>
      <c r="T254" s="134"/>
      <c r="U254" s="134"/>
      <c r="V254" s="134"/>
      <c r="W254" s="134"/>
      <c r="X254" s="134"/>
      <c r="Y254" s="134"/>
      <c r="Z254" s="134"/>
      <c r="AA254" s="134"/>
      <c r="AB254" s="134"/>
      <c r="AC254" s="134"/>
      <c r="AD254" s="134"/>
      <c r="AE254" s="134"/>
      <c r="AF254" s="134"/>
      <c r="AG254" s="134"/>
      <c r="AH254" s="134"/>
    </row>
    <row r="255" spans="1:34">
      <c r="A255" s="151"/>
      <c r="B255" s="152"/>
      <c r="C255" s="211"/>
      <c r="D255" s="212"/>
      <c r="E255" s="188">
        <v>5.2063903281519801</v>
      </c>
      <c r="F255" s="189">
        <v>2.94117647058823E-2</v>
      </c>
      <c r="G255" s="134"/>
      <c r="H255" s="134"/>
      <c r="I255" s="134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4"/>
      <c r="U255" s="134"/>
      <c r="V255" s="134"/>
      <c r="W255" s="134"/>
      <c r="X255" s="134"/>
      <c r="Y255" s="134"/>
      <c r="Z255" s="134"/>
      <c r="AA255" s="134"/>
      <c r="AB255" s="134"/>
      <c r="AC255" s="134"/>
      <c r="AD255" s="134"/>
      <c r="AE255" s="134"/>
      <c r="AF255" s="134"/>
      <c r="AG255" s="134"/>
      <c r="AH255" s="134"/>
    </row>
    <row r="256" spans="1:34">
      <c r="A256" s="151"/>
      <c r="B256" s="152"/>
      <c r="C256" s="211"/>
      <c r="D256" s="212"/>
      <c r="E256" s="190"/>
      <c r="F256" s="191"/>
      <c r="G256" s="134"/>
      <c r="H256" s="134"/>
      <c r="I256" s="134"/>
      <c r="J256" s="134"/>
      <c r="K256" s="134"/>
      <c r="L256" s="134"/>
      <c r="M256" s="134"/>
      <c r="N256" s="134"/>
      <c r="O256" s="134"/>
      <c r="P256" s="134"/>
      <c r="Q256" s="134"/>
      <c r="R256" s="134"/>
      <c r="S256" s="134"/>
      <c r="T256" s="134"/>
      <c r="U256" s="134"/>
      <c r="V256" s="134"/>
      <c r="W256" s="134"/>
      <c r="X256" s="134"/>
      <c r="Y256" s="134"/>
      <c r="Z256" s="134"/>
      <c r="AA256" s="134"/>
      <c r="AB256" s="134"/>
      <c r="AC256" s="134"/>
      <c r="AD256" s="134"/>
      <c r="AE256" s="134"/>
      <c r="AF256" s="134"/>
      <c r="AG256" s="134"/>
      <c r="AH256" s="134"/>
    </row>
    <row r="257" spans="1:34">
      <c r="A257" s="151"/>
      <c r="B257" s="152"/>
      <c r="C257" s="179"/>
      <c r="D257" s="180"/>
      <c r="E257" s="190"/>
      <c r="F257" s="191"/>
      <c r="G257" s="134"/>
      <c r="H257" s="134"/>
      <c r="I257" s="134"/>
      <c r="J257" s="134"/>
      <c r="K257" s="134"/>
      <c r="L257" s="134"/>
      <c r="M257" s="134"/>
      <c r="N257" s="134"/>
      <c r="O257" s="134"/>
      <c r="P257" s="134"/>
      <c r="Q257" s="134"/>
      <c r="R257" s="134"/>
      <c r="S257" s="134"/>
      <c r="T257" s="134"/>
      <c r="U257" s="134"/>
      <c r="V257" s="134"/>
      <c r="W257" s="134"/>
      <c r="X257" s="134"/>
      <c r="Y257" s="134"/>
      <c r="Z257" s="134"/>
      <c r="AA257" s="134"/>
      <c r="AB257" s="134"/>
      <c r="AC257" s="134"/>
      <c r="AD257" s="134"/>
      <c r="AE257" s="134"/>
      <c r="AF257" s="134"/>
      <c r="AG257" s="134"/>
      <c r="AH257" s="134"/>
    </row>
    <row r="258" spans="1:34">
      <c r="A258" s="151"/>
      <c r="B258" s="152"/>
      <c r="C258" s="179"/>
      <c r="D258" s="180"/>
      <c r="E258" s="190"/>
      <c r="F258" s="191"/>
      <c r="G258" s="134"/>
      <c r="H258" s="134"/>
      <c r="I258" s="134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4"/>
      <c r="U258" s="134"/>
      <c r="V258" s="134"/>
      <c r="W258" s="134"/>
      <c r="X258" s="134"/>
      <c r="Y258" s="134"/>
      <c r="Z258" s="134"/>
      <c r="AA258" s="134"/>
      <c r="AB258" s="134"/>
      <c r="AC258" s="134"/>
      <c r="AD258" s="134"/>
      <c r="AE258" s="134"/>
      <c r="AF258" s="134"/>
      <c r="AG258" s="134"/>
      <c r="AH258" s="134"/>
    </row>
    <row r="259" spans="1:34" ht="14.5" thickBot="1">
      <c r="A259" s="160"/>
      <c r="B259" s="161"/>
      <c r="C259" s="182"/>
      <c r="D259" s="183"/>
      <c r="E259" s="184"/>
      <c r="F259" s="183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4"/>
      <c r="AD259" s="134"/>
      <c r="AE259" s="134"/>
      <c r="AF259" s="134"/>
      <c r="AG259" s="134"/>
      <c r="AH259" s="134"/>
    </row>
    <row r="260" spans="1:34">
      <c r="G260" s="134"/>
      <c r="H260" s="134"/>
      <c r="I260" s="134"/>
      <c r="J260" s="134"/>
      <c r="K260" s="134"/>
      <c r="L260" s="134"/>
      <c r="M260" s="134"/>
      <c r="N260" s="134"/>
      <c r="O260" s="134"/>
      <c r="P260" s="134"/>
      <c r="Q260" s="134"/>
      <c r="R260" s="134"/>
      <c r="S260" s="134"/>
      <c r="T260" s="134"/>
      <c r="U260" s="134"/>
      <c r="V260" s="134"/>
      <c r="W260" s="134"/>
      <c r="X260" s="134"/>
      <c r="Y260" s="134"/>
      <c r="Z260" s="134"/>
      <c r="AA260" s="134"/>
      <c r="AB260" s="134"/>
      <c r="AC260" s="134"/>
      <c r="AD260" s="134"/>
      <c r="AE260" s="134"/>
      <c r="AF260" s="134"/>
      <c r="AG260" s="134"/>
      <c r="AH260" s="134"/>
    </row>
    <row r="261" spans="1:34">
      <c r="G261" s="134"/>
      <c r="H261" s="134"/>
      <c r="I261" s="134"/>
      <c r="J261" s="134"/>
      <c r="K261" s="134"/>
      <c r="L261" s="134"/>
      <c r="M261" s="134"/>
      <c r="N261" s="134"/>
      <c r="O261" s="134"/>
      <c r="P261" s="134"/>
      <c r="Q261" s="134"/>
      <c r="R261" s="134"/>
      <c r="S261" s="134"/>
      <c r="T261" s="134"/>
      <c r="U261" s="134"/>
      <c r="V261" s="134"/>
      <c r="W261" s="134"/>
      <c r="X261" s="134"/>
      <c r="Y261" s="134"/>
      <c r="Z261" s="134"/>
      <c r="AA261" s="134"/>
      <c r="AB261" s="134"/>
      <c r="AC261" s="134"/>
      <c r="AD261" s="134"/>
      <c r="AE261" s="134"/>
      <c r="AF261" s="134"/>
      <c r="AG261" s="134"/>
      <c r="AH261" s="134"/>
    </row>
    <row r="262" spans="1:34">
      <c r="A262" s="131"/>
      <c r="B262" s="131"/>
      <c r="C262" s="132" t="s">
        <v>895</v>
      </c>
      <c r="D262" s="131"/>
      <c r="E262" s="131"/>
      <c r="F262" s="186" t="s">
        <v>870</v>
      </c>
      <c r="G262" s="134"/>
      <c r="H262" s="134"/>
      <c r="I262" s="134"/>
      <c r="J262" s="134"/>
      <c r="K262" s="134"/>
      <c r="L262" s="134"/>
      <c r="M262" s="134"/>
      <c r="N262" s="134"/>
      <c r="O262" s="134"/>
      <c r="P262" s="134"/>
      <c r="Q262" s="134"/>
      <c r="R262" s="134"/>
      <c r="S262" s="134"/>
      <c r="T262" s="134"/>
      <c r="U262" s="134"/>
      <c r="V262" s="134"/>
      <c r="W262" s="134"/>
      <c r="X262" s="134"/>
      <c r="Y262" s="134"/>
      <c r="Z262" s="134"/>
      <c r="AA262" s="134"/>
      <c r="AB262" s="134"/>
      <c r="AC262" s="134"/>
      <c r="AD262" s="134"/>
      <c r="AE262" s="134"/>
      <c r="AF262" s="134"/>
      <c r="AG262" s="134"/>
      <c r="AH262" s="134"/>
    </row>
    <row r="263" spans="1:34">
      <c r="C263" s="133" t="s">
        <v>856</v>
      </c>
      <c r="D263" s="133" t="s">
        <v>856</v>
      </c>
      <c r="G263" s="134"/>
      <c r="H263" s="134"/>
      <c r="I263" s="134"/>
      <c r="J263" s="134"/>
      <c r="K263" s="134"/>
      <c r="L263" s="134"/>
      <c r="M263" s="134"/>
      <c r="N263" s="134"/>
      <c r="O263" s="134"/>
      <c r="P263" s="134"/>
      <c r="Q263" s="134"/>
      <c r="R263" s="134"/>
      <c r="S263" s="134"/>
      <c r="T263" s="134"/>
      <c r="U263" s="134"/>
      <c r="V263" s="134"/>
      <c r="W263" s="134"/>
      <c r="X263" s="134"/>
      <c r="Y263" s="134"/>
      <c r="Z263" s="134"/>
      <c r="AA263" s="134"/>
      <c r="AB263" s="134"/>
      <c r="AC263" s="134"/>
      <c r="AD263" s="134"/>
      <c r="AE263" s="134"/>
      <c r="AF263" s="134"/>
      <c r="AG263" s="134"/>
      <c r="AH263" s="134"/>
    </row>
    <row r="264" spans="1:34" ht="14.5" thickBot="1">
      <c r="C264" s="135" t="s">
        <v>813</v>
      </c>
      <c r="D264" s="135" t="s">
        <v>813</v>
      </c>
      <c r="E264" s="136" t="s">
        <v>857</v>
      </c>
      <c r="F264" s="136" t="s">
        <v>857</v>
      </c>
      <c r="G264" s="134"/>
      <c r="H264" s="134"/>
      <c r="I264" s="134"/>
      <c r="J264" s="134"/>
      <c r="K264" s="134"/>
      <c r="L264" s="134"/>
      <c r="M264" s="134"/>
      <c r="N264" s="134"/>
      <c r="O264" s="134"/>
      <c r="P264" s="134"/>
      <c r="Q264" s="134"/>
      <c r="R264" s="134"/>
      <c r="S264" s="134"/>
      <c r="T264" s="134"/>
      <c r="U264" s="134"/>
      <c r="V264" s="134"/>
      <c r="W264" s="134"/>
      <c r="X264" s="134"/>
      <c r="Y264" s="134"/>
      <c r="Z264" s="134"/>
      <c r="AA264" s="134"/>
      <c r="AB264" s="134"/>
      <c r="AC264" s="134"/>
      <c r="AD264" s="134"/>
      <c r="AE264" s="134"/>
      <c r="AF264" s="134"/>
      <c r="AG264" s="134"/>
      <c r="AH264" s="134"/>
    </row>
    <row r="265" spans="1:34">
      <c r="C265" s="137" t="s">
        <v>858</v>
      </c>
      <c r="D265" s="138" t="s">
        <v>859</v>
      </c>
      <c r="E265" s="137" t="s">
        <v>858</v>
      </c>
      <c r="F265" s="138" t="s">
        <v>859</v>
      </c>
      <c r="G265" s="134"/>
      <c r="H265" s="134"/>
      <c r="I265" s="134"/>
      <c r="J265" s="134"/>
      <c r="K265" s="134"/>
      <c r="L265" s="134"/>
      <c r="M265" s="134"/>
      <c r="N265" s="134"/>
      <c r="O265" s="134"/>
      <c r="P265" s="134"/>
      <c r="Q265" s="134"/>
      <c r="R265" s="134"/>
      <c r="S265" s="134"/>
      <c r="T265" s="134"/>
      <c r="U265" s="134"/>
      <c r="V265" s="134"/>
      <c r="W265" s="134"/>
      <c r="X265" s="134"/>
      <c r="Y265" s="134"/>
      <c r="Z265" s="134"/>
      <c r="AA265" s="134"/>
      <c r="AB265" s="134"/>
      <c r="AC265" s="134"/>
      <c r="AD265" s="134"/>
      <c r="AE265" s="134"/>
      <c r="AF265" s="134"/>
      <c r="AG265" s="134"/>
      <c r="AH265" s="134"/>
    </row>
    <row r="266" spans="1:34" ht="14.5" thickBot="1">
      <c r="A266" s="139" t="s">
        <v>860</v>
      </c>
      <c r="B266" s="140" t="s">
        <v>861</v>
      </c>
      <c r="C266" s="206" t="s">
        <v>862</v>
      </c>
      <c r="D266" s="207" t="s">
        <v>863</v>
      </c>
      <c r="E266" s="206" t="s">
        <v>862</v>
      </c>
      <c r="F266" s="207" t="s">
        <v>863</v>
      </c>
      <c r="G266" s="134"/>
      <c r="H266" s="134"/>
      <c r="I266" s="134"/>
      <c r="J266" s="134"/>
      <c r="K266" s="134"/>
      <c r="L266" s="134"/>
      <c r="M266" s="134"/>
      <c r="N266" s="134"/>
      <c r="O266" s="134"/>
      <c r="P266" s="134"/>
      <c r="Q266" s="134"/>
      <c r="R266" s="134"/>
      <c r="S266" s="134"/>
      <c r="T266" s="134"/>
      <c r="U266" s="134"/>
      <c r="V266" s="134"/>
      <c r="W266" s="134"/>
      <c r="X266" s="134"/>
      <c r="Y266" s="134"/>
      <c r="Z266" s="134"/>
      <c r="AA266" s="134"/>
      <c r="AB266" s="134"/>
      <c r="AC266" s="134"/>
      <c r="AD266" s="134"/>
      <c r="AE266" s="134"/>
      <c r="AF266" s="134"/>
      <c r="AG266" s="134"/>
      <c r="AH266" s="134"/>
    </row>
    <row r="267" spans="1:34">
      <c r="A267" s="145">
        <v>25</v>
      </c>
      <c r="B267" s="146">
        <v>29</v>
      </c>
      <c r="C267" s="231">
        <v>0.54946043165467595</v>
      </c>
      <c r="D267" s="209">
        <v>1.99692780337941</v>
      </c>
      <c r="E267" s="231">
        <v>3.6879496402877598</v>
      </c>
      <c r="F267" s="209">
        <v>11.029185867895499</v>
      </c>
      <c r="G267" s="134"/>
      <c r="H267" s="134"/>
      <c r="I267" s="134"/>
      <c r="J267" s="134"/>
      <c r="K267" s="134"/>
      <c r="L267" s="134"/>
      <c r="M267" s="134"/>
      <c r="N267" s="134"/>
      <c r="O267" s="134"/>
      <c r="P267" s="134"/>
      <c r="Q267" s="134"/>
      <c r="R267" s="134"/>
      <c r="S267" s="134"/>
      <c r="T267" s="134"/>
      <c r="U267" s="134"/>
      <c r="V267" s="134"/>
      <c r="W267" s="134"/>
      <c r="X267" s="134"/>
      <c r="Y267" s="134"/>
      <c r="Z267" s="134"/>
      <c r="AA267" s="134"/>
      <c r="AB267" s="134"/>
      <c r="AC267" s="134"/>
      <c r="AD267" s="134"/>
      <c r="AE267" s="134"/>
      <c r="AF267" s="134"/>
      <c r="AG267" s="134"/>
      <c r="AH267" s="134"/>
    </row>
    <row r="268" spans="1:34">
      <c r="A268" s="151"/>
      <c r="B268" s="152"/>
      <c r="C268" s="188">
        <v>1.08453237410071</v>
      </c>
      <c r="D268" s="189">
        <v>3.4408602150537599</v>
      </c>
      <c r="E268" s="188">
        <v>4.1915467625899199</v>
      </c>
      <c r="F268" s="189">
        <v>7.3732718894009199</v>
      </c>
      <c r="G268" s="134"/>
      <c r="H268" s="134"/>
      <c r="I268" s="134"/>
      <c r="J268" s="134"/>
      <c r="K268" s="134"/>
      <c r="L268" s="134"/>
      <c r="M268" s="134"/>
      <c r="N268" s="134"/>
      <c r="O268" s="134"/>
      <c r="P268" s="134"/>
      <c r="Q268" s="134"/>
      <c r="R268" s="134"/>
      <c r="S268" s="134"/>
      <c r="T268" s="134"/>
      <c r="U268" s="134"/>
      <c r="V268" s="134"/>
      <c r="W268" s="134"/>
      <c r="X268" s="134"/>
      <c r="Y268" s="134"/>
      <c r="Z268" s="134"/>
      <c r="AA268" s="134"/>
      <c r="AB268" s="134"/>
      <c r="AC268" s="134"/>
      <c r="AD268" s="134"/>
      <c r="AE268" s="134"/>
      <c r="AF268" s="134"/>
      <c r="AG268" s="134"/>
      <c r="AH268" s="134"/>
    </row>
    <row r="269" spans="1:34">
      <c r="A269" s="151"/>
      <c r="B269" s="152"/>
      <c r="C269" s="188">
        <v>1.6106115107913599</v>
      </c>
      <c r="D269" s="189">
        <v>3.4101382488479199</v>
      </c>
      <c r="E269" s="188">
        <v>4.6951438848920803</v>
      </c>
      <c r="F269" s="189">
        <v>4.8540706605222699</v>
      </c>
      <c r="G269" s="134"/>
      <c r="H269" s="134"/>
      <c r="I269" s="134"/>
      <c r="J269" s="134"/>
      <c r="K269" s="134"/>
      <c r="L269" s="134"/>
      <c r="M269" s="134"/>
      <c r="N269" s="134"/>
      <c r="O269" s="134"/>
      <c r="P269" s="134"/>
      <c r="Q269" s="134"/>
      <c r="R269" s="134"/>
      <c r="S269" s="134"/>
      <c r="T269" s="134"/>
      <c r="U269" s="134"/>
      <c r="V269" s="134"/>
      <c r="W269" s="134"/>
      <c r="X269" s="134"/>
      <c r="Y269" s="134"/>
      <c r="Z269" s="134"/>
      <c r="AA269" s="134"/>
      <c r="AB269" s="134"/>
      <c r="AC269" s="134"/>
      <c r="AD269" s="134"/>
      <c r="AE269" s="134"/>
      <c r="AF269" s="134"/>
      <c r="AG269" s="134"/>
      <c r="AH269" s="134"/>
    </row>
    <row r="270" spans="1:34">
      <c r="A270" s="151"/>
      <c r="B270" s="152"/>
      <c r="C270" s="188">
        <v>2.1321942446043098</v>
      </c>
      <c r="D270" s="189">
        <v>4.8540706605222699</v>
      </c>
      <c r="E270" s="188">
        <v>5.1987410071942399</v>
      </c>
      <c r="F270" s="189">
        <v>2.9800307219661999</v>
      </c>
      <c r="G270" s="134"/>
      <c r="H270" s="134"/>
      <c r="I270" s="134"/>
      <c r="J270" s="134"/>
      <c r="K270" s="134"/>
      <c r="L270" s="134"/>
      <c r="M270" s="134"/>
      <c r="N270" s="134"/>
      <c r="O270" s="134"/>
      <c r="P270" s="134"/>
      <c r="Q270" s="134"/>
      <c r="R270" s="134"/>
      <c r="S270" s="134"/>
      <c r="T270" s="134"/>
      <c r="U270" s="134"/>
      <c r="V270" s="134"/>
      <c r="W270" s="134"/>
      <c r="X270" s="134"/>
      <c r="Y270" s="134"/>
      <c r="Z270" s="134"/>
      <c r="AA270" s="134"/>
      <c r="AB270" s="134"/>
      <c r="AC270" s="134"/>
      <c r="AD270" s="134"/>
      <c r="AE270" s="134"/>
      <c r="AF270" s="134"/>
      <c r="AG270" s="134"/>
      <c r="AH270" s="134"/>
    </row>
    <row r="271" spans="1:34">
      <c r="A271" s="151"/>
      <c r="B271" s="152"/>
      <c r="C271" s="188">
        <v>2.6582733812949599</v>
      </c>
      <c r="D271" s="189">
        <v>4.7926267281105899</v>
      </c>
      <c r="E271" s="190"/>
      <c r="F271" s="191"/>
      <c r="G271" s="134"/>
      <c r="H271" s="134"/>
      <c r="I271" s="134"/>
      <c r="J271" s="134"/>
      <c r="K271" s="134"/>
      <c r="L271" s="134"/>
      <c r="M271" s="134"/>
      <c r="N271" s="134"/>
      <c r="O271" s="134"/>
      <c r="P271" s="134"/>
      <c r="Q271" s="134"/>
      <c r="R271" s="134"/>
      <c r="S271" s="134"/>
      <c r="T271" s="134"/>
      <c r="U271" s="134"/>
      <c r="V271" s="134"/>
      <c r="W271" s="134"/>
      <c r="X271" s="134"/>
      <c r="Y271" s="134"/>
      <c r="Z271" s="134"/>
      <c r="AA271" s="134"/>
      <c r="AB271" s="134"/>
      <c r="AC271" s="134"/>
      <c r="AD271" s="134"/>
      <c r="AE271" s="134"/>
      <c r="AF271" s="134"/>
      <c r="AG271" s="134"/>
      <c r="AH271" s="134"/>
    </row>
    <row r="272" spans="1:34">
      <c r="A272" s="151"/>
      <c r="B272" s="152"/>
      <c r="C272" s="188">
        <v>3.1798561151079099</v>
      </c>
      <c r="D272" s="189">
        <v>8.8786482334869401</v>
      </c>
      <c r="E272" s="190"/>
      <c r="F272" s="191"/>
      <c r="G272" s="134"/>
      <c r="H272" s="134"/>
      <c r="I272" s="134"/>
      <c r="J272" s="134"/>
      <c r="K272" s="134"/>
      <c r="L272" s="134"/>
      <c r="M272" s="134"/>
      <c r="N272" s="134"/>
      <c r="O272" s="134"/>
      <c r="P272" s="134"/>
      <c r="Q272" s="134"/>
      <c r="R272" s="134"/>
      <c r="S272" s="134"/>
      <c r="T272" s="134"/>
      <c r="U272" s="134"/>
      <c r="V272" s="134"/>
      <c r="W272" s="134"/>
      <c r="X272" s="134"/>
      <c r="Y272" s="134"/>
      <c r="Z272" s="134"/>
      <c r="AA272" s="134"/>
      <c r="AB272" s="134"/>
      <c r="AC272" s="134"/>
      <c r="AD272" s="134"/>
      <c r="AE272" s="134"/>
      <c r="AF272" s="134"/>
      <c r="AG272" s="134"/>
      <c r="AH272" s="134"/>
    </row>
    <row r="273" spans="1:34">
      <c r="A273" s="151"/>
      <c r="B273" s="152"/>
      <c r="C273" s="188">
        <v>3.6879496402877598</v>
      </c>
      <c r="D273" s="189">
        <v>14.009216589861699</v>
      </c>
      <c r="E273" s="190"/>
      <c r="F273" s="191"/>
      <c r="G273" s="134"/>
      <c r="H273" s="134"/>
      <c r="I273" s="134"/>
      <c r="J273" s="134"/>
      <c r="K273" s="134"/>
      <c r="L273" s="134"/>
      <c r="M273" s="134"/>
      <c r="N273" s="134"/>
      <c r="O273" s="134"/>
      <c r="P273" s="134"/>
      <c r="Q273" s="134"/>
      <c r="R273" s="134"/>
      <c r="S273" s="134"/>
      <c r="T273" s="134"/>
      <c r="U273" s="134"/>
      <c r="V273" s="134"/>
      <c r="W273" s="134"/>
      <c r="X273" s="134"/>
      <c r="Y273" s="134"/>
      <c r="Z273" s="134"/>
      <c r="AA273" s="134"/>
      <c r="AB273" s="134"/>
      <c r="AC273" s="134"/>
      <c r="AD273" s="134"/>
      <c r="AE273" s="134"/>
      <c r="AF273" s="134"/>
      <c r="AG273" s="134"/>
      <c r="AH273" s="134"/>
    </row>
    <row r="274" spans="1:34">
      <c r="A274" s="151"/>
      <c r="B274" s="152"/>
      <c r="C274" s="188">
        <v>4.1915467625899199</v>
      </c>
      <c r="D274" s="189">
        <v>17.235023041474602</v>
      </c>
      <c r="E274" s="190"/>
      <c r="F274" s="191"/>
      <c r="G274" s="134"/>
      <c r="H274" s="134"/>
      <c r="I274" s="134"/>
      <c r="J274" s="134"/>
      <c r="K274" s="134"/>
      <c r="L274" s="134"/>
      <c r="M274" s="134"/>
      <c r="N274" s="134"/>
      <c r="O274" s="134"/>
      <c r="P274" s="134"/>
      <c r="Q274" s="134"/>
      <c r="R274" s="134"/>
      <c r="S274" s="134"/>
      <c r="T274" s="134"/>
      <c r="U274" s="134"/>
      <c r="V274" s="134"/>
      <c r="W274" s="134"/>
      <c r="X274" s="134"/>
      <c r="Y274" s="134"/>
      <c r="Z274" s="134"/>
      <c r="AA274" s="134"/>
      <c r="AB274" s="134"/>
      <c r="AC274" s="134"/>
      <c r="AD274" s="134"/>
      <c r="AE274" s="134"/>
      <c r="AF274" s="134"/>
      <c r="AG274" s="134"/>
      <c r="AH274" s="134"/>
    </row>
    <row r="275" spans="1:34">
      <c r="A275" s="151"/>
      <c r="B275" s="152"/>
      <c r="C275" s="179"/>
      <c r="D275" s="180"/>
      <c r="E275" s="190"/>
      <c r="F275" s="191"/>
      <c r="G275" s="134"/>
      <c r="H275" s="134"/>
      <c r="I275" s="134"/>
      <c r="J275" s="134"/>
      <c r="K275" s="134"/>
      <c r="L275" s="134"/>
      <c r="M275" s="134"/>
      <c r="N275" s="134"/>
      <c r="O275" s="134"/>
      <c r="P275" s="134"/>
      <c r="Q275" s="134"/>
      <c r="R275" s="134"/>
      <c r="S275" s="134"/>
      <c r="T275" s="134"/>
      <c r="U275" s="134"/>
      <c r="V275" s="134"/>
      <c r="W275" s="134"/>
      <c r="X275" s="134"/>
      <c r="Y275" s="134"/>
      <c r="Z275" s="134"/>
      <c r="AA275" s="134"/>
      <c r="AB275" s="134"/>
      <c r="AC275" s="134"/>
      <c r="AD275" s="134"/>
      <c r="AE275" s="134"/>
      <c r="AF275" s="134"/>
      <c r="AG275" s="134"/>
      <c r="AH275" s="134"/>
    </row>
    <row r="276" spans="1:34" ht="14.5" thickBot="1">
      <c r="A276" s="160"/>
      <c r="B276" s="161"/>
      <c r="C276" s="182"/>
      <c r="D276" s="183"/>
      <c r="E276" s="184"/>
      <c r="F276" s="183"/>
      <c r="G276" s="134"/>
      <c r="H276" s="134"/>
      <c r="I276" s="134"/>
      <c r="J276" s="134"/>
      <c r="K276" s="134"/>
      <c r="L276" s="134"/>
      <c r="M276" s="134"/>
      <c r="N276" s="134"/>
      <c r="O276" s="134"/>
      <c r="P276" s="134"/>
      <c r="Q276" s="134"/>
      <c r="R276" s="134"/>
      <c r="S276" s="134"/>
      <c r="T276" s="134"/>
      <c r="U276" s="134"/>
      <c r="V276" s="134"/>
      <c r="W276" s="134"/>
      <c r="X276" s="134"/>
      <c r="Y276" s="134"/>
      <c r="Z276" s="134"/>
      <c r="AA276" s="134"/>
      <c r="AB276" s="134"/>
      <c r="AC276" s="134"/>
      <c r="AD276" s="134"/>
      <c r="AE276" s="134"/>
      <c r="AF276" s="134"/>
      <c r="AG276" s="134"/>
      <c r="AH276" s="134"/>
    </row>
    <row r="277" spans="1:34">
      <c r="G277" s="134"/>
      <c r="H277" s="134"/>
      <c r="I277" s="134"/>
      <c r="J277" s="134"/>
      <c r="K277" s="134"/>
      <c r="L277" s="134"/>
      <c r="M277" s="134"/>
      <c r="N277" s="134"/>
      <c r="O277" s="134"/>
      <c r="P277" s="134"/>
      <c r="Q277" s="134"/>
      <c r="R277" s="134"/>
      <c r="S277" s="134"/>
      <c r="T277" s="134"/>
      <c r="U277" s="134"/>
      <c r="V277" s="134"/>
      <c r="W277" s="134"/>
      <c r="X277" s="134"/>
      <c r="Y277" s="134"/>
      <c r="Z277" s="134"/>
      <c r="AA277" s="134"/>
      <c r="AB277" s="134"/>
      <c r="AC277" s="134"/>
      <c r="AD277" s="134"/>
      <c r="AE277" s="134"/>
      <c r="AF277" s="134"/>
      <c r="AG277" s="134"/>
      <c r="AH277" s="134"/>
    </row>
    <row r="278" spans="1:34">
      <c r="G278" s="134"/>
      <c r="H278" s="134"/>
      <c r="I278" s="134"/>
      <c r="J278" s="134"/>
      <c r="K278" s="134"/>
      <c r="L278" s="134"/>
      <c r="M278" s="134"/>
      <c r="N278" s="134"/>
      <c r="O278" s="134"/>
      <c r="P278" s="134"/>
      <c r="Q278" s="134"/>
      <c r="R278" s="134"/>
      <c r="S278" s="134"/>
      <c r="T278" s="134"/>
      <c r="U278" s="134"/>
      <c r="V278" s="134"/>
      <c r="W278" s="134"/>
      <c r="X278" s="134"/>
      <c r="Y278" s="134"/>
      <c r="Z278" s="134"/>
      <c r="AA278" s="134"/>
      <c r="AB278" s="134"/>
      <c r="AC278" s="134"/>
      <c r="AD278" s="134"/>
      <c r="AE278" s="134"/>
      <c r="AF278" s="134"/>
      <c r="AG278" s="134"/>
      <c r="AH278" s="134"/>
    </row>
    <row r="279" spans="1:34">
      <c r="A279" s="131"/>
      <c r="B279" s="131"/>
      <c r="C279" s="132" t="s">
        <v>896</v>
      </c>
      <c r="D279" s="131"/>
      <c r="E279" s="131"/>
      <c r="F279" s="186" t="s">
        <v>870</v>
      </c>
      <c r="G279" s="134"/>
      <c r="H279" s="134"/>
      <c r="I279" s="134"/>
      <c r="J279" s="134"/>
      <c r="K279" s="134"/>
      <c r="L279" s="134"/>
      <c r="M279" s="134"/>
      <c r="N279" s="134"/>
      <c r="O279" s="134"/>
      <c r="P279" s="134"/>
      <c r="Q279" s="134"/>
      <c r="R279" s="134"/>
      <c r="S279" s="134"/>
      <c r="T279" s="134"/>
      <c r="U279" s="134"/>
      <c r="V279" s="134"/>
      <c r="W279" s="134"/>
      <c r="X279" s="134"/>
      <c r="Y279" s="134"/>
      <c r="Z279" s="134"/>
      <c r="AA279" s="134"/>
      <c r="AB279" s="134"/>
      <c r="AC279" s="134"/>
      <c r="AD279" s="134"/>
      <c r="AE279" s="134"/>
      <c r="AF279" s="134"/>
      <c r="AG279" s="134"/>
      <c r="AH279" s="134"/>
    </row>
    <row r="280" spans="1:34">
      <c r="C280" s="133" t="s">
        <v>856</v>
      </c>
      <c r="D280" s="133" t="s">
        <v>856</v>
      </c>
      <c r="G280" s="134"/>
      <c r="H280" s="134"/>
      <c r="I280" s="134"/>
      <c r="J280" s="134"/>
      <c r="K280" s="134"/>
      <c r="L280" s="134"/>
      <c r="M280" s="134"/>
      <c r="N280" s="134"/>
      <c r="O280" s="134"/>
      <c r="P280" s="134"/>
      <c r="Q280" s="134"/>
      <c r="R280" s="134"/>
      <c r="S280" s="134"/>
      <c r="T280" s="134"/>
      <c r="U280" s="134"/>
      <c r="V280" s="134"/>
      <c r="W280" s="134"/>
      <c r="X280" s="134"/>
      <c r="Y280" s="134"/>
      <c r="Z280" s="134"/>
      <c r="AA280" s="134"/>
      <c r="AB280" s="134"/>
      <c r="AC280" s="134"/>
      <c r="AD280" s="134"/>
      <c r="AE280" s="134"/>
      <c r="AF280" s="134"/>
      <c r="AG280" s="134"/>
      <c r="AH280" s="134"/>
    </row>
    <row r="281" spans="1:34" ht="14.5" thickBot="1">
      <c r="C281" s="135" t="s">
        <v>813</v>
      </c>
      <c r="D281" s="135" t="s">
        <v>813</v>
      </c>
      <c r="E281" s="136" t="s">
        <v>857</v>
      </c>
      <c r="F281" s="136" t="s">
        <v>857</v>
      </c>
      <c r="G281" s="134"/>
      <c r="H281" s="134"/>
      <c r="I281" s="134"/>
      <c r="J281" s="134"/>
      <c r="K281" s="134"/>
      <c r="L281" s="134"/>
      <c r="M281" s="134"/>
      <c r="N281" s="134"/>
      <c r="O281" s="134"/>
      <c r="P281" s="134"/>
      <c r="Q281" s="134"/>
      <c r="R281" s="134"/>
      <c r="S281" s="134"/>
      <c r="T281" s="134"/>
      <c r="U281" s="134"/>
      <c r="V281" s="134"/>
      <c r="W281" s="134"/>
      <c r="X281" s="134"/>
      <c r="Y281" s="134"/>
      <c r="Z281" s="134"/>
      <c r="AA281" s="134"/>
      <c r="AB281" s="134"/>
      <c r="AC281" s="134"/>
      <c r="AD281" s="134"/>
      <c r="AE281" s="134"/>
      <c r="AF281" s="134"/>
      <c r="AG281" s="134"/>
      <c r="AH281" s="134"/>
    </row>
    <row r="282" spans="1:34">
      <c r="C282" s="137" t="s">
        <v>858</v>
      </c>
      <c r="D282" s="138" t="s">
        <v>859</v>
      </c>
      <c r="E282" s="137" t="s">
        <v>858</v>
      </c>
      <c r="F282" s="138" t="s">
        <v>859</v>
      </c>
      <c r="G282" s="134"/>
      <c r="H282" s="134"/>
      <c r="I282" s="134"/>
      <c r="J282" s="134"/>
      <c r="K282" s="134"/>
      <c r="L282" s="134"/>
      <c r="M282" s="134"/>
      <c r="N282" s="134"/>
      <c r="O282" s="134"/>
      <c r="P282" s="134"/>
      <c r="Q282" s="134"/>
      <c r="R282" s="134"/>
      <c r="S282" s="134"/>
      <c r="T282" s="134"/>
      <c r="U282" s="134"/>
      <c r="V282" s="134"/>
      <c r="W282" s="134"/>
      <c r="X282" s="134"/>
      <c r="Y282" s="134"/>
      <c r="Z282" s="134"/>
      <c r="AA282" s="134"/>
      <c r="AB282" s="134"/>
      <c r="AC282" s="134"/>
      <c r="AD282" s="134"/>
      <c r="AE282" s="134"/>
      <c r="AF282" s="134"/>
      <c r="AG282" s="134"/>
      <c r="AH282" s="134"/>
    </row>
    <row r="283" spans="1:34" ht="14.5" thickBot="1">
      <c r="A283" s="139" t="s">
        <v>860</v>
      </c>
      <c r="B283" s="140" t="s">
        <v>861</v>
      </c>
      <c r="C283" s="206" t="s">
        <v>862</v>
      </c>
      <c r="D283" s="207" t="s">
        <v>863</v>
      </c>
      <c r="E283" s="206" t="s">
        <v>862</v>
      </c>
      <c r="F283" s="207" t="s">
        <v>863</v>
      </c>
      <c r="G283" s="134"/>
      <c r="H283" s="134"/>
      <c r="I283" s="134"/>
      <c r="J283" s="134"/>
      <c r="K283" s="134"/>
      <c r="L283" s="134"/>
      <c r="M283" s="134"/>
      <c r="N283" s="134"/>
      <c r="O283" s="134"/>
      <c r="P283" s="134"/>
      <c r="Q283" s="134"/>
      <c r="R283" s="134"/>
      <c r="S283" s="134"/>
      <c r="T283" s="134"/>
      <c r="U283" s="134"/>
      <c r="V283" s="134"/>
      <c r="W283" s="134"/>
      <c r="X283" s="134"/>
      <c r="Y283" s="134"/>
      <c r="Z283" s="134"/>
      <c r="AA283" s="134"/>
      <c r="AB283" s="134"/>
      <c r="AC283" s="134"/>
      <c r="AD283" s="134"/>
      <c r="AE283" s="134"/>
      <c r="AF283" s="134"/>
      <c r="AG283" s="134"/>
      <c r="AH283" s="134"/>
    </row>
    <row r="284" spans="1:34">
      <c r="A284" s="145">
        <v>25</v>
      </c>
      <c r="B284" s="146" t="s">
        <v>897</v>
      </c>
      <c r="C284" s="188">
        <v>0.54440497335701599</v>
      </c>
      <c r="D284" s="189">
        <v>2.39393939393939</v>
      </c>
      <c r="E284" s="188">
        <v>4.6918294849022999</v>
      </c>
      <c r="F284" s="189">
        <v>13.1818181818181</v>
      </c>
      <c r="G284" s="134"/>
      <c r="H284" s="134"/>
      <c r="I284" s="134"/>
      <c r="J284" s="134"/>
      <c r="K284" s="134"/>
      <c r="L284" s="134"/>
      <c r="M284" s="134"/>
      <c r="N284" s="134"/>
      <c r="O284" s="134"/>
      <c r="P284" s="134"/>
      <c r="Q284" s="134"/>
      <c r="R284" s="134"/>
      <c r="S284" s="134"/>
      <c r="T284" s="134"/>
      <c r="U284" s="134"/>
      <c r="V284" s="134"/>
      <c r="W284" s="134"/>
      <c r="X284" s="134"/>
      <c r="Y284" s="134"/>
      <c r="Z284" s="134"/>
      <c r="AA284" s="134"/>
      <c r="AB284" s="134"/>
      <c r="AC284" s="134"/>
      <c r="AD284" s="134"/>
      <c r="AE284" s="134"/>
      <c r="AF284" s="134"/>
      <c r="AG284" s="134"/>
      <c r="AH284" s="134"/>
    </row>
    <row r="285" spans="1:34">
      <c r="A285" s="151"/>
      <c r="B285" s="152"/>
      <c r="C285" s="188">
        <v>1.0817051509769</v>
      </c>
      <c r="D285" s="189">
        <v>3.3636363636363602</v>
      </c>
      <c r="E285" s="188">
        <v>5.1980461811722902</v>
      </c>
      <c r="F285" s="189">
        <v>5.39393939393939</v>
      </c>
      <c r="G285" s="134"/>
      <c r="H285" s="134"/>
      <c r="I285" s="134"/>
      <c r="J285" s="134"/>
      <c r="K285" s="134"/>
      <c r="L285" s="134"/>
      <c r="M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  <c r="AB285" s="134"/>
      <c r="AC285" s="134"/>
      <c r="AD285" s="134"/>
      <c r="AE285" s="134"/>
      <c r="AF285" s="134"/>
      <c r="AG285" s="134"/>
      <c r="AH285" s="134"/>
    </row>
    <row r="286" spans="1:34">
      <c r="A286" s="151"/>
      <c r="B286" s="152"/>
      <c r="C286" s="188">
        <v>1.6101243339253899</v>
      </c>
      <c r="D286" s="189">
        <v>2.87878787878787</v>
      </c>
      <c r="E286" s="190"/>
      <c r="F286" s="191"/>
      <c r="G286" s="134"/>
      <c r="H286" s="134"/>
      <c r="I286" s="134"/>
      <c r="J286" s="134"/>
      <c r="K286" s="134"/>
      <c r="L286" s="134"/>
      <c r="M286" s="134"/>
      <c r="N286" s="134"/>
      <c r="O286" s="134"/>
      <c r="P286" s="134"/>
      <c r="Q286" s="134"/>
      <c r="R286" s="134"/>
      <c r="S286" s="134"/>
      <c r="T286" s="134"/>
      <c r="U286" s="134"/>
      <c r="V286" s="134"/>
      <c r="W286" s="134"/>
      <c r="X286" s="134"/>
      <c r="Y286" s="134"/>
      <c r="Z286" s="134"/>
      <c r="AA286" s="134"/>
      <c r="AB286" s="134"/>
      <c r="AC286" s="134"/>
      <c r="AD286" s="134"/>
      <c r="AE286" s="134"/>
      <c r="AF286" s="134"/>
      <c r="AG286" s="134"/>
      <c r="AH286" s="134"/>
    </row>
    <row r="287" spans="1:34">
      <c r="A287" s="151"/>
      <c r="B287" s="152"/>
      <c r="C287" s="188">
        <v>2.13854351687388</v>
      </c>
      <c r="D287" s="189">
        <v>4.39393939393939</v>
      </c>
      <c r="E287" s="190"/>
      <c r="F287" s="191"/>
      <c r="G287" s="134"/>
      <c r="H287" s="134"/>
      <c r="I287" s="134"/>
      <c r="J287" s="134"/>
      <c r="K287" s="134"/>
      <c r="L287" s="134"/>
      <c r="M287" s="134"/>
      <c r="N287" s="134"/>
      <c r="O287" s="134"/>
      <c r="P287" s="134"/>
      <c r="Q287" s="134"/>
      <c r="R287" s="134"/>
      <c r="S287" s="134"/>
      <c r="T287" s="134"/>
      <c r="U287" s="134"/>
      <c r="V287" s="134"/>
      <c r="W287" s="134"/>
      <c r="X287" s="134"/>
      <c r="Y287" s="134"/>
      <c r="Z287" s="134"/>
      <c r="AA287" s="134"/>
      <c r="AB287" s="134"/>
      <c r="AC287" s="134"/>
      <c r="AD287" s="134"/>
      <c r="AE287" s="134"/>
      <c r="AF287" s="134"/>
      <c r="AG287" s="134"/>
      <c r="AH287" s="134"/>
    </row>
    <row r="288" spans="1:34">
      <c r="A288" s="151"/>
      <c r="B288" s="152"/>
      <c r="C288" s="188">
        <v>2.6580817051509702</v>
      </c>
      <c r="D288" s="189">
        <v>5.8484848484848397</v>
      </c>
      <c r="E288" s="190"/>
      <c r="F288" s="191"/>
      <c r="G288" s="134"/>
      <c r="H288" s="134"/>
      <c r="I288" s="134"/>
      <c r="J288" s="134"/>
      <c r="K288" s="134"/>
      <c r="L288" s="134"/>
      <c r="M288" s="134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  <c r="AB288" s="134"/>
      <c r="AC288" s="134"/>
      <c r="AD288" s="134"/>
      <c r="AE288" s="134"/>
      <c r="AF288" s="134"/>
      <c r="AG288" s="134"/>
      <c r="AH288" s="134"/>
    </row>
    <row r="289" spans="1:34">
      <c r="A289" s="151"/>
      <c r="B289" s="152"/>
      <c r="C289" s="188">
        <v>3.1776198934280599</v>
      </c>
      <c r="D289" s="189">
        <v>6.1818181818181799</v>
      </c>
      <c r="E289" s="190"/>
      <c r="F289" s="191"/>
      <c r="G289" s="134"/>
      <c r="H289" s="134"/>
      <c r="I289" s="134"/>
      <c r="J289" s="134"/>
      <c r="K289" s="134"/>
      <c r="L289" s="134"/>
      <c r="M289" s="134"/>
      <c r="N289" s="134"/>
      <c r="O289" s="134"/>
      <c r="P289" s="134"/>
      <c r="Q289" s="134"/>
      <c r="R289" s="134"/>
      <c r="S289" s="134"/>
      <c r="T289" s="134"/>
      <c r="U289" s="134"/>
      <c r="V289" s="134"/>
      <c r="W289" s="134"/>
      <c r="X289" s="134"/>
      <c r="Y289" s="134"/>
      <c r="Z289" s="134"/>
      <c r="AA289" s="134"/>
      <c r="AB289" s="134"/>
      <c r="AC289" s="134"/>
      <c r="AD289" s="134"/>
      <c r="AE289" s="134"/>
      <c r="AF289" s="134"/>
      <c r="AG289" s="134"/>
      <c r="AH289" s="134"/>
    </row>
    <row r="290" spans="1:34">
      <c r="A290" s="151"/>
      <c r="B290" s="152"/>
      <c r="C290" s="188">
        <v>3.69271758436944</v>
      </c>
      <c r="D290" s="189">
        <v>9.3333333333333304</v>
      </c>
      <c r="E290" s="190"/>
      <c r="F290" s="191"/>
      <c r="G290" s="134"/>
      <c r="H290" s="134"/>
      <c r="I290" s="134"/>
      <c r="J290" s="134"/>
      <c r="K290" s="134"/>
      <c r="L290" s="134"/>
      <c r="M290" s="134"/>
      <c r="N290" s="134"/>
      <c r="O290" s="134"/>
      <c r="P290" s="134"/>
      <c r="Q290" s="134"/>
      <c r="R290" s="134"/>
      <c r="S290" s="134"/>
      <c r="T290" s="134"/>
      <c r="U290" s="134"/>
      <c r="V290" s="134"/>
      <c r="W290" s="134"/>
      <c r="X290" s="134"/>
      <c r="Y290" s="134"/>
      <c r="Z290" s="134"/>
      <c r="AA290" s="134"/>
      <c r="AB290" s="134"/>
      <c r="AC290" s="134"/>
      <c r="AD290" s="134"/>
      <c r="AE290" s="134"/>
      <c r="AF290" s="134"/>
      <c r="AG290" s="134"/>
      <c r="AH290" s="134"/>
    </row>
    <row r="291" spans="1:34">
      <c r="A291" s="151"/>
      <c r="B291" s="152"/>
      <c r="C291" s="188">
        <v>4.1989342806394303</v>
      </c>
      <c r="D291" s="189">
        <v>15.5757575757575</v>
      </c>
      <c r="E291" s="190"/>
      <c r="F291" s="191"/>
      <c r="G291" s="134"/>
      <c r="H291" s="134"/>
      <c r="I291" s="134"/>
      <c r="J291" s="134"/>
      <c r="K291" s="134"/>
      <c r="L291" s="134"/>
      <c r="M291" s="134"/>
      <c r="N291" s="134"/>
      <c r="O291" s="134"/>
      <c r="P291" s="134"/>
      <c r="Q291" s="134"/>
      <c r="R291" s="134"/>
      <c r="S291" s="134"/>
      <c r="T291" s="134"/>
      <c r="U291" s="134"/>
      <c r="V291" s="134"/>
      <c r="W291" s="134"/>
      <c r="X291" s="134"/>
      <c r="Y291" s="134"/>
      <c r="Z291" s="134"/>
      <c r="AA291" s="134"/>
      <c r="AB291" s="134"/>
      <c r="AC291" s="134"/>
      <c r="AD291" s="134"/>
      <c r="AE291" s="134"/>
      <c r="AF291" s="134"/>
      <c r="AG291" s="134"/>
      <c r="AH291" s="134"/>
    </row>
    <row r="292" spans="1:34">
      <c r="A292" s="151"/>
      <c r="B292" s="152"/>
      <c r="C292" s="179"/>
      <c r="D292" s="180"/>
      <c r="E292" s="190"/>
      <c r="F292" s="191"/>
      <c r="G292" s="134"/>
      <c r="H292" s="134"/>
      <c r="I292" s="134"/>
      <c r="J292" s="134"/>
      <c r="K292" s="134"/>
      <c r="L292" s="134"/>
      <c r="M292" s="134"/>
      <c r="N292" s="134"/>
      <c r="O292" s="134"/>
      <c r="P292" s="134"/>
      <c r="Q292" s="134"/>
      <c r="R292" s="134"/>
      <c r="S292" s="134"/>
      <c r="T292" s="134"/>
      <c r="U292" s="134"/>
      <c r="V292" s="134"/>
      <c r="W292" s="134"/>
      <c r="X292" s="134"/>
      <c r="Y292" s="134"/>
      <c r="Z292" s="134"/>
      <c r="AA292" s="134"/>
      <c r="AB292" s="134"/>
      <c r="AC292" s="134"/>
      <c r="AD292" s="134"/>
      <c r="AE292" s="134"/>
      <c r="AF292" s="134"/>
      <c r="AG292" s="134"/>
      <c r="AH292" s="134"/>
    </row>
    <row r="293" spans="1:34" ht="14.5" thickBot="1">
      <c r="A293" s="160"/>
      <c r="B293" s="161"/>
      <c r="C293" s="182"/>
      <c r="D293" s="183"/>
      <c r="E293" s="184"/>
      <c r="F293" s="183"/>
      <c r="G293" s="134"/>
      <c r="H293" s="134"/>
      <c r="I293" s="134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134"/>
      <c r="U293" s="134"/>
      <c r="V293" s="134"/>
      <c r="W293" s="134"/>
      <c r="X293" s="134"/>
      <c r="Y293" s="134"/>
      <c r="Z293" s="134"/>
      <c r="AA293" s="134"/>
      <c r="AB293" s="134"/>
      <c r="AC293" s="134"/>
      <c r="AD293" s="134"/>
      <c r="AE293" s="134"/>
      <c r="AF293" s="134"/>
      <c r="AG293" s="134"/>
      <c r="AH293" s="134"/>
    </row>
    <row r="294" spans="1:34">
      <c r="G294" s="134"/>
      <c r="H294" s="134"/>
      <c r="I294" s="134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134"/>
      <c r="U294" s="134"/>
      <c r="V294" s="134"/>
      <c r="W294" s="134"/>
      <c r="X294" s="134"/>
      <c r="Y294" s="134"/>
      <c r="Z294" s="134"/>
      <c r="AA294" s="134"/>
      <c r="AB294" s="134"/>
      <c r="AC294" s="134"/>
      <c r="AD294" s="134"/>
      <c r="AE294" s="134"/>
      <c r="AF294" s="134"/>
      <c r="AG294" s="134"/>
      <c r="AH294" s="134"/>
    </row>
    <row r="295" spans="1:34">
      <c r="G295" s="134"/>
      <c r="H295" s="134"/>
      <c r="I295" s="134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134"/>
      <c r="U295" s="134"/>
      <c r="V295" s="134"/>
      <c r="W295" s="134"/>
      <c r="X295" s="134"/>
      <c r="Y295" s="134"/>
      <c r="Z295" s="134"/>
      <c r="AA295" s="134"/>
      <c r="AB295" s="134"/>
      <c r="AC295" s="134"/>
      <c r="AD295" s="134"/>
      <c r="AE295" s="134"/>
      <c r="AF295" s="134"/>
      <c r="AG295" s="134"/>
      <c r="AH295" s="134"/>
    </row>
    <row r="296" spans="1:34">
      <c r="A296" s="131"/>
      <c r="B296" s="131"/>
      <c r="C296" s="132" t="s">
        <v>898</v>
      </c>
      <c r="D296" s="131"/>
      <c r="E296" s="131"/>
      <c r="F296" s="186" t="s">
        <v>870</v>
      </c>
      <c r="G296" s="134"/>
      <c r="H296" s="134"/>
      <c r="I296" s="134"/>
      <c r="J296" s="134"/>
      <c r="K296" s="134"/>
      <c r="L296" s="134"/>
      <c r="M296" s="134"/>
      <c r="N296" s="134"/>
      <c r="O296" s="134"/>
      <c r="P296" s="134"/>
      <c r="Q296" s="134"/>
      <c r="R296" s="134"/>
      <c r="S296" s="134"/>
      <c r="T296" s="134"/>
      <c r="U296" s="134"/>
      <c r="V296" s="134"/>
      <c r="W296" s="134"/>
      <c r="X296" s="134"/>
      <c r="Y296" s="134"/>
      <c r="Z296" s="134"/>
      <c r="AA296" s="134"/>
      <c r="AB296" s="134"/>
      <c r="AC296" s="134"/>
      <c r="AD296" s="134"/>
      <c r="AE296" s="134"/>
      <c r="AF296" s="134"/>
      <c r="AG296" s="134"/>
      <c r="AH296" s="134"/>
    </row>
    <row r="297" spans="1:34">
      <c r="C297" s="133" t="s">
        <v>856</v>
      </c>
      <c r="D297" s="133" t="s">
        <v>856</v>
      </c>
      <c r="G297" s="134"/>
      <c r="H297" s="134"/>
      <c r="I297" s="134"/>
      <c r="J297" s="134"/>
      <c r="K297" s="134"/>
      <c r="L297" s="134"/>
      <c r="M297" s="134"/>
      <c r="N297" s="134"/>
      <c r="O297" s="134"/>
      <c r="P297" s="134"/>
      <c r="Q297" s="134"/>
      <c r="R297" s="134"/>
      <c r="S297" s="134"/>
      <c r="T297" s="134"/>
      <c r="U297" s="134"/>
      <c r="V297" s="134"/>
      <c r="W297" s="134"/>
      <c r="X297" s="134"/>
      <c r="Y297" s="134"/>
      <c r="Z297" s="134"/>
      <c r="AA297" s="134"/>
      <c r="AB297" s="134"/>
      <c r="AC297" s="134"/>
      <c r="AD297" s="134"/>
      <c r="AE297" s="134"/>
      <c r="AF297" s="134"/>
      <c r="AG297" s="134"/>
      <c r="AH297" s="134"/>
    </row>
    <row r="298" spans="1:34" ht="14.5" thickBot="1">
      <c r="C298" s="135" t="s">
        <v>813</v>
      </c>
      <c r="D298" s="135" t="s">
        <v>813</v>
      </c>
      <c r="E298" s="136" t="s">
        <v>857</v>
      </c>
      <c r="F298" s="136" t="s">
        <v>857</v>
      </c>
      <c r="G298" s="134"/>
      <c r="H298" s="134"/>
      <c r="I298" s="134"/>
      <c r="J298" s="134"/>
      <c r="K298" s="134"/>
      <c r="L298" s="134"/>
      <c r="M298" s="134"/>
      <c r="N298" s="134"/>
      <c r="O298" s="134"/>
      <c r="P298" s="134"/>
      <c r="Q298" s="134"/>
      <c r="R298" s="134"/>
      <c r="S298" s="134"/>
      <c r="T298" s="134"/>
      <c r="U298" s="134"/>
      <c r="V298" s="134"/>
      <c r="W298" s="134"/>
      <c r="X298" s="134"/>
      <c r="Y298" s="134"/>
      <c r="Z298" s="134"/>
      <c r="AA298" s="134"/>
      <c r="AB298" s="134"/>
      <c r="AC298" s="134"/>
      <c r="AD298" s="134"/>
      <c r="AE298" s="134"/>
      <c r="AF298" s="134"/>
      <c r="AG298" s="134"/>
      <c r="AH298" s="134"/>
    </row>
    <row r="299" spans="1:34">
      <c r="C299" s="137" t="s">
        <v>858</v>
      </c>
      <c r="D299" s="138" t="s">
        <v>859</v>
      </c>
      <c r="E299" s="137" t="s">
        <v>858</v>
      </c>
      <c r="F299" s="138" t="s">
        <v>859</v>
      </c>
      <c r="G299" s="134"/>
      <c r="H299" s="134"/>
      <c r="I299" s="134"/>
      <c r="J299" s="134"/>
      <c r="K299" s="134"/>
      <c r="L299" s="134"/>
      <c r="M299" s="134"/>
      <c r="N299" s="134"/>
      <c r="O299" s="134"/>
      <c r="P299" s="134"/>
      <c r="Q299" s="134"/>
      <c r="R299" s="134"/>
      <c r="S299" s="134"/>
      <c r="T299" s="134"/>
      <c r="U299" s="134"/>
      <c r="V299" s="134"/>
      <c r="W299" s="134"/>
      <c r="X299" s="134"/>
      <c r="Y299" s="134"/>
      <c r="Z299" s="134"/>
      <c r="AA299" s="134"/>
      <c r="AB299" s="134"/>
      <c r="AC299" s="134"/>
      <c r="AD299" s="134"/>
      <c r="AE299" s="134"/>
      <c r="AF299" s="134"/>
      <c r="AG299" s="134"/>
      <c r="AH299" s="134"/>
    </row>
    <row r="300" spans="1:34" ht="14.5" thickBot="1">
      <c r="A300" s="139" t="s">
        <v>860</v>
      </c>
      <c r="B300" s="140" t="s">
        <v>861</v>
      </c>
      <c r="C300" s="206" t="s">
        <v>862</v>
      </c>
      <c r="D300" s="207" t="s">
        <v>863</v>
      </c>
      <c r="E300" s="206" t="s">
        <v>862</v>
      </c>
      <c r="F300" s="207" t="s">
        <v>863</v>
      </c>
      <c r="G300" s="134"/>
      <c r="H300" s="134"/>
      <c r="I300" s="134"/>
      <c r="J300" s="134"/>
      <c r="K300" s="134"/>
      <c r="L300" s="134"/>
      <c r="M300" s="134"/>
      <c r="N300" s="134"/>
      <c r="O300" s="134"/>
      <c r="P300" s="134"/>
      <c r="Q300" s="134"/>
      <c r="R300" s="134"/>
      <c r="S300" s="134"/>
      <c r="T300" s="134"/>
      <c r="U300" s="134"/>
      <c r="V300" s="134"/>
      <c r="W300" s="134"/>
      <c r="X300" s="134"/>
      <c r="Y300" s="134"/>
      <c r="Z300" s="134"/>
      <c r="AA300" s="134"/>
      <c r="AB300" s="134"/>
      <c r="AC300" s="134"/>
      <c r="AD300" s="134"/>
      <c r="AE300" s="134"/>
      <c r="AF300" s="134"/>
      <c r="AG300" s="134"/>
      <c r="AH300" s="134"/>
    </row>
    <row r="301" spans="1:34">
      <c r="A301" s="145">
        <v>26</v>
      </c>
      <c r="B301" s="146" t="s">
        <v>899</v>
      </c>
      <c r="C301" s="188">
        <v>0.54432624113475103</v>
      </c>
      <c r="D301" s="189">
        <v>2.43161094224924</v>
      </c>
      <c r="E301" s="188">
        <v>3.1684397163120499</v>
      </c>
      <c r="F301" s="189">
        <v>15.319148936170199</v>
      </c>
      <c r="G301" s="134"/>
      <c r="H301" s="134"/>
      <c r="I301" s="134"/>
      <c r="J301" s="134"/>
      <c r="K301" s="134"/>
      <c r="L301" s="134"/>
      <c r="M301" s="134"/>
      <c r="N301" s="134"/>
      <c r="O301" s="134"/>
      <c r="P301" s="134"/>
      <c r="Q301" s="134"/>
      <c r="R301" s="134"/>
      <c r="S301" s="134"/>
      <c r="T301" s="134"/>
      <c r="U301" s="134"/>
      <c r="V301" s="134"/>
      <c r="W301" s="134"/>
      <c r="X301" s="134"/>
      <c r="Y301" s="134"/>
      <c r="Z301" s="134"/>
      <c r="AA301" s="134"/>
      <c r="AB301" s="134"/>
      <c r="AC301" s="134"/>
      <c r="AD301" s="134"/>
      <c r="AE301" s="134"/>
      <c r="AF301" s="134"/>
      <c r="AG301" s="134"/>
      <c r="AH301" s="134"/>
    </row>
    <row r="302" spans="1:34">
      <c r="A302" s="151"/>
      <c r="B302" s="152"/>
      <c r="C302" s="188">
        <v>1.08067375886524</v>
      </c>
      <c r="D302" s="189">
        <v>3.3434650455927</v>
      </c>
      <c r="E302" s="188">
        <v>4.19237588652482</v>
      </c>
      <c r="F302" s="189">
        <v>6.3221884498480199</v>
      </c>
      <c r="G302" s="134"/>
      <c r="H302" s="134"/>
      <c r="I302" s="134"/>
      <c r="J302" s="134"/>
      <c r="K302" s="134"/>
      <c r="L302" s="134"/>
      <c r="M302" s="134"/>
      <c r="N302" s="134"/>
      <c r="O302" s="134"/>
      <c r="P302" s="134"/>
      <c r="Q302" s="134"/>
      <c r="R302" s="134"/>
      <c r="S302" s="134"/>
      <c r="T302" s="134"/>
      <c r="U302" s="134"/>
      <c r="V302" s="134"/>
      <c r="W302" s="134"/>
      <c r="X302" s="134"/>
      <c r="Y302" s="134"/>
      <c r="Z302" s="134"/>
      <c r="AA302" s="134"/>
      <c r="AB302" s="134"/>
      <c r="AC302" s="134"/>
      <c r="AD302" s="134"/>
      <c r="AE302" s="134"/>
      <c r="AF302" s="134"/>
      <c r="AG302" s="134"/>
      <c r="AH302" s="134"/>
    </row>
    <row r="303" spans="1:34">
      <c r="A303" s="151"/>
      <c r="B303" s="152"/>
      <c r="C303" s="188">
        <v>1.6081560283687899</v>
      </c>
      <c r="D303" s="189">
        <v>4.8936170212765902</v>
      </c>
      <c r="E303" s="188">
        <v>4.6950000000000003</v>
      </c>
      <c r="F303" s="189">
        <v>4.8024316109422402</v>
      </c>
      <c r="G303" s="134"/>
      <c r="H303" s="134"/>
      <c r="I303" s="134"/>
      <c r="J303" s="134"/>
      <c r="K303" s="134"/>
      <c r="L303" s="134"/>
      <c r="M303" s="134"/>
      <c r="N303" s="134"/>
      <c r="O303" s="134"/>
      <c r="P303" s="134"/>
      <c r="Q303" s="134"/>
      <c r="R303" s="134"/>
      <c r="S303" s="134"/>
      <c r="T303" s="134"/>
      <c r="U303" s="134"/>
      <c r="V303" s="134"/>
      <c r="W303" s="134"/>
      <c r="X303" s="134"/>
      <c r="Y303" s="134"/>
      <c r="Z303" s="134"/>
      <c r="AA303" s="134"/>
      <c r="AB303" s="134"/>
      <c r="AC303" s="134"/>
      <c r="AD303" s="134"/>
      <c r="AE303" s="134"/>
      <c r="AF303" s="134"/>
      <c r="AG303" s="134"/>
      <c r="AH303" s="134"/>
    </row>
    <row r="304" spans="1:34">
      <c r="A304" s="151"/>
      <c r="B304" s="152"/>
      <c r="C304" s="188">
        <v>2.1356382978723398</v>
      </c>
      <c r="D304" s="189">
        <v>5.25835866261398</v>
      </c>
      <c r="E304" s="188">
        <v>5.2</v>
      </c>
      <c r="F304" s="189">
        <v>3.93</v>
      </c>
      <c r="G304" s="134"/>
      <c r="H304" s="134"/>
      <c r="I304" s="134"/>
      <c r="J304" s="134"/>
      <c r="K304" s="134"/>
      <c r="L304" s="134"/>
      <c r="M304" s="134"/>
      <c r="N304" s="134"/>
      <c r="O304" s="134"/>
      <c r="P304" s="134"/>
      <c r="Q304" s="134"/>
      <c r="R304" s="134"/>
      <c r="S304" s="134"/>
      <c r="T304" s="134"/>
      <c r="U304" s="134"/>
      <c r="V304" s="134"/>
      <c r="W304" s="134"/>
      <c r="X304" s="134"/>
      <c r="Y304" s="134"/>
      <c r="Z304" s="134"/>
      <c r="AA304" s="134"/>
      <c r="AB304" s="134"/>
      <c r="AC304" s="134"/>
      <c r="AD304" s="134"/>
      <c r="AE304" s="134"/>
      <c r="AF304" s="134"/>
      <c r="AG304" s="134"/>
      <c r="AH304" s="134"/>
    </row>
    <row r="305" spans="1:34">
      <c r="A305" s="151"/>
      <c r="B305" s="152"/>
      <c r="C305" s="188">
        <v>2.65868794326241</v>
      </c>
      <c r="D305" s="189">
        <v>7.2948328267477196</v>
      </c>
      <c r="E305" s="190"/>
      <c r="F305" s="191"/>
      <c r="G305" s="134"/>
      <c r="H305" s="134"/>
      <c r="I305" s="134"/>
      <c r="J305" s="134"/>
      <c r="K305" s="134"/>
      <c r="L305" s="134"/>
      <c r="M305" s="134"/>
      <c r="N305" s="134"/>
      <c r="O305" s="134"/>
      <c r="P305" s="134"/>
      <c r="Q305" s="134"/>
      <c r="R305" s="134"/>
      <c r="S305" s="134"/>
      <c r="T305" s="134"/>
      <c r="U305" s="134"/>
      <c r="V305" s="134"/>
      <c r="W305" s="134"/>
      <c r="X305" s="134"/>
      <c r="Y305" s="134"/>
      <c r="Z305" s="134"/>
      <c r="AA305" s="134"/>
      <c r="AB305" s="134"/>
      <c r="AC305" s="134"/>
      <c r="AD305" s="134"/>
      <c r="AE305" s="134"/>
      <c r="AF305" s="134"/>
      <c r="AG305" s="134"/>
      <c r="AH305" s="134"/>
    </row>
    <row r="306" spans="1:34">
      <c r="A306" s="151"/>
      <c r="B306" s="152"/>
      <c r="C306" s="188">
        <v>3.1773049645390001</v>
      </c>
      <c r="D306" s="189">
        <v>10.455927051671701</v>
      </c>
      <c r="E306" s="190"/>
      <c r="F306" s="191"/>
      <c r="G306" s="134"/>
      <c r="H306" s="134"/>
      <c r="I306" s="134"/>
      <c r="J306" s="134"/>
      <c r="K306" s="134"/>
      <c r="L306" s="134"/>
      <c r="M306" s="134"/>
      <c r="N306" s="134"/>
      <c r="O306" s="134"/>
      <c r="P306" s="134"/>
      <c r="Q306" s="134"/>
      <c r="R306" s="134"/>
      <c r="S306" s="134"/>
      <c r="T306" s="134"/>
      <c r="U306" s="134"/>
      <c r="V306" s="134"/>
      <c r="W306" s="134"/>
      <c r="X306" s="134"/>
      <c r="Y306" s="134"/>
      <c r="Z306" s="134"/>
      <c r="AA306" s="134"/>
      <c r="AB306" s="134"/>
      <c r="AC306" s="134"/>
      <c r="AD306" s="134"/>
      <c r="AE306" s="134"/>
      <c r="AF306" s="134"/>
      <c r="AG306" s="134"/>
      <c r="AH306" s="134"/>
    </row>
    <row r="307" spans="1:34">
      <c r="A307" s="151"/>
      <c r="B307" s="152"/>
      <c r="C307" s="188">
        <v>3.68</v>
      </c>
      <c r="D307" s="189">
        <v>17.72</v>
      </c>
      <c r="E307" s="190"/>
      <c r="F307" s="191"/>
      <c r="G307" s="134"/>
      <c r="H307" s="134"/>
      <c r="I307" s="134"/>
      <c r="J307" s="134"/>
      <c r="K307" s="134"/>
      <c r="L307" s="134"/>
      <c r="M307" s="134"/>
      <c r="N307" s="134"/>
      <c r="O307" s="134"/>
      <c r="P307" s="134"/>
      <c r="Q307" s="134"/>
      <c r="R307" s="134"/>
      <c r="S307" s="134"/>
      <c r="T307" s="134"/>
      <c r="U307" s="134"/>
      <c r="V307" s="134"/>
      <c r="W307" s="134"/>
      <c r="X307" s="134"/>
      <c r="Y307" s="134"/>
      <c r="Z307" s="134"/>
      <c r="AA307" s="134"/>
      <c r="AB307" s="134"/>
      <c r="AC307" s="134"/>
      <c r="AD307" s="134"/>
      <c r="AE307" s="134"/>
      <c r="AF307" s="134"/>
      <c r="AG307" s="134"/>
      <c r="AH307" s="134"/>
    </row>
    <row r="308" spans="1:34">
      <c r="A308" s="151"/>
      <c r="B308" s="152"/>
      <c r="C308" s="179"/>
      <c r="D308" s="180"/>
      <c r="E308" s="190"/>
      <c r="F308" s="191"/>
      <c r="G308" s="134"/>
      <c r="H308" s="134"/>
      <c r="I308" s="134"/>
      <c r="J308" s="134"/>
      <c r="K308" s="134"/>
      <c r="L308" s="134"/>
      <c r="M308" s="134"/>
      <c r="N308" s="134"/>
      <c r="O308" s="134"/>
      <c r="P308" s="134"/>
      <c r="Q308" s="134"/>
      <c r="R308" s="134"/>
      <c r="S308" s="134"/>
      <c r="T308" s="134"/>
      <c r="U308" s="134"/>
      <c r="V308" s="134"/>
      <c r="W308" s="134"/>
      <c r="X308" s="134"/>
      <c r="Y308" s="134"/>
      <c r="Z308" s="134"/>
      <c r="AA308" s="134"/>
      <c r="AB308" s="134"/>
      <c r="AC308" s="134"/>
      <c r="AD308" s="134"/>
      <c r="AE308" s="134"/>
      <c r="AF308" s="134"/>
      <c r="AG308" s="134"/>
      <c r="AH308" s="134"/>
    </row>
    <row r="309" spans="1:34">
      <c r="A309" s="151"/>
      <c r="B309" s="152"/>
      <c r="C309" s="179"/>
      <c r="D309" s="180"/>
      <c r="E309" s="190"/>
      <c r="F309" s="191"/>
      <c r="G309" s="134"/>
      <c r="H309" s="134"/>
      <c r="I309" s="134"/>
      <c r="J309" s="134"/>
      <c r="K309" s="134"/>
      <c r="L309" s="134"/>
      <c r="M309" s="134"/>
      <c r="N309" s="134"/>
      <c r="O309" s="134"/>
      <c r="P309" s="134"/>
      <c r="Q309" s="134"/>
      <c r="R309" s="134"/>
      <c r="S309" s="134"/>
      <c r="T309" s="134"/>
      <c r="U309" s="134"/>
      <c r="V309" s="134"/>
      <c r="W309" s="134"/>
      <c r="X309" s="134"/>
      <c r="Y309" s="134"/>
      <c r="Z309" s="134"/>
      <c r="AA309" s="134"/>
      <c r="AB309" s="134"/>
      <c r="AC309" s="134"/>
      <c r="AD309" s="134"/>
      <c r="AE309" s="134"/>
      <c r="AF309" s="134"/>
      <c r="AG309" s="134"/>
      <c r="AH309" s="134"/>
    </row>
    <row r="310" spans="1:34" ht="14.5" thickBot="1">
      <c r="A310" s="160"/>
      <c r="B310" s="161"/>
      <c r="C310" s="182"/>
      <c r="D310" s="183"/>
      <c r="E310" s="184"/>
      <c r="F310" s="183"/>
      <c r="G310" s="134"/>
      <c r="H310" s="134"/>
      <c r="I310" s="134"/>
      <c r="J310" s="134"/>
      <c r="K310" s="134"/>
      <c r="L310" s="134"/>
      <c r="M310" s="134"/>
      <c r="N310" s="134"/>
      <c r="O310" s="134"/>
      <c r="P310" s="134"/>
      <c r="Q310" s="134"/>
      <c r="R310" s="134"/>
      <c r="S310" s="134"/>
      <c r="T310" s="134"/>
      <c r="U310" s="134"/>
      <c r="V310" s="134"/>
      <c r="W310" s="134"/>
      <c r="X310" s="134"/>
      <c r="Y310" s="134"/>
      <c r="Z310" s="134"/>
      <c r="AA310" s="134"/>
      <c r="AB310" s="134"/>
      <c r="AC310" s="134"/>
      <c r="AD310" s="134"/>
      <c r="AE310" s="134"/>
      <c r="AF310" s="134"/>
      <c r="AG310" s="134"/>
      <c r="AH310" s="134"/>
    </row>
    <row r="311" spans="1:34">
      <c r="G311" s="134"/>
      <c r="H311" s="134"/>
      <c r="I311" s="134"/>
      <c r="J311" s="134"/>
      <c r="K311" s="134"/>
      <c r="L311" s="134"/>
      <c r="M311" s="134"/>
      <c r="N311" s="134"/>
      <c r="O311" s="134"/>
      <c r="P311" s="134"/>
      <c r="Q311" s="134"/>
      <c r="R311" s="134"/>
      <c r="S311" s="134"/>
      <c r="T311" s="134"/>
      <c r="U311" s="134"/>
      <c r="V311" s="134"/>
      <c r="W311" s="134"/>
      <c r="X311" s="134"/>
      <c r="Y311" s="134"/>
      <c r="Z311" s="134"/>
      <c r="AA311" s="134"/>
      <c r="AB311" s="134"/>
      <c r="AC311" s="134"/>
      <c r="AD311" s="134"/>
      <c r="AE311" s="134"/>
      <c r="AF311" s="134"/>
      <c r="AG311" s="134"/>
      <c r="AH311" s="134"/>
    </row>
    <row r="312" spans="1:34">
      <c r="G312" s="134"/>
      <c r="H312" s="134"/>
      <c r="I312" s="134"/>
      <c r="J312" s="134"/>
      <c r="K312" s="134"/>
      <c r="L312" s="134"/>
      <c r="M312" s="134"/>
      <c r="N312" s="134"/>
      <c r="O312" s="134"/>
      <c r="P312" s="134"/>
      <c r="Q312" s="134"/>
      <c r="R312" s="134"/>
      <c r="S312" s="134"/>
      <c r="T312" s="134"/>
      <c r="U312" s="134"/>
      <c r="V312" s="134"/>
      <c r="W312" s="134"/>
      <c r="X312" s="134"/>
      <c r="Y312" s="134"/>
      <c r="Z312" s="134"/>
      <c r="AA312" s="134"/>
      <c r="AB312" s="134"/>
      <c r="AC312" s="134"/>
      <c r="AD312" s="134"/>
      <c r="AE312" s="134"/>
      <c r="AF312" s="134"/>
      <c r="AG312" s="134"/>
      <c r="AH312" s="134"/>
    </row>
    <row r="313" spans="1:34">
      <c r="A313" s="131"/>
      <c r="B313" s="131"/>
      <c r="C313" s="132" t="s">
        <v>900</v>
      </c>
      <c r="D313" s="131"/>
      <c r="E313" s="131"/>
      <c r="F313" s="186" t="s">
        <v>870</v>
      </c>
      <c r="G313" s="134"/>
      <c r="H313" s="134"/>
      <c r="I313" s="134"/>
      <c r="J313" s="134"/>
      <c r="K313" s="134"/>
      <c r="L313" s="134"/>
      <c r="M313" s="134"/>
      <c r="N313" s="134"/>
      <c r="O313" s="134"/>
      <c r="P313" s="134"/>
      <c r="Q313" s="134"/>
      <c r="R313" s="134"/>
      <c r="S313" s="134"/>
      <c r="T313" s="134"/>
      <c r="U313" s="134"/>
      <c r="V313" s="134"/>
      <c r="W313" s="134"/>
      <c r="X313" s="134"/>
      <c r="Y313" s="134"/>
      <c r="Z313" s="134"/>
      <c r="AA313" s="134"/>
      <c r="AB313" s="134"/>
      <c r="AC313" s="134"/>
      <c r="AD313" s="134"/>
      <c r="AE313" s="134"/>
      <c r="AF313" s="134"/>
      <c r="AG313" s="134"/>
      <c r="AH313" s="134"/>
    </row>
    <row r="314" spans="1:34">
      <c r="C314" s="133" t="s">
        <v>856</v>
      </c>
      <c r="D314" s="133" t="s">
        <v>856</v>
      </c>
      <c r="G314" s="134"/>
      <c r="H314" s="134"/>
      <c r="I314" s="134"/>
      <c r="J314" s="134"/>
      <c r="K314" s="134"/>
      <c r="L314" s="134"/>
      <c r="M314" s="134"/>
      <c r="N314" s="134"/>
      <c r="O314" s="134"/>
      <c r="P314" s="134"/>
      <c r="Q314" s="134"/>
      <c r="R314" s="134"/>
      <c r="S314" s="134"/>
      <c r="T314" s="134"/>
      <c r="U314" s="134"/>
      <c r="V314" s="134"/>
      <c r="W314" s="134"/>
      <c r="X314" s="134"/>
      <c r="Y314" s="134"/>
      <c r="Z314" s="134"/>
      <c r="AA314" s="134"/>
      <c r="AB314" s="134"/>
      <c r="AC314" s="134"/>
      <c r="AD314" s="134"/>
      <c r="AE314" s="134"/>
      <c r="AF314" s="134"/>
      <c r="AG314" s="134"/>
      <c r="AH314" s="134"/>
    </row>
    <row r="315" spans="1:34" ht="14.5" thickBot="1">
      <c r="C315" s="135" t="s">
        <v>813</v>
      </c>
      <c r="D315" s="135" t="s">
        <v>813</v>
      </c>
      <c r="E315" s="136" t="s">
        <v>857</v>
      </c>
      <c r="F315" s="136" t="s">
        <v>857</v>
      </c>
      <c r="G315" s="134"/>
      <c r="H315" s="134"/>
      <c r="I315" s="134"/>
      <c r="J315" s="134"/>
      <c r="K315" s="134"/>
      <c r="L315" s="134"/>
      <c r="M315" s="134"/>
      <c r="N315" s="134"/>
      <c r="O315" s="134"/>
      <c r="P315" s="134"/>
      <c r="Q315" s="134"/>
      <c r="R315" s="134"/>
      <c r="S315" s="134"/>
      <c r="T315" s="134"/>
      <c r="U315" s="134"/>
      <c r="V315" s="134"/>
      <c r="W315" s="134"/>
      <c r="X315" s="134"/>
      <c r="Y315" s="134"/>
      <c r="Z315" s="134"/>
      <c r="AA315" s="134"/>
      <c r="AB315" s="134"/>
      <c r="AC315" s="134"/>
      <c r="AD315" s="134"/>
      <c r="AE315" s="134"/>
      <c r="AF315" s="134"/>
      <c r="AG315" s="134"/>
      <c r="AH315" s="134"/>
    </row>
    <row r="316" spans="1:34">
      <c r="C316" s="137" t="s">
        <v>858</v>
      </c>
      <c r="D316" s="213" t="s">
        <v>859</v>
      </c>
      <c r="E316" s="137" t="s">
        <v>858</v>
      </c>
      <c r="F316" s="138" t="s">
        <v>859</v>
      </c>
      <c r="G316" s="134"/>
      <c r="H316" s="134"/>
      <c r="I316" s="134"/>
      <c r="J316" s="134"/>
      <c r="K316" s="134"/>
      <c r="L316" s="134"/>
      <c r="M316" s="134"/>
      <c r="N316" s="134"/>
      <c r="O316" s="134"/>
      <c r="P316" s="134"/>
      <c r="Q316" s="134"/>
      <c r="R316" s="134"/>
      <c r="S316" s="134"/>
      <c r="T316" s="134"/>
      <c r="U316" s="134"/>
      <c r="V316" s="134"/>
      <c r="W316" s="134"/>
      <c r="X316" s="134"/>
      <c r="Y316" s="134"/>
      <c r="Z316" s="134"/>
      <c r="AA316" s="134"/>
      <c r="AB316" s="134"/>
      <c r="AC316" s="134"/>
      <c r="AD316" s="134"/>
      <c r="AE316" s="134"/>
      <c r="AF316" s="134"/>
      <c r="AG316" s="134"/>
      <c r="AH316" s="134"/>
    </row>
    <row r="317" spans="1:34" ht="14.5" thickBot="1">
      <c r="A317" s="139" t="s">
        <v>860</v>
      </c>
      <c r="B317" s="140" t="s">
        <v>861</v>
      </c>
      <c r="C317" s="206" t="s">
        <v>862</v>
      </c>
      <c r="D317" s="222" t="s">
        <v>863</v>
      </c>
      <c r="E317" s="206" t="s">
        <v>862</v>
      </c>
      <c r="F317" s="207" t="s">
        <v>863</v>
      </c>
      <c r="G317" s="134"/>
      <c r="H317" s="134"/>
      <c r="I317" s="134"/>
      <c r="J317" s="134"/>
      <c r="K317" s="134"/>
      <c r="L317" s="134"/>
      <c r="M317" s="134"/>
      <c r="N317" s="134"/>
      <c r="O317" s="134"/>
      <c r="P317" s="134"/>
      <c r="Q317" s="134"/>
      <c r="R317" s="134"/>
      <c r="S317" s="134"/>
      <c r="T317" s="134"/>
      <c r="U317" s="134"/>
      <c r="V317" s="134"/>
      <c r="W317" s="134"/>
      <c r="X317" s="134"/>
      <c r="Y317" s="134"/>
      <c r="Z317" s="134"/>
      <c r="AA317" s="134"/>
      <c r="AB317" s="134"/>
      <c r="AC317" s="134"/>
      <c r="AD317" s="134"/>
      <c r="AE317" s="134"/>
      <c r="AF317" s="134"/>
      <c r="AG317" s="134"/>
      <c r="AH317" s="134"/>
    </row>
    <row r="318" spans="1:34">
      <c r="A318" s="145">
        <v>26</v>
      </c>
      <c r="B318" s="146" t="s">
        <v>901</v>
      </c>
      <c r="C318" s="215">
        <v>0.53978779840848801</v>
      </c>
      <c r="D318" s="215">
        <v>1.90620272314674</v>
      </c>
      <c r="E318" s="188">
        <v>2.65</v>
      </c>
      <c r="F318" s="189">
        <v>11.649016639999999</v>
      </c>
      <c r="G318" s="134"/>
      <c r="H318" s="134"/>
      <c r="I318" s="134"/>
      <c r="J318" s="134"/>
      <c r="K318" s="134"/>
      <c r="L318" s="134"/>
      <c r="M318" s="134"/>
      <c r="N318" s="134"/>
      <c r="O318" s="134"/>
      <c r="P318" s="134"/>
      <c r="Q318" s="134"/>
      <c r="R318" s="134"/>
      <c r="S318" s="134"/>
      <c r="T318" s="134"/>
      <c r="U318" s="134"/>
      <c r="V318" s="134"/>
      <c r="W318" s="134"/>
      <c r="X318" s="134"/>
      <c r="Y318" s="134"/>
      <c r="Z318" s="134"/>
      <c r="AA318" s="134"/>
      <c r="AB318" s="134"/>
      <c r="AC318" s="134"/>
      <c r="AD318" s="134"/>
      <c r="AE318" s="134"/>
      <c r="AF318" s="134"/>
      <c r="AG318" s="134"/>
      <c r="AH318" s="134"/>
    </row>
    <row r="319" spans="1:34">
      <c r="A319" s="151"/>
      <c r="B319" s="152"/>
      <c r="C319" s="215">
        <v>1.07471264367816</v>
      </c>
      <c r="D319" s="215">
        <v>4.3570347957639903</v>
      </c>
      <c r="E319" s="188">
        <v>3.1702033599999999</v>
      </c>
      <c r="F319" s="189">
        <v>6.8381240539999997</v>
      </c>
      <c r="G319" s="134"/>
      <c r="H319" s="134"/>
      <c r="I319" s="134"/>
      <c r="J319" s="134"/>
      <c r="K319" s="134"/>
      <c r="L319" s="134"/>
      <c r="M319" s="134"/>
      <c r="N319" s="134"/>
      <c r="O319" s="134"/>
      <c r="P319" s="134"/>
      <c r="Q319" s="134"/>
      <c r="R319" s="134"/>
      <c r="S319" s="134"/>
      <c r="T319" s="134"/>
      <c r="U319" s="134"/>
      <c r="V319" s="134"/>
      <c r="W319" s="134"/>
      <c r="X319" s="134"/>
      <c r="Y319" s="134"/>
      <c r="Z319" s="134"/>
      <c r="AA319" s="134"/>
      <c r="AB319" s="134"/>
      <c r="AC319" s="134"/>
      <c r="AD319" s="134"/>
      <c r="AE319" s="134"/>
      <c r="AF319" s="134"/>
      <c r="AG319" s="134"/>
      <c r="AH319" s="134"/>
    </row>
    <row r="320" spans="1:34">
      <c r="A320" s="151"/>
      <c r="B320" s="152"/>
      <c r="C320" s="215">
        <v>1.60079575596816</v>
      </c>
      <c r="D320" s="215">
        <v>6.4145234493192103</v>
      </c>
      <c r="E320" s="188">
        <v>3.69</v>
      </c>
      <c r="F320" s="189">
        <v>3.963691377</v>
      </c>
      <c r="G320" s="134"/>
      <c r="H320" s="134"/>
      <c r="I320" s="134"/>
      <c r="J320" s="134"/>
      <c r="K320" s="134"/>
      <c r="L320" s="134"/>
      <c r="M320" s="134"/>
      <c r="N320" s="134"/>
      <c r="O320" s="134"/>
      <c r="P320" s="134"/>
      <c r="Q320" s="134"/>
      <c r="R320" s="134"/>
      <c r="S320" s="134"/>
      <c r="T320" s="134"/>
      <c r="U320" s="134"/>
      <c r="V320" s="134"/>
      <c r="W320" s="134"/>
      <c r="X320" s="134"/>
      <c r="Y320" s="134"/>
      <c r="Z320" s="134"/>
      <c r="AA320" s="134"/>
      <c r="AB320" s="134"/>
      <c r="AC320" s="134"/>
      <c r="AD320" s="134"/>
      <c r="AE320" s="134"/>
      <c r="AF320" s="134"/>
      <c r="AG320" s="134"/>
      <c r="AH320" s="134"/>
    </row>
    <row r="321" spans="1:34">
      <c r="A321" s="151"/>
      <c r="B321" s="152"/>
      <c r="C321" s="215">
        <v>2.1268788682581699</v>
      </c>
      <c r="D321" s="215">
        <v>9.7730711043872898</v>
      </c>
      <c r="E321" s="188">
        <v>4.2</v>
      </c>
      <c r="F321" s="189">
        <v>1.55</v>
      </c>
      <c r="G321" s="134"/>
      <c r="H321" s="134"/>
      <c r="I321" s="134"/>
      <c r="J321" s="134"/>
      <c r="K321" s="134"/>
      <c r="L321" s="134"/>
      <c r="M321" s="134"/>
      <c r="N321" s="134"/>
      <c r="O321" s="134"/>
      <c r="P321" s="134"/>
      <c r="Q321" s="134"/>
      <c r="R321" s="134"/>
      <c r="S321" s="134"/>
      <c r="T321" s="134"/>
      <c r="U321" s="134"/>
      <c r="V321" s="134"/>
      <c r="W321" s="134"/>
      <c r="X321" s="134"/>
      <c r="Y321" s="134"/>
      <c r="Z321" s="134"/>
      <c r="AA321" s="134"/>
      <c r="AB321" s="134"/>
      <c r="AC321" s="134"/>
      <c r="AD321" s="134"/>
      <c r="AE321" s="134"/>
      <c r="AF321" s="134"/>
      <c r="AG321" s="134"/>
      <c r="AH321" s="134"/>
    </row>
    <row r="322" spans="1:34">
      <c r="A322" s="151"/>
      <c r="B322" s="152"/>
      <c r="C322" s="215">
        <v>2.6485411140583501</v>
      </c>
      <c r="D322" s="215">
        <v>15.9757942511346</v>
      </c>
      <c r="E322" s="188">
        <v>4.7</v>
      </c>
      <c r="F322" s="189">
        <v>1.04</v>
      </c>
      <c r="G322" s="134"/>
      <c r="H322" s="134"/>
      <c r="I322" s="134"/>
      <c r="J322" s="134"/>
      <c r="K322" s="134"/>
      <c r="L322" s="134"/>
      <c r="M322" s="134"/>
      <c r="N322" s="134"/>
      <c r="O322" s="134"/>
      <c r="P322" s="134"/>
      <c r="Q322" s="134"/>
      <c r="R322" s="134"/>
      <c r="S322" s="134"/>
      <c r="T322" s="134"/>
      <c r="U322" s="134"/>
      <c r="V322" s="134"/>
      <c r="W322" s="134"/>
      <c r="X322" s="134"/>
      <c r="Y322" s="134"/>
      <c r="Z322" s="134"/>
      <c r="AA322" s="134"/>
      <c r="AB322" s="134"/>
      <c r="AC322" s="134"/>
      <c r="AD322" s="134"/>
      <c r="AE322" s="134"/>
      <c r="AF322" s="134"/>
      <c r="AG322" s="134"/>
      <c r="AH322" s="134"/>
    </row>
    <row r="323" spans="1:34">
      <c r="A323" s="151"/>
      <c r="B323" s="152"/>
      <c r="C323" s="211"/>
      <c r="D323" s="224"/>
      <c r="E323" s="188">
        <v>5.21</v>
      </c>
      <c r="F323" s="189">
        <v>0.64</v>
      </c>
      <c r="G323" s="134"/>
      <c r="H323" s="134"/>
      <c r="I323" s="134"/>
      <c r="J323" s="134"/>
      <c r="K323" s="134"/>
      <c r="L323" s="134"/>
      <c r="M323" s="134"/>
      <c r="N323" s="134"/>
      <c r="O323" s="134"/>
      <c r="P323" s="134"/>
      <c r="Q323" s="134"/>
      <c r="R323" s="134"/>
      <c r="S323" s="134"/>
      <c r="T323" s="134"/>
      <c r="U323" s="134"/>
      <c r="V323" s="134"/>
      <c r="W323" s="134"/>
      <c r="X323" s="134"/>
      <c r="Y323" s="134"/>
      <c r="Z323" s="134"/>
      <c r="AA323" s="134"/>
      <c r="AB323" s="134"/>
      <c r="AC323" s="134"/>
      <c r="AD323" s="134"/>
      <c r="AE323" s="134"/>
      <c r="AF323" s="134"/>
      <c r="AG323" s="134"/>
      <c r="AH323" s="134"/>
    </row>
    <row r="324" spans="1:34">
      <c r="A324" s="151"/>
      <c r="B324" s="152"/>
      <c r="C324" s="211"/>
      <c r="D324" s="224"/>
      <c r="E324" s="190"/>
      <c r="F324" s="191"/>
      <c r="G324" s="134"/>
      <c r="H324" s="134"/>
      <c r="I324" s="134"/>
      <c r="J324" s="134"/>
      <c r="K324" s="134"/>
      <c r="L324" s="134"/>
      <c r="M324" s="134"/>
      <c r="N324" s="134"/>
      <c r="O324" s="134"/>
      <c r="P324" s="134"/>
      <c r="Q324" s="134"/>
      <c r="R324" s="134"/>
      <c r="S324" s="134"/>
      <c r="T324" s="134"/>
      <c r="U324" s="134"/>
      <c r="V324" s="134"/>
      <c r="W324" s="134"/>
      <c r="X324" s="134"/>
      <c r="Y324" s="134"/>
      <c r="Z324" s="134"/>
      <c r="AA324" s="134"/>
      <c r="AB324" s="134"/>
      <c r="AC324" s="134"/>
      <c r="AD324" s="134"/>
      <c r="AE324" s="134"/>
      <c r="AF324" s="134"/>
      <c r="AG324" s="134"/>
      <c r="AH324" s="134"/>
    </row>
    <row r="325" spans="1:34">
      <c r="A325" s="151"/>
      <c r="B325" s="152"/>
      <c r="C325" s="179"/>
      <c r="D325" s="218"/>
      <c r="E325" s="190"/>
      <c r="F325" s="191"/>
      <c r="G325" s="134"/>
      <c r="H325" s="134"/>
      <c r="I325" s="134"/>
      <c r="J325" s="134"/>
      <c r="K325" s="134"/>
      <c r="L325" s="134"/>
      <c r="M325" s="134"/>
      <c r="N325" s="134"/>
      <c r="O325" s="134"/>
      <c r="P325" s="134"/>
      <c r="Q325" s="134"/>
      <c r="R325" s="134"/>
      <c r="S325" s="134"/>
      <c r="T325" s="134"/>
      <c r="U325" s="134"/>
      <c r="V325" s="134"/>
      <c r="W325" s="134"/>
      <c r="X325" s="134"/>
      <c r="Y325" s="134"/>
      <c r="Z325" s="134"/>
      <c r="AA325" s="134"/>
      <c r="AB325" s="134"/>
      <c r="AC325" s="134"/>
      <c r="AD325" s="134"/>
      <c r="AE325" s="134"/>
      <c r="AF325" s="134"/>
      <c r="AG325" s="134"/>
      <c r="AH325" s="134"/>
    </row>
    <row r="326" spans="1:34">
      <c r="A326" s="151"/>
      <c r="B326" s="152"/>
      <c r="C326" s="179"/>
      <c r="D326" s="218"/>
      <c r="E326" s="190"/>
      <c r="F326" s="191"/>
      <c r="G326" s="134"/>
      <c r="H326" s="134"/>
      <c r="I326" s="134"/>
      <c r="J326" s="134"/>
      <c r="K326" s="134"/>
      <c r="L326" s="134"/>
      <c r="M326" s="134"/>
      <c r="N326" s="134"/>
      <c r="O326" s="134"/>
      <c r="P326" s="134"/>
      <c r="Q326" s="134"/>
      <c r="R326" s="134"/>
      <c r="S326" s="134"/>
      <c r="T326" s="134"/>
      <c r="U326" s="134"/>
      <c r="V326" s="134"/>
      <c r="W326" s="134"/>
      <c r="X326" s="134"/>
      <c r="Y326" s="134"/>
      <c r="Z326" s="134"/>
      <c r="AA326" s="134"/>
      <c r="AB326" s="134"/>
      <c r="AC326" s="134"/>
      <c r="AD326" s="134"/>
      <c r="AE326" s="134"/>
      <c r="AF326" s="134"/>
      <c r="AG326" s="134"/>
      <c r="AH326" s="134"/>
    </row>
    <row r="327" spans="1:34" ht="14.5" thickBot="1">
      <c r="A327" s="160"/>
      <c r="B327" s="161"/>
      <c r="C327" s="182"/>
      <c r="D327" s="219"/>
      <c r="E327" s="184"/>
      <c r="F327" s="183"/>
      <c r="G327" s="134"/>
      <c r="H327" s="134"/>
      <c r="I327" s="134"/>
      <c r="J327" s="134"/>
      <c r="K327" s="134"/>
      <c r="L327" s="134"/>
      <c r="M327" s="134"/>
      <c r="N327" s="134"/>
      <c r="O327" s="134"/>
      <c r="P327" s="134"/>
      <c r="Q327" s="134"/>
      <c r="R327" s="134"/>
      <c r="S327" s="134"/>
      <c r="T327" s="134"/>
      <c r="U327" s="134"/>
      <c r="V327" s="134"/>
      <c r="W327" s="134"/>
      <c r="X327" s="134"/>
      <c r="Y327" s="134"/>
      <c r="Z327" s="134"/>
      <c r="AA327" s="134"/>
      <c r="AB327" s="134"/>
      <c r="AC327" s="134"/>
      <c r="AD327" s="134"/>
      <c r="AE327" s="134"/>
      <c r="AF327" s="134"/>
      <c r="AG327" s="134"/>
      <c r="AH327" s="134"/>
    </row>
    <row r="328" spans="1:34">
      <c r="G328" s="134"/>
      <c r="H328" s="134"/>
      <c r="I328" s="134"/>
      <c r="J328" s="134"/>
      <c r="K328" s="134"/>
      <c r="L328" s="134"/>
      <c r="M328" s="134"/>
      <c r="N328" s="134"/>
      <c r="O328" s="134"/>
      <c r="P328" s="134"/>
      <c r="Q328" s="134"/>
      <c r="R328" s="134"/>
      <c r="S328" s="134"/>
      <c r="T328" s="134"/>
      <c r="U328" s="134"/>
      <c r="V328" s="134"/>
      <c r="W328" s="134"/>
      <c r="X328" s="134"/>
      <c r="Y328" s="134"/>
      <c r="Z328" s="134"/>
      <c r="AA328" s="134"/>
      <c r="AB328" s="134"/>
      <c r="AC328" s="134"/>
      <c r="AD328" s="134"/>
      <c r="AE328" s="134"/>
      <c r="AF328" s="134"/>
      <c r="AG328" s="134"/>
      <c r="AH328" s="134"/>
    </row>
    <row r="329" spans="1:34">
      <c r="G329" s="134"/>
      <c r="H329" s="134"/>
      <c r="I329" s="134"/>
      <c r="J329" s="134"/>
      <c r="K329" s="134"/>
      <c r="L329" s="134"/>
      <c r="M329" s="134"/>
      <c r="N329" s="134"/>
      <c r="O329" s="134"/>
      <c r="P329" s="134"/>
      <c r="Q329" s="134"/>
      <c r="R329" s="134"/>
      <c r="S329" s="134"/>
      <c r="T329" s="134"/>
      <c r="U329" s="134"/>
      <c r="V329" s="134"/>
      <c r="W329" s="134"/>
      <c r="X329" s="134"/>
      <c r="Y329" s="134"/>
      <c r="Z329" s="134"/>
      <c r="AA329" s="134"/>
      <c r="AB329" s="134"/>
      <c r="AC329" s="134"/>
      <c r="AD329" s="134"/>
      <c r="AE329" s="134"/>
      <c r="AF329" s="134"/>
      <c r="AG329" s="134"/>
      <c r="AH329" s="134"/>
    </row>
    <row r="330" spans="1:34">
      <c r="A330" s="131"/>
      <c r="B330" s="131"/>
      <c r="C330" s="132" t="s">
        <v>902</v>
      </c>
      <c r="D330" s="131"/>
      <c r="E330" s="131"/>
      <c r="F330" s="186" t="s">
        <v>870</v>
      </c>
      <c r="G330" s="134"/>
      <c r="H330" s="134"/>
      <c r="I330" s="134"/>
      <c r="J330" s="134"/>
      <c r="K330" s="134"/>
      <c r="L330" s="134"/>
      <c r="M330" s="134"/>
      <c r="N330" s="134"/>
      <c r="O330" s="134"/>
      <c r="P330" s="134"/>
      <c r="Q330" s="134"/>
      <c r="R330" s="134"/>
      <c r="S330" s="134"/>
      <c r="T330" s="134"/>
      <c r="U330" s="134"/>
      <c r="V330" s="134"/>
      <c r="W330" s="134"/>
      <c r="X330" s="134"/>
      <c r="Y330" s="134"/>
      <c r="Z330" s="134"/>
      <c r="AA330" s="134"/>
      <c r="AB330" s="134"/>
      <c r="AC330" s="134"/>
      <c r="AD330" s="134"/>
      <c r="AE330" s="134"/>
      <c r="AF330" s="134"/>
      <c r="AG330" s="134"/>
      <c r="AH330" s="134"/>
    </row>
    <row r="331" spans="1:34">
      <c r="C331" s="133" t="s">
        <v>856</v>
      </c>
      <c r="D331" s="133" t="s">
        <v>856</v>
      </c>
      <c r="G331" s="134"/>
      <c r="H331" s="134"/>
      <c r="I331" s="134"/>
      <c r="J331" s="134"/>
      <c r="K331" s="134"/>
      <c r="L331" s="134"/>
      <c r="M331" s="134"/>
      <c r="N331" s="134"/>
      <c r="O331" s="134"/>
      <c r="P331" s="134"/>
      <c r="Q331" s="134"/>
      <c r="R331" s="134"/>
      <c r="S331" s="134"/>
      <c r="T331" s="134"/>
      <c r="U331" s="134"/>
      <c r="V331" s="134"/>
      <c r="W331" s="134"/>
      <c r="X331" s="134"/>
      <c r="Y331" s="134"/>
      <c r="Z331" s="134"/>
      <c r="AA331" s="134"/>
      <c r="AB331" s="134"/>
      <c r="AC331" s="134"/>
      <c r="AD331" s="134"/>
      <c r="AE331" s="134"/>
      <c r="AF331" s="134"/>
      <c r="AG331" s="134"/>
      <c r="AH331" s="134"/>
    </row>
    <row r="332" spans="1:34" ht="14.5" thickBot="1">
      <c r="C332" s="135" t="s">
        <v>813</v>
      </c>
      <c r="D332" s="135" t="s">
        <v>813</v>
      </c>
      <c r="E332" s="136" t="s">
        <v>857</v>
      </c>
      <c r="F332" s="136" t="s">
        <v>857</v>
      </c>
      <c r="G332" s="134"/>
      <c r="H332" s="134"/>
      <c r="I332" s="134"/>
      <c r="J332" s="134"/>
      <c r="K332" s="134"/>
      <c r="L332" s="134"/>
      <c r="M332" s="134"/>
      <c r="N332" s="134"/>
      <c r="O332" s="134"/>
      <c r="P332" s="134"/>
      <c r="Q332" s="134"/>
      <c r="R332" s="134"/>
      <c r="S332" s="134"/>
      <c r="T332" s="134"/>
      <c r="U332" s="134"/>
      <c r="V332" s="134"/>
      <c r="W332" s="134"/>
      <c r="X332" s="134"/>
      <c r="Y332" s="134"/>
      <c r="Z332" s="134"/>
      <c r="AA332" s="134"/>
      <c r="AB332" s="134"/>
      <c r="AC332" s="134"/>
      <c r="AD332" s="134"/>
      <c r="AE332" s="134"/>
      <c r="AF332" s="134"/>
      <c r="AG332" s="134"/>
      <c r="AH332" s="134"/>
    </row>
    <row r="333" spans="1:34">
      <c r="C333" s="137" t="s">
        <v>858</v>
      </c>
      <c r="D333" s="138" t="s">
        <v>859</v>
      </c>
      <c r="E333" s="137" t="s">
        <v>858</v>
      </c>
      <c r="F333" s="138" t="s">
        <v>859</v>
      </c>
      <c r="G333" s="134"/>
      <c r="H333" s="134"/>
      <c r="I333" s="134"/>
      <c r="J333" s="134"/>
      <c r="K333" s="134"/>
      <c r="L333" s="134"/>
      <c r="M333" s="134"/>
      <c r="N333" s="134"/>
      <c r="O333" s="134"/>
      <c r="P333" s="134"/>
      <c r="Q333" s="134"/>
      <c r="R333" s="134"/>
      <c r="S333" s="134"/>
      <c r="T333" s="134"/>
      <c r="U333" s="134"/>
      <c r="V333" s="134"/>
      <c r="W333" s="134"/>
      <c r="X333" s="134"/>
      <c r="Y333" s="134"/>
      <c r="Z333" s="134"/>
      <c r="AA333" s="134"/>
      <c r="AB333" s="134"/>
      <c r="AC333" s="134"/>
      <c r="AD333" s="134"/>
      <c r="AE333" s="134"/>
      <c r="AF333" s="134"/>
      <c r="AG333" s="134"/>
      <c r="AH333" s="134"/>
    </row>
    <row r="334" spans="1:34" ht="14.5" thickBot="1">
      <c r="A334" s="139" t="s">
        <v>860</v>
      </c>
      <c r="B334" s="140" t="s">
        <v>861</v>
      </c>
      <c r="C334" s="206" t="s">
        <v>862</v>
      </c>
      <c r="D334" s="207" t="s">
        <v>863</v>
      </c>
      <c r="E334" s="206" t="s">
        <v>862</v>
      </c>
      <c r="F334" s="207" t="s">
        <v>863</v>
      </c>
      <c r="G334" s="134"/>
      <c r="H334" s="134"/>
      <c r="I334" s="134"/>
      <c r="J334" s="134"/>
      <c r="K334" s="134"/>
      <c r="L334" s="134"/>
      <c r="M334" s="134"/>
      <c r="N334" s="134"/>
      <c r="O334" s="134"/>
      <c r="P334" s="134"/>
      <c r="Q334" s="134"/>
      <c r="R334" s="134"/>
      <c r="S334" s="134"/>
      <c r="T334" s="134"/>
      <c r="U334" s="134"/>
      <c r="V334" s="134"/>
      <c r="W334" s="134"/>
      <c r="X334" s="134"/>
      <c r="Y334" s="134"/>
      <c r="Z334" s="134"/>
      <c r="AA334" s="134"/>
      <c r="AB334" s="134"/>
      <c r="AC334" s="134"/>
      <c r="AD334" s="134"/>
      <c r="AE334" s="134"/>
      <c r="AF334" s="134"/>
      <c r="AG334" s="134"/>
      <c r="AH334" s="134"/>
    </row>
    <row r="335" spans="1:34">
      <c r="A335" s="145">
        <v>27</v>
      </c>
      <c r="B335" s="146" t="s">
        <v>903</v>
      </c>
      <c r="C335" s="188">
        <v>0.54113345521023704</v>
      </c>
      <c r="D335" s="189">
        <v>3.8940809968847301</v>
      </c>
      <c r="E335" s="188">
        <v>2.65</v>
      </c>
      <c r="F335" s="189">
        <v>10.031152647975</v>
      </c>
      <c r="G335" s="134"/>
      <c r="H335" s="134"/>
      <c r="I335" s="134"/>
      <c r="J335" s="134"/>
      <c r="K335" s="134"/>
      <c r="L335" s="134"/>
      <c r="M335" s="134"/>
      <c r="N335" s="134"/>
      <c r="O335" s="134"/>
      <c r="P335" s="134"/>
      <c r="Q335" s="134"/>
      <c r="R335" s="134"/>
      <c r="S335" s="134"/>
      <c r="T335" s="134"/>
      <c r="U335" s="134"/>
      <c r="V335" s="134"/>
      <c r="W335" s="134"/>
      <c r="X335" s="134"/>
      <c r="Y335" s="134"/>
      <c r="Z335" s="134"/>
      <c r="AA335" s="134"/>
      <c r="AB335" s="134"/>
      <c r="AC335" s="134"/>
      <c r="AD335" s="134"/>
      <c r="AE335" s="134"/>
      <c r="AF335" s="134"/>
      <c r="AG335" s="134"/>
      <c r="AH335" s="134"/>
    </row>
    <row r="336" spans="1:34">
      <c r="A336" s="151"/>
      <c r="B336" s="152"/>
      <c r="C336" s="188">
        <v>1.0758683729433201</v>
      </c>
      <c r="D336" s="189">
        <v>4.4859813084112101</v>
      </c>
      <c r="E336" s="188">
        <v>3.1736745886654401</v>
      </c>
      <c r="F336" s="189">
        <v>5.0778816199376902</v>
      </c>
      <c r="G336" s="134"/>
      <c r="H336" s="134"/>
      <c r="I336" s="134"/>
      <c r="J336" s="134"/>
      <c r="K336" s="134"/>
      <c r="L336" s="134"/>
      <c r="M336" s="134"/>
      <c r="N336" s="134"/>
      <c r="O336" s="134"/>
      <c r="P336" s="134"/>
      <c r="Q336" s="134"/>
      <c r="R336" s="134"/>
      <c r="S336" s="134"/>
      <c r="T336" s="134"/>
      <c r="U336" s="134"/>
      <c r="V336" s="134"/>
      <c r="W336" s="134"/>
      <c r="X336" s="134"/>
      <c r="Y336" s="134"/>
      <c r="Z336" s="134"/>
      <c r="AA336" s="134"/>
      <c r="AB336" s="134"/>
      <c r="AC336" s="134"/>
      <c r="AD336" s="134"/>
      <c r="AE336" s="134"/>
      <c r="AF336" s="134"/>
      <c r="AG336" s="134"/>
      <c r="AH336" s="134"/>
    </row>
    <row r="337" spans="1:34">
      <c r="A337" s="151"/>
      <c r="B337" s="152"/>
      <c r="C337" s="188">
        <v>1.6014625228519099</v>
      </c>
      <c r="D337" s="189">
        <v>6.5109034267912698</v>
      </c>
      <c r="E337" s="188">
        <v>4.1900000000000004</v>
      </c>
      <c r="F337" s="189">
        <v>2.5545171339563799</v>
      </c>
      <c r="G337" s="134"/>
      <c r="H337" s="134"/>
      <c r="I337" s="134"/>
      <c r="J337" s="134"/>
      <c r="K337" s="134"/>
      <c r="L337" s="134"/>
      <c r="M337" s="134"/>
      <c r="N337" s="134"/>
      <c r="O337" s="134"/>
      <c r="P337" s="134"/>
      <c r="Q337" s="134"/>
      <c r="R337" s="134"/>
      <c r="S337" s="134"/>
      <c r="T337" s="134"/>
      <c r="U337" s="134"/>
      <c r="V337" s="134"/>
      <c r="W337" s="134"/>
      <c r="X337" s="134"/>
      <c r="Y337" s="134"/>
      <c r="Z337" s="134"/>
      <c r="AA337" s="134"/>
      <c r="AB337" s="134"/>
      <c r="AC337" s="134"/>
      <c r="AD337" s="134"/>
      <c r="AE337" s="134"/>
      <c r="AF337" s="134"/>
      <c r="AG337" s="134"/>
      <c r="AH337" s="134"/>
    </row>
    <row r="338" spans="1:34">
      <c r="A338" s="151"/>
      <c r="B338" s="152"/>
      <c r="C338" s="188">
        <v>2.1316270566727602</v>
      </c>
      <c r="D338" s="189">
        <v>12.056074766355099</v>
      </c>
      <c r="E338" s="188">
        <v>4.6900000000000004</v>
      </c>
      <c r="F338" s="189">
        <v>1.5264797507788099</v>
      </c>
      <c r="G338" s="134"/>
      <c r="H338" s="134"/>
      <c r="I338" s="134"/>
      <c r="J338" s="134"/>
      <c r="K338" s="134"/>
      <c r="L338" s="134"/>
      <c r="M338" s="134"/>
      <c r="N338" s="134"/>
      <c r="O338" s="134"/>
      <c r="P338" s="134"/>
      <c r="Q338" s="134"/>
      <c r="R338" s="134"/>
      <c r="S338" s="134"/>
      <c r="T338" s="134"/>
      <c r="U338" s="134"/>
      <c r="V338" s="134"/>
      <c r="W338" s="134"/>
      <c r="X338" s="134"/>
      <c r="Y338" s="134"/>
      <c r="Z338" s="134"/>
      <c r="AA338" s="134"/>
      <c r="AB338" s="134"/>
      <c r="AC338" s="134"/>
      <c r="AD338" s="134"/>
      <c r="AE338" s="134"/>
      <c r="AF338" s="134"/>
      <c r="AG338" s="134"/>
      <c r="AH338" s="134"/>
    </row>
    <row r="339" spans="1:34">
      <c r="A339" s="151"/>
      <c r="B339" s="152"/>
      <c r="C339" s="211"/>
      <c r="D339" s="212"/>
      <c r="E339" s="188">
        <v>5.2</v>
      </c>
      <c r="F339" s="189">
        <v>0.49844236760124599</v>
      </c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  <c r="AG339" s="134"/>
      <c r="AH339" s="134"/>
    </row>
    <row r="340" spans="1:34">
      <c r="A340" s="151"/>
      <c r="B340" s="152"/>
      <c r="C340" s="211"/>
      <c r="D340" s="212"/>
      <c r="E340" s="190"/>
      <c r="F340" s="191"/>
      <c r="G340" s="134"/>
      <c r="H340" s="134"/>
      <c r="I340" s="134"/>
      <c r="J340" s="134"/>
      <c r="K340" s="134"/>
      <c r="L340" s="134"/>
      <c r="M340" s="134"/>
      <c r="N340" s="134"/>
      <c r="O340" s="134"/>
      <c r="P340" s="134"/>
      <c r="Q340" s="134"/>
      <c r="R340" s="134"/>
      <c r="S340" s="134"/>
      <c r="T340" s="134"/>
      <c r="U340" s="134"/>
      <c r="V340" s="134"/>
      <c r="W340" s="134"/>
      <c r="X340" s="134"/>
      <c r="Y340" s="134"/>
      <c r="Z340" s="134"/>
      <c r="AA340" s="134"/>
      <c r="AB340" s="134"/>
      <c r="AC340" s="134"/>
      <c r="AD340" s="134"/>
      <c r="AE340" s="134"/>
      <c r="AF340" s="134"/>
      <c r="AG340" s="134"/>
      <c r="AH340" s="134"/>
    </row>
    <row r="341" spans="1:34">
      <c r="A341" s="151"/>
      <c r="B341" s="152"/>
      <c r="C341" s="211"/>
      <c r="D341" s="212"/>
      <c r="E341" s="190"/>
      <c r="F341" s="191"/>
      <c r="G341" s="134"/>
      <c r="H341" s="134"/>
      <c r="I341" s="134"/>
      <c r="J341" s="134"/>
      <c r="K341" s="134"/>
      <c r="L341" s="134"/>
      <c r="M341" s="134"/>
      <c r="N341" s="134"/>
      <c r="O341" s="134"/>
      <c r="P341" s="134"/>
      <c r="Q341" s="134"/>
      <c r="R341" s="134"/>
      <c r="S341" s="134"/>
      <c r="T341" s="134"/>
      <c r="U341" s="134"/>
      <c r="V341" s="134"/>
      <c r="W341" s="134"/>
      <c r="X341" s="134"/>
      <c r="Y341" s="134"/>
      <c r="Z341" s="134"/>
      <c r="AA341" s="134"/>
      <c r="AB341" s="134"/>
      <c r="AC341" s="134"/>
      <c r="AD341" s="134"/>
      <c r="AE341" s="134"/>
      <c r="AF341" s="134"/>
      <c r="AG341" s="134"/>
      <c r="AH341" s="134"/>
    </row>
    <row r="342" spans="1:34">
      <c r="A342" s="151"/>
      <c r="B342" s="152"/>
      <c r="C342" s="179"/>
      <c r="D342" s="180"/>
      <c r="E342" s="190"/>
      <c r="F342" s="191"/>
      <c r="G342" s="134"/>
      <c r="H342" s="134"/>
      <c r="I342" s="134"/>
      <c r="J342" s="134"/>
      <c r="K342" s="134"/>
      <c r="L342" s="134"/>
      <c r="M342" s="134"/>
      <c r="N342" s="134"/>
      <c r="O342" s="134"/>
      <c r="P342" s="134"/>
      <c r="Q342" s="134"/>
      <c r="R342" s="134"/>
      <c r="S342" s="134"/>
      <c r="T342" s="134"/>
      <c r="U342" s="134"/>
      <c r="V342" s="134"/>
      <c r="W342" s="134"/>
      <c r="X342" s="134"/>
      <c r="Y342" s="134"/>
      <c r="Z342" s="134"/>
      <c r="AA342" s="134"/>
      <c r="AB342" s="134"/>
      <c r="AC342" s="134"/>
      <c r="AD342" s="134"/>
      <c r="AE342" s="134"/>
      <c r="AF342" s="134"/>
      <c r="AG342" s="134"/>
      <c r="AH342" s="134"/>
    </row>
    <row r="343" spans="1:34">
      <c r="A343" s="151"/>
      <c r="B343" s="152"/>
      <c r="C343" s="179"/>
      <c r="D343" s="180"/>
      <c r="E343" s="190"/>
      <c r="F343" s="191"/>
      <c r="G343" s="134"/>
      <c r="H343" s="134"/>
      <c r="I343" s="134"/>
      <c r="J343" s="134"/>
      <c r="K343" s="134"/>
      <c r="L343" s="134"/>
      <c r="M343" s="134"/>
      <c r="N343" s="134"/>
      <c r="O343" s="134"/>
      <c r="P343" s="134"/>
      <c r="Q343" s="134"/>
      <c r="R343" s="134"/>
      <c r="S343" s="134"/>
      <c r="T343" s="134"/>
      <c r="U343" s="134"/>
      <c r="V343" s="134"/>
      <c r="W343" s="134"/>
      <c r="X343" s="134"/>
      <c r="Y343" s="134"/>
      <c r="Z343" s="134"/>
      <c r="AA343" s="134"/>
      <c r="AB343" s="134"/>
      <c r="AC343" s="134"/>
      <c r="AD343" s="134"/>
      <c r="AE343" s="134"/>
      <c r="AF343" s="134"/>
      <c r="AG343" s="134"/>
      <c r="AH343" s="134"/>
    </row>
    <row r="344" spans="1:34" ht="14.5" thickBot="1">
      <c r="A344" s="160"/>
      <c r="B344" s="161"/>
      <c r="C344" s="182"/>
      <c r="D344" s="183"/>
      <c r="E344" s="184"/>
      <c r="F344" s="183"/>
      <c r="G344" s="134"/>
      <c r="H344" s="134"/>
      <c r="I344" s="134"/>
      <c r="J344" s="134"/>
      <c r="K344" s="134"/>
      <c r="L344" s="134"/>
      <c r="M344" s="134"/>
      <c r="N344" s="134"/>
      <c r="O344" s="134"/>
      <c r="P344" s="134"/>
      <c r="Q344" s="134"/>
      <c r="R344" s="134"/>
      <c r="S344" s="134"/>
      <c r="T344" s="134"/>
      <c r="U344" s="134"/>
      <c r="V344" s="134"/>
      <c r="W344" s="134"/>
      <c r="X344" s="134"/>
      <c r="Y344" s="134"/>
      <c r="Z344" s="134"/>
      <c r="AA344" s="134"/>
      <c r="AB344" s="134"/>
      <c r="AC344" s="134"/>
      <c r="AD344" s="134"/>
      <c r="AE344" s="134"/>
      <c r="AF344" s="134"/>
      <c r="AG344" s="134"/>
      <c r="AH344" s="134"/>
    </row>
    <row r="345" spans="1:34">
      <c r="G345" s="134"/>
      <c r="H345" s="134"/>
      <c r="I345" s="134"/>
      <c r="J345" s="134"/>
      <c r="K345" s="134"/>
      <c r="L345" s="134"/>
      <c r="M345" s="134"/>
      <c r="N345" s="134"/>
      <c r="O345" s="134"/>
      <c r="P345" s="134"/>
      <c r="Q345" s="134"/>
      <c r="R345" s="134"/>
      <c r="S345" s="134"/>
      <c r="T345" s="134"/>
      <c r="U345" s="134"/>
      <c r="V345" s="134"/>
      <c r="W345" s="134"/>
      <c r="X345" s="134"/>
      <c r="Y345" s="134"/>
      <c r="Z345" s="134"/>
      <c r="AA345" s="134"/>
      <c r="AB345" s="134"/>
      <c r="AC345" s="134"/>
      <c r="AD345" s="134"/>
      <c r="AE345" s="134"/>
      <c r="AF345" s="134"/>
      <c r="AG345" s="134"/>
      <c r="AH345" s="134"/>
    </row>
    <row r="346" spans="1:34">
      <c r="G346" s="134"/>
      <c r="H346" s="134"/>
      <c r="I346" s="134"/>
      <c r="J346" s="134"/>
      <c r="K346" s="134"/>
      <c r="L346" s="134"/>
      <c r="M346" s="134"/>
      <c r="N346" s="134"/>
      <c r="O346" s="134"/>
      <c r="P346" s="134"/>
      <c r="Q346" s="134"/>
      <c r="R346" s="134"/>
      <c r="S346" s="134"/>
      <c r="T346" s="134"/>
      <c r="U346" s="134"/>
      <c r="V346" s="134"/>
      <c r="W346" s="134"/>
      <c r="X346" s="134"/>
      <c r="Y346" s="134"/>
      <c r="Z346" s="134"/>
      <c r="AA346" s="134"/>
      <c r="AB346" s="134"/>
      <c r="AC346" s="134"/>
      <c r="AD346" s="134"/>
      <c r="AE346" s="134"/>
      <c r="AF346" s="134"/>
      <c r="AG346" s="134"/>
      <c r="AH346" s="134"/>
    </row>
    <row r="347" spans="1:34">
      <c r="A347" s="131"/>
      <c r="B347" s="131"/>
      <c r="C347" s="132" t="s">
        <v>904</v>
      </c>
      <c r="D347" s="131"/>
      <c r="E347" s="131"/>
      <c r="F347" s="186" t="s">
        <v>870</v>
      </c>
      <c r="G347" s="134"/>
      <c r="H347" s="134"/>
      <c r="I347" s="134"/>
      <c r="J347" s="134"/>
      <c r="K347" s="134"/>
      <c r="L347" s="134"/>
      <c r="M347" s="134"/>
      <c r="N347" s="134"/>
      <c r="O347" s="134"/>
      <c r="P347" s="134"/>
      <c r="Q347" s="134"/>
      <c r="R347" s="134"/>
      <c r="S347" s="134"/>
      <c r="T347" s="134"/>
      <c r="U347" s="134"/>
      <c r="V347" s="134"/>
      <c r="W347" s="134"/>
      <c r="X347" s="134"/>
      <c r="Y347" s="134"/>
      <c r="Z347" s="134"/>
      <c r="AA347" s="134"/>
      <c r="AB347" s="134"/>
      <c r="AC347" s="134"/>
      <c r="AD347" s="134"/>
      <c r="AE347" s="134"/>
      <c r="AF347" s="134"/>
      <c r="AG347" s="134"/>
      <c r="AH347" s="134"/>
    </row>
    <row r="348" spans="1:34">
      <c r="C348" s="133" t="s">
        <v>856</v>
      </c>
      <c r="D348" s="133" t="s">
        <v>856</v>
      </c>
      <c r="G348" s="134"/>
      <c r="H348" s="134"/>
      <c r="I348" s="134"/>
      <c r="J348" s="134"/>
      <c r="K348" s="134"/>
      <c r="L348" s="134"/>
      <c r="M348" s="134"/>
      <c r="N348" s="134"/>
      <c r="O348" s="134"/>
      <c r="P348" s="134"/>
      <c r="Q348" s="134"/>
      <c r="R348" s="134"/>
      <c r="S348" s="134"/>
      <c r="T348" s="134"/>
      <c r="U348" s="134"/>
      <c r="V348" s="134"/>
      <c r="W348" s="134"/>
      <c r="X348" s="134"/>
      <c r="Y348" s="134"/>
      <c r="Z348" s="134"/>
      <c r="AA348" s="134"/>
      <c r="AB348" s="134"/>
      <c r="AC348" s="134"/>
      <c r="AD348" s="134"/>
      <c r="AE348" s="134"/>
      <c r="AF348" s="134"/>
      <c r="AG348" s="134"/>
      <c r="AH348" s="134"/>
    </row>
    <row r="349" spans="1:34" ht="14.5" thickBot="1">
      <c r="C349" s="135" t="s">
        <v>813</v>
      </c>
      <c r="D349" s="135" t="s">
        <v>813</v>
      </c>
      <c r="E349" s="136" t="s">
        <v>857</v>
      </c>
      <c r="F349" s="136" t="s">
        <v>857</v>
      </c>
      <c r="G349" s="134"/>
      <c r="H349" s="134"/>
      <c r="I349" s="134"/>
      <c r="J349" s="134"/>
      <c r="K349" s="134"/>
      <c r="L349" s="134"/>
      <c r="M349" s="134"/>
      <c r="N349" s="134"/>
      <c r="O349" s="134"/>
      <c r="P349" s="134"/>
      <c r="Q349" s="134"/>
      <c r="R349" s="134"/>
      <c r="S349" s="134"/>
      <c r="T349" s="134"/>
      <c r="U349" s="134"/>
      <c r="V349" s="134"/>
      <c r="W349" s="134"/>
      <c r="X349" s="134"/>
      <c r="Y349" s="134"/>
      <c r="Z349" s="134"/>
      <c r="AA349" s="134"/>
      <c r="AB349" s="134"/>
      <c r="AC349" s="134"/>
      <c r="AD349" s="134"/>
      <c r="AE349" s="134"/>
      <c r="AF349" s="134"/>
      <c r="AG349" s="134"/>
      <c r="AH349" s="134"/>
    </row>
    <row r="350" spans="1:34">
      <c r="C350" s="137" t="s">
        <v>858</v>
      </c>
      <c r="D350" s="138" t="s">
        <v>859</v>
      </c>
      <c r="E350" s="137" t="s">
        <v>858</v>
      </c>
      <c r="F350" s="138" t="s">
        <v>859</v>
      </c>
      <c r="G350" s="134"/>
      <c r="H350" s="134"/>
      <c r="I350" s="134"/>
      <c r="J350" s="134"/>
      <c r="K350" s="134"/>
      <c r="L350" s="134"/>
      <c r="M350" s="134"/>
      <c r="N350" s="134"/>
      <c r="O350" s="134"/>
      <c r="P350" s="134"/>
      <c r="Q350" s="134"/>
      <c r="R350" s="134"/>
      <c r="S350" s="134"/>
      <c r="T350" s="134"/>
      <c r="U350" s="134"/>
      <c r="V350" s="134"/>
      <c r="W350" s="134"/>
      <c r="X350" s="134"/>
      <c r="Y350" s="134"/>
      <c r="Z350" s="134"/>
      <c r="AA350" s="134"/>
      <c r="AB350" s="134"/>
      <c r="AC350" s="134"/>
      <c r="AD350" s="134"/>
      <c r="AE350" s="134"/>
      <c r="AF350" s="134"/>
      <c r="AG350" s="134"/>
      <c r="AH350" s="134"/>
    </row>
    <row r="351" spans="1:34" ht="14.5" thickBot="1">
      <c r="A351" s="139" t="s">
        <v>860</v>
      </c>
      <c r="B351" s="140" t="s">
        <v>861</v>
      </c>
      <c r="C351" s="206" t="s">
        <v>862</v>
      </c>
      <c r="D351" s="207" t="s">
        <v>863</v>
      </c>
      <c r="E351" s="206" t="s">
        <v>862</v>
      </c>
      <c r="F351" s="207" t="s">
        <v>863</v>
      </c>
      <c r="G351" s="134"/>
      <c r="H351" s="134"/>
      <c r="I351" s="134"/>
      <c r="J351" s="134"/>
      <c r="K351" s="134"/>
      <c r="L351" s="134"/>
      <c r="M351" s="134"/>
      <c r="N351" s="134"/>
      <c r="O351" s="134"/>
      <c r="P351" s="134"/>
      <c r="Q351" s="134"/>
      <c r="R351" s="134"/>
      <c r="S351" s="134"/>
      <c r="T351" s="134"/>
      <c r="U351" s="134"/>
      <c r="V351" s="134"/>
      <c r="W351" s="134"/>
      <c r="X351" s="134"/>
      <c r="Y351" s="134"/>
      <c r="Z351" s="134"/>
      <c r="AA351" s="134"/>
      <c r="AB351" s="134"/>
      <c r="AC351" s="134"/>
      <c r="AD351" s="134"/>
      <c r="AE351" s="134"/>
      <c r="AF351" s="134"/>
      <c r="AG351" s="134"/>
      <c r="AH351" s="134"/>
    </row>
    <row r="352" spans="1:34">
      <c r="A352" s="145">
        <v>27</v>
      </c>
      <c r="B352" s="146" t="s">
        <v>905</v>
      </c>
      <c r="C352" s="188">
        <v>0.53</v>
      </c>
      <c r="D352" s="189">
        <v>1.28</v>
      </c>
      <c r="E352" s="188">
        <v>2.12</v>
      </c>
      <c r="F352" s="189">
        <v>18.11</v>
      </c>
      <c r="G352" s="134"/>
      <c r="H352" s="134"/>
      <c r="I352" s="134"/>
      <c r="J352" s="134"/>
      <c r="K352" s="134"/>
      <c r="L352" s="134"/>
      <c r="M352" s="134"/>
      <c r="N352" s="134"/>
      <c r="O352" s="134"/>
      <c r="P352" s="134"/>
      <c r="Q352" s="134"/>
      <c r="R352" s="134"/>
      <c r="S352" s="134"/>
      <c r="T352" s="134"/>
      <c r="U352" s="134"/>
      <c r="V352" s="134"/>
      <c r="W352" s="134"/>
      <c r="X352" s="134"/>
      <c r="Y352" s="134"/>
      <c r="Z352" s="134"/>
      <c r="AA352" s="134"/>
      <c r="AB352" s="134"/>
      <c r="AC352" s="134"/>
      <c r="AD352" s="134"/>
      <c r="AE352" s="134"/>
      <c r="AF352" s="134"/>
      <c r="AG352" s="134"/>
      <c r="AH352" s="134"/>
    </row>
    <row r="353" spans="1:34">
      <c r="A353" s="151"/>
      <c r="B353" s="152"/>
      <c r="C353" s="188">
        <v>1.0649999999999999</v>
      </c>
      <c r="D353" s="189">
        <v>1.9578313253012001</v>
      </c>
      <c r="E353" s="188">
        <v>2.64</v>
      </c>
      <c r="F353" s="189">
        <v>5.89</v>
      </c>
      <c r="G353" s="134"/>
      <c r="H353" s="134"/>
      <c r="I353" s="134"/>
      <c r="J353" s="134"/>
      <c r="K353" s="134"/>
      <c r="L353" s="134"/>
      <c r="M353" s="134"/>
      <c r="N353" s="134"/>
      <c r="O353" s="134"/>
      <c r="P353" s="134"/>
      <c r="Q353" s="134"/>
      <c r="R353" s="134"/>
      <c r="S353" s="134"/>
      <c r="T353" s="134"/>
      <c r="U353" s="134"/>
      <c r="V353" s="134"/>
      <c r="W353" s="134"/>
      <c r="X353" s="134"/>
      <c r="Y353" s="134"/>
      <c r="Z353" s="134"/>
      <c r="AA353" s="134"/>
      <c r="AB353" s="134"/>
      <c r="AC353" s="134"/>
      <c r="AD353" s="134"/>
      <c r="AE353" s="134"/>
      <c r="AF353" s="134"/>
      <c r="AG353" s="134"/>
      <c r="AH353" s="134"/>
    </row>
    <row r="354" spans="1:34">
      <c r="A354" s="151"/>
      <c r="B354" s="152"/>
      <c r="C354" s="188">
        <v>1.60424028268551</v>
      </c>
      <c r="D354" s="189">
        <v>7.0783132530120403</v>
      </c>
      <c r="E354" s="188">
        <v>3.17</v>
      </c>
      <c r="F354" s="189">
        <v>3.3</v>
      </c>
      <c r="G354" s="134"/>
      <c r="H354" s="134"/>
      <c r="I354" s="134"/>
      <c r="J354" s="134"/>
      <c r="K354" s="134"/>
      <c r="L354" s="134"/>
      <c r="M354" s="134"/>
      <c r="N354" s="134"/>
      <c r="O354" s="134"/>
      <c r="P354" s="134"/>
      <c r="Q354" s="134"/>
      <c r="R354" s="134"/>
      <c r="S354" s="134"/>
      <c r="T354" s="134"/>
      <c r="U354" s="134"/>
      <c r="V354" s="134"/>
      <c r="W354" s="134"/>
      <c r="X354" s="134"/>
      <c r="Y354" s="134"/>
      <c r="Z354" s="134"/>
      <c r="AA354" s="134"/>
      <c r="AB354" s="134"/>
      <c r="AC354" s="134"/>
      <c r="AD354" s="134"/>
      <c r="AE354" s="134"/>
      <c r="AF354" s="134"/>
      <c r="AG354" s="134"/>
      <c r="AH354" s="134"/>
    </row>
    <row r="355" spans="1:34">
      <c r="A355" s="151"/>
      <c r="B355" s="152"/>
      <c r="C355" s="188">
        <v>2.12</v>
      </c>
      <c r="D355" s="189">
        <v>15.5722891566265</v>
      </c>
      <c r="E355" s="188">
        <v>3.6934628975265</v>
      </c>
      <c r="F355" s="189">
        <v>1.2951807228915599</v>
      </c>
      <c r="G355" s="134"/>
      <c r="H355" s="134"/>
      <c r="I355" s="134"/>
      <c r="J355" s="134"/>
      <c r="K355" s="134"/>
      <c r="L355" s="134"/>
      <c r="M355" s="134"/>
      <c r="N355" s="134"/>
      <c r="O355" s="134"/>
      <c r="P355" s="134"/>
      <c r="Q355" s="134"/>
      <c r="R355" s="134"/>
      <c r="S355" s="134"/>
      <c r="T355" s="134"/>
      <c r="U355" s="134"/>
      <c r="V355" s="134"/>
      <c r="W355" s="134"/>
      <c r="X355" s="134"/>
      <c r="Y355" s="134"/>
      <c r="Z355" s="134"/>
      <c r="AA355" s="134"/>
      <c r="AB355" s="134"/>
      <c r="AC355" s="134"/>
      <c r="AD355" s="134"/>
      <c r="AE355" s="134"/>
      <c r="AF355" s="134"/>
      <c r="AG355" s="134"/>
      <c r="AH355" s="134"/>
    </row>
    <row r="356" spans="1:34">
      <c r="A356" s="151"/>
      <c r="B356" s="152"/>
      <c r="C356" s="211"/>
      <c r="D356" s="212"/>
      <c r="E356" s="188">
        <v>4.20141342756183</v>
      </c>
      <c r="F356" s="189">
        <v>0.66265060240963802</v>
      </c>
      <c r="G356" s="134"/>
      <c r="H356" s="134"/>
      <c r="I356" s="134"/>
      <c r="J356" s="134"/>
      <c r="K356" s="134"/>
      <c r="L356" s="134"/>
      <c r="M356" s="134"/>
      <c r="N356" s="134"/>
      <c r="O356" s="134"/>
      <c r="P356" s="134"/>
      <c r="Q356" s="134"/>
      <c r="R356" s="134"/>
      <c r="S356" s="134"/>
      <c r="T356" s="134"/>
      <c r="U356" s="134"/>
      <c r="V356" s="134"/>
      <c r="W356" s="134"/>
      <c r="X356" s="134"/>
      <c r="Y356" s="134"/>
      <c r="Z356" s="134"/>
      <c r="AA356" s="134"/>
      <c r="AB356" s="134"/>
      <c r="AC356" s="134"/>
      <c r="AD356" s="134"/>
      <c r="AE356" s="134"/>
      <c r="AF356" s="134"/>
      <c r="AG356" s="134"/>
      <c r="AH356" s="134"/>
    </row>
    <row r="357" spans="1:34">
      <c r="A357" s="151"/>
      <c r="B357" s="152"/>
      <c r="C357" s="211"/>
      <c r="D357" s="212"/>
      <c r="E357" s="188">
        <v>4.7</v>
      </c>
      <c r="F357" s="189">
        <v>0.68</v>
      </c>
      <c r="G357" s="134"/>
      <c r="H357" s="134"/>
      <c r="I357" s="134"/>
      <c r="J357" s="134"/>
      <c r="K357" s="134"/>
      <c r="L357" s="134"/>
      <c r="M357" s="134"/>
      <c r="N357" s="134"/>
      <c r="O357" s="134"/>
      <c r="P357" s="134"/>
      <c r="Q357" s="134"/>
      <c r="R357" s="134"/>
      <c r="S357" s="134"/>
      <c r="T357" s="134"/>
      <c r="U357" s="134"/>
      <c r="V357" s="134"/>
      <c r="W357" s="134"/>
      <c r="X357" s="134"/>
      <c r="Y357" s="134"/>
      <c r="Z357" s="134"/>
      <c r="AA357" s="134"/>
      <c r="AB357" s="134"/>
      <c r="AC357" s="134"/>
      <c r="AD357" s="134"/>
      <c r="AE357" s="134"/>
      <c r="AF357" s="134"/>
      <c r="AG357" s="134"/>
      <c r="AH357" s="134"/>
    </row>
    <row r="358" spans="1:34">
      <c r="A358" s="151"/>
      <c r="B358" s="152"/>
      <c r="C358" s="211"/>
      <c r="D358" s="212"/>
      <c r="E358" s="188">
        <v>5.2040636042402797</v>
      </c>
      <c r="F358" s="189">
        <v>0.1</v>
      </c>
      <c r="G358" s="134"/>
      <c r="H358" s="134"/>
      <c r="I358" s="134"/>
      <c r="J358" s="134"/>
      <c r="K358" s="134"/>
      <c r="L358" s="134"/>
      <c r="M358" s="134"/>
      <c r="N358" s="134"/>
      <c r="O358" s="134"/>
      <c r="P358" s="134"/>
      <c r="Q358" s="134"/>
      <c r="R358" s="134"/>
      <c r="S358" s="134"/>
      <c r="T358" s="134"/>
      <c r="U358" s="134"/>
      <c r="V358" s="134"/>
      <c r="W358" s="134"/>
      <c r="X358" s="134"/>
      <c r="Y358" s="134"/>
      <c r="Z358" s="134"/>
      <c r="AA358" s="134"/>
      <c r="AB358" s="134"/>
      <c r="AC358" s="134"/>
      <c r="AD358" s="134"/>
      <c r="AE358" s="134"/>
      <c r="AF358" s="134"/>
      <c r="AG358" s="134"/>
      <c r="AH358" s="134"/>
    </row>
    <row r="359" spans="1:34">
      <c r="A359" s="151"/>
      <c r="B359" s="152"/>
      <c r="C359" s="179"/>
      <c r="D359" s="180"/>
      <c r="E359" s="190"/>
      <c r="F359" s="191"/>
      <c r="G359" s="134"/>
      <c r="H359" s="134"/>
      <c r="I359" s="134"/>
      <c r="J359" s="134"/>
      <c r="K359" s="134"/>
      <c r="L359" s="134"/>
      <c r="M359" s="134"/>
      <c r="N359" s="134"/>
      <c r="O359" s="134"/>
      <c r="P359" s="134"/>
      <c r="Q359" s="134"/>
      <c r="R359" s="134"/>
      <c r="S359" s="134"/>
      <c r="T359" s="134"/>
      <c r="U359" s="134"/>
      <c r="V359" s="134"/>
      <c r="W359" s="134"/>
      <c r="X359" s="134"/>
      <c r="Y359" s="134"/>
      <c r="Z359" s="134"/>
      <c r="AA359" s="134"/>
      <c r="AB359" s="134"/>
      <c r="AC359" s="134"/>
      <c r="AD359" s="134"/>
      <c r="AE359" s="134"/>
      <c r="AF359" s="134"/>
      <c r="AG359" s="134"/>
      <c r="AH359" s="134"/>
    </row>
    <row r="360" spans="1:34">
      <c r="A360" s="151"/>
      <c r="B360" s="152"/>
      <c r="C360" s="179"/>
      <c r="D360" s="180"/>
      <c r="E360" s="190"/>
      <c r="F360" s="191"/>
      <c r="G360" s="134"/>
      <c r="H360" s="134"/>
      <c r="I360" s="134"/>
      <c r="J360" s="134"/>
      <c r="K360" s="134"/>
      <c r="L360" s="134"/>
      <c r="M360" s="134"/>
      <c r="N360" s="134"/>
      <c r="O360" s="134"/>
      <c r="P360" s="134"/>
      <c r="Q360" s="134"/>
      <c r="R360" s="134"/>
      <c r="S360" s="134"/>
      <c r="T360" s="134"/>
      <c r="U360" s="134"/>
      <c r="V360" s="134"/>
      <c r="W360" s="134"/>
      <c r="X360" s="134"/>
      <c r="Y360" s="134"/>
      <c r="Z360" s="134"/>
      <c r="AA360" s="134"/>
      <c r="AB360" s="134"/>
      <c r="AC360" s="134"/>
      <c r="AD360" s="134"/>
      <c r="AE360" s="134"/>
      <c r="AF360" s="134"/>
      <c r="AG360" s="134"/>
      <c r="AH360" s="134"/>
    </row>
    <row r="361" spans="1:34" ht="14.5" thickBot="1">
      <c r="A361" s="160"/>
      <c r="B361" s="161"/>
      <c r="C361" s="182"/>
      <c r="D361" s="183"/>
      <c r="E361" s="184"/>
      <c r="F361" s="183"/>
      <c r="G361" s="134"/>
      <c r="H361" s="134"/>
      <c r="I361" s="134"/>
      <c r="J361" s="134"/>
      <c r="K361" s="134"/>
      <c r="L361" s="134"/>
      <c r="M361" s="134"/>
      <c r="N361" s="134"/>
      <c r="O361" s="134"/>
      <c r="P361" s="134"/>
      <c r="Q361" s="134"/>
      <c r="R361" s="134"/>
      <c r="S361" s="134"/>
      <c r="T361" s="134"/>
      <c r="U361" s="134"/>
      <c r="V361" s="134"/>
      <c r="W361" s="134"/>
      <c r="X361" s="134"/>
      <c r="Y361" s="134"/>
      <c r="Z361" s="134"/>
      <c r="AA361" s="134"/>
      <c r="AB361" s="134"/>
      <c r="AC361" s="134"/>
      <c r="AD361" s="134"/>
      <c r="AE361" s="134"/>
      <c r="AF361" s="134"/>
      <c r="AG361" s="134"/>
      <c r="AH361" s="134"/>
    </row>
    <row r="362" spans="1:34">
      <c r="G362" s="134"/>
      <c r="H362" s="134"/>
      <c r="I362" s="134"/>
      <c r="J362" s="134"/>
      <c r="K362" s="134"/>
      <c r="L362" s="134"/>
      <c r="M362" s="134"/>
      <c r="N362" s="134"/>
      <c r="O362" s="134"/>
      <c r="P362" s="134"/>
      <c r="Q362" s="134"/>
      <c r="R362" s="134"/>
      <c r="S362" s="134"/>
      <c r="T362" s="134"/>
      <c r="U362" s="134"/>
      <c r="V362" s="134"/>
      <c r="W362" s="134"/>
      <c r="X362" s="134"/>
      <c r="Y362" s="134"/>
      <c r="Z362" s="134"/>
      <c r="AA362" s="134"/>
      <c r="AB362" s="134"/>
      <c r="AC362" s="134"/>
      <c r="AD362" s="134"/>
      <c r="AE362" s="134"/>
      <c r="AF362" s="134"/>
      <c r="AG362" s="134"/>
      <c r="AH362" s="134"/>
    </row>
    <row r="363" spans="1:34">
      <c r="G363" s="134"/>
      <c r="H363" s="134"/>
      <c r="I363" s="134"/>
      <c r="J363" s="134"/>
      <c r="K363" s="134"/>
      <c r="L363" s="134"/>
      <c r="M363" s="134"/>
      <c r="N363" s="134"/>
      <c r="O363" s="134"/>
      <c r="P363" s="134"/>
      <c r="Q363" s="134"/>
      <c r="R363" s="134"/>
      <c r="S363" s="134"/>
      <c r="T363" s="134"/>
      <c r="U363" s="134"/>
      <c r="V363" s="134"/>
      <c r="W363" s="134"/>
      <c r="X363" s="134"/>
      <c r="Y363" s="134"/>
      <c r="Z363" s="134"/>
      <c r="AA363" s="134"/>
      <c r="AB363" s="134"/>
      <c r="AC363" s="134"/>
      <c r="AD363" s="134"/>
      <c r="AE363" s="134"/>
      <c r="AF363" s="134"/>
      <c r="AG363" s="134"/>
      <c r="AH363" s="134"/>
    </row>
    <row r="364" spans="1:34">
      <c r="A364" s="131"/>
      <c r="B364" s="131"/>
      <c r="C364" s="132" t="s">
        <v>906</v>
      </c>
      <c r="D364" s="131"/>
      <c r="E364" s="131"/>
      <c r="F364" s="186" t="s">
        <v>870</v>
      </c>
      <c r="G364" s="134"/>
      <c r="H364" s="134"/>
      <c r="I364" s="134"/>
      <c r="J364" s="134"/>
      <c r="K364" s="134"/>
      <c r="L364" s="134"/>
      <c r="M364" s="134"/>
      <c r="N364" s="134"/>
      <c r="O364" s="134"/>
      <c r="P364" s="134"/>
      <c r="Q364" s="134"/>
      <c r="R364" s="134"/>
      <c r="S364" s="134"/>
      <c r="T364" s="134"/>
      <c r="U364" s="134"/>
      <c r="V364" s="134"/>
      <c r="W364" s="134"/>
      <c r="X364" s="134"/>
      <c r="Y364" s="134"/>
      <c r="Z364" s="134"/>
      <c r="AA364" s="134"/>
      <c r="AB364" s="134"/>
      <c r="AC364" s="134"/>
      <c r="AD364" s="134"/>
      <c r="AE364" s="134"/>
      <c r="AF364" s="134"/>
      <c r="AG364" s="134"/>
      <c r="AH364" s="134"/>
    </row>
    <row r="365" spans="1:34">
      <c r="C365" s="133" t="s">
        <v>856</v>
      </c>
      <c r="D365" s="133" t="s">
        <v>856</v>
      </c>
      <c r="G365" s="134"/>
      <c r="H365" s="134"/>
      <c r="I365" s="134"/>
      <c r="J365" s="134"/>
      <c r="K365" s="134"/>
      <c r="L365" s="134"/>
      <c r="M365" s="134"/>
      <c r="N365" s="134"/>
      <c r="O365" s="134"/>
      <c r="P365" s="134"/>
      <c r="Q365" s="134"/>
      <c r="R365" s="134"/>
      <c r="S365" s="134"/>
      <c r="T365" s="134"/>
      <c r="U365" s="134"/>
      <c r="V365" s="134"/>
      <c r="W365" s="134"/>
      <c r="X365" s="134"/>
      <c r="Y365" s="134"/>
      <c r="Z365" s="134"/>
      <c r="AA365" s="134"/>
      <c r="AB365" s="134"/>
      <c r="AC365" s="134"/>
      <c r="AD365" s="134"/>
      <c r="AE365" s="134"/>
      <c r="AF365" s="134"/>
      <c r="AG365" s="134"/>
      <c r="AH365" s="134"/>
    </row>
    <row r="366" spans="1:34" ht="14.5" thickBot="1">
      <c r="C366" s="135" t="s">
        <v>813</v>
      </c>
      <c r="D366" s="135" t="s">
        <v>813</v>
      </c>
      <c r="E366" s="136" t="s">
        <v>857</v>
      </c>
      <c r="F366" s="136" t="s">
        <v>857</v>
      </c>
      <c r="G366" s="134"/>
      <c r="H366" s="134"/>
      <c r="I366" s="134"/>
      <c r="J366" s="134"/>
      <c r="K366" s="134"/>
      <c r="L366" s="134"/>
      <c r="M366" s="134"/>
      <c r="N366" s="134"/>
      <c r="O366" s="134"/>
      <c r="P366" s="134"/>
      <c r="Q366" s="134"/>
      <c r="R366" s="134"/>
      <c r="S366" s="134"/>
      <c r="T366" s="134"/>
      <c r="U366" s="134"/>
      <c r="V366" s="134"/>
      <c r="W366" s="134"/>
      <c r="X366" s="134"/>
      <c r="Y366" s="134"/>
      <c r="Z366" s="134"/>
      <c r="AA366" s="134"/>
      <c r="AB366" s="134"/>
      <c r="AC366" s="134"/>
      <c r="AD366" s="134"/>
      <c r="AE366" s="134"/>
      <c r="AF366" s="134"/>
      <c r="AG366" s="134"/>
      <c r="AH366" s="134"/>
    </row>
    <row r="367" spans="1:34" ht="14.5" thickBot="1">
      <c r="C367" s="137" t="s">
        <v>858</v>
      </c>
      <c r="D367" s="138" t="s">
        <v>859</v>
      </c>
      <c r="E367" s="213" t="s">
        <v>858</v>
      </c>
      <c r="F367" s="138" t="s">
        <v>859</v>
      </c>
      <c r="G367" s="134"/>
      <c r="H367" s="134"/>
      <c r="I367" s="134"/>
      <c r="J367" s="134"/>
      <c r="K367" s="134"/>
      <c r="L367" s="134"/>
      <c r="M367" s="134"/>
      <c r="N367" s="134"/>
      <c r="O367" s="134"/>
      <c r="P367" s="134"/>
      <c r="Q367" s="134"/>
      <c r="R367" s="134"/>
      <c r="S367" s="134"/>
      <c r="T367" s="134"/>
      <c r="U367" s="134"/>
      <c r="V367" s="134"/>
      <c r="W367" s="134"/>
      <c r="X367" s="134"/>
      <c r="Y367" s="134"/>
      <c r="Z367" s="134"/>
      <c r="AA367" s="134"/>
      <c r="AB367" s="134"/>
      <c r="AC367" s="134"/>
      <c r="AD367" s="134"/>
      <c r="AE367" s="134"/>
      <c r="AF367" s="134"/>
      <c r="AG367" s="134"/>
      <c r="AH367" s="134"/>
    </row>
    <row r="368" spans="1:34" ht="14.5" thickBot="1">
      <c r="A368" s="139" t="s">
        <v>860</v>
      </c>
      <c r="B368" s="140" t="s">
        <v>861</v>
      </c>
      <c r="C368" s="206" t="s">
        <v>862</v>
      </c>
      <c r="D368" s="207" t="s">
        <v>863</v>
      </c>
      <c r="E368" s="232" t="s">
        <v>862</v>
      </c>
      <c r="F368" s="233" t="s">
        <v>863</v>
      </c>
      <c r="G368" s="134"/>
      <c r="H368" s="134"/>
      <c r="I368" s="134"/>
      <c r="J368" s="134"/>
      <c r="K368" s="134"/>
      <c r="L368" s="134"/>
      <c r="M368" s="134"/>
      <c r="N368" s="134"/>
      <c r="O368" s="134"/>
      <c r="P368" s="134"/>
      <c r="Q368" s="134"/>
      <c r="R368" s="134"/>
      <c r="S368" s="134"/>
      <c r="T368" s="134"/>
      <c r="U368" s="134"/>
      <c r="V368" s="134"/>
      <c r="W368" s="134"/>
      <c r="X368" s="134"/>
      <c r="Y368" s="134"/>
      <c r="Z368" s="134"/>
      <c r="AA368" s="134"/>
      <c r="AB368" s="134"/>
      <c r="AC368" s="134"/>
      <c r="AD368" s="134"/>
      <c r="AE368" s="134"/>
      <c r="AF368" s="134"/>
      <c r="AG368" s="134"/>
      <c r="AH368" s="134"/>
    </row>
    <row r="369" spans="1:34">
      <c r="A369" s="145">
        <v>28</v>
      </c>
      <c r="B369" s="146" t="s">
        <v>907</v>
      </c>
      <c r="C369" s="188">
        <v>0.54587155963302703</v>
      </c>
      <c r="D369" s="189">
        <v>2.0124804992199601</v>
      </c>
      <c r="E369" s="188">
        <v>2.1284403669724701</v>
      </c>
      <c r="F369" s="189">
        <v>29.719188767550701</v>
      </c>
      <c r="G369" s="134"/>
      <c r="H369" s="134"/>
      <c r="I369" s="134"/>
      <c r="J369" s="134"/>
      <c r="K369" s="134"/>
      <c r="L369" s="134"/>
      <c r="M369" s="134"/>
      <c r="N369" s="134"/>
      <c r="O369" s="134"/>
      <c r="P369" s="134"/>
      <c r="Q369" s="134"/>
      <c r="R369" s="134"/>
      <c r="S369" s="134"/>
      <c r="T369" s="134"/>
      <c r="U369" s="134"/>
      <c r="V369" s="134"/>
      <c r="W369" s="134"/>
      <c r="X369" s="134"/>
      <c r="Y369" s="134"/>
      <c r="Z369" s="134"/>
      <c r="AA369" s="134"/>
      <c r="AB369" s="134"/>
      <c r="AC369" s="134"/>
      <c r="AD369" s="134"/>
      <c r="AE369" s="134"/>
      <c r="AF369" s="134"/>
      <c r="AG369" s="134"/>
      <c r="AH369" s="134"/>
    </row>
    <row r="370" spans="1:34">
      <c r="A370" s="151"/>
      <c r="B370" s="152"/>
      <c r="C370" s="188">
        <v>1.08</v>
      </c>
      <c r="D370" s="189">
        <v>7.95</v>
      </c>
      <c r="E370" s="188">
        <v>2.6467889908256801</v>
      </c>
      <c r="F370" s="189">
        <v>15.7254290171606</v>
      </c>
      <c r="G370" s="134"/>
      <c r="H370" s="134"/>
      <c r="I370" s="134"/>
      <c r="J370" s="134"/>
      <c r="K370" s="134"/>
      <c r="L370" s="134"/>
      <c r="M370" s="134"/>
      <c r="N370" s="134"/>
      <c r="O370" s="134"/>
      <c r="P370" s="134"/>
      <c r="Q370" s="134"/>
      <c r="R370" s="134"/>
      <c r="S370" s="134"/>
      <c r="T370" s="134"/>
      <c r="U370" s="134"/>
      <c r="V370" s="134"/>
      <c r="W370" s="134"/>
      <c r="X370" s="134"/>
      <c r="Y370" s="134"/>
      <c r="Z370" s="134"/>
      <c r="AA370" s="134"/>
      <c r="AB370" s="134"/>
      <c r="AC370" s="134"/>
      <c r="AD370" s="134"/>
      <c r="AE370" s="134"/>
      <c r="AF370" s="134"/>
      <c r="AG370" s="134"/>
      <c r="AH370" s="134"/>
    </row>
    <row r="371" spans="1:34">
      <c r="A371" s="151"/>
      <c r="B371" s="152"/>
      <c r="C371" s="188">
        <v>1.6055045871559599</v>
      </c>
      <c r="D371" s="189">
        <v>13.806552262090401</v>
      </c>
      <c r="E371" s="188">
        <v>3.1697247706421998</v>
      </c>
      <c r="F371" s="189">
        <v>9.7815912636505402</v>
      </c>
      <c r="G371" s="134"/>
      <c r="H371" s="134"/>
      <c r="I371" s="134"/>
      <c r="J371" s="134"/>
      <c r="K371" s="134"/>
      <c r="L371" s="134"/>
      <c r="M371" s="134"/>
      <c r="N371" s="134"/>
      <c r="O371" s="134"/>
      <c r="P371" s="134"/>
      <c r="Q371" s="134"/>
      <c r="R371" s="134"/>
      <c r="S371" s="134"/>
      <c r="T371" s="134"/>
      <c r="U371" s="134"/>
      <c r="V371" s="134"/>
      <c r="W371" s="134"/>
      <c r="X371" s="134"/>
      <c r="Y371" s="134"/>
      <c r="Z371" s="134"/>
      <c r="AA371" s="134"/>
      <c r="AB371" s="134"/>
      <c r="AC371" s="134"/>
      <c r="AD371" s="134"/>
      <c r="AE371" s="134"/>
      <c r="AF371" s="134"/>
      <c r="AG371" s="134"/>
      <c r="AH371" s="134"/>
    </row>
    <row r="372" spans="1:34">
      <c r="A372" s="151"/>
      <c r="B372" s="152"/>
      <c r="C372" s="188">
        <v>2.1330275229357798</v>
      </c>
      <c r="D372" s="189">
        <v>27.659906396255799</v>
      </c>
      <c r="E372" s="188">
        <v>3.6972477064220102</v>
      </c>
      <c r="F372" s="189">
        <v>6.0374414976599002</v>
      </c>
      <c r="G372" s="134"/>
      <c r="H372" s="134"/>
      <c r="I372" s="134"/>
      <c r="J372" s="134"/>
      <c r="K372" s="134"/>
      <c r="L372" s="134"/>
      <c r="M372" s="134"/>
      <c r="N372" s="134"/>
      <c r="O372" s="134"/>
      <c r="P372" s="134"/>
      <c r="Q372" s="134"/>
      <c r="R372" s="134"/>
      <c r="S372" s="134"/>
      <c r="T372" s="134"/>
      <c r="U372" s="134"/>
      <c r="V372" s="134"/>
      <c r="W372" s="134"/>
      <c r="X372" s="134"/>
      <c r="Y372" s="134"/>
      <c r="Z372" s="134"/>
      <c r="AA372" s="134"/>
      <c r="AB372" s="134"/>
      <c r="AC372" s="134"/>
      <c r="AD372" s="134"/>
      <c r="AE372" s="134"/>
      <c r="AF372" s="134"/>
      <c r="AG372" s="134"/>
      <c r="AH372" s="134"/>
    </row>
    <row r="373" spans="1:34">
      <c r="A373" s="151"/>
      <c r="B373" s="152"/>
      <c r="C373" s="211"/>
      <c r="D373" s="212"/>
      <c r="E373" s="188">
        <v>4.1972477064220097</v>
      </c>
      <c r="F373" s="189">
        <v>5.8970358814352499</v>
      </c>
      <c r="G373" s="134"/>
      <c r="H373" s="134"/>
      <c r="I373" s="134"/>
      <c r="J373" s="134"/>
      <c r="K373" s="134"/>
      <c r="L373" s="134"/>
      <c r="M373" s="134"/>
      <c r="N373" s="134"/>
      <c r="O373" s="134"/>
      <c r="P373" s="134"/>
      <c r="Q373" s="134"/>
      <c r="R373" s="134"/>
      <c r="S373" s="134"/>
      <c r="T373" s="134"/>
      <c r="U373" s="134"/>
      <c r="V373" s="134"/>
      <c r="W373" s="134"/>
      <c r="X373" s="134"/>
      <c r="Y373" s="134"/>
      <c r="Z373" s="134"/>
      <c r="AA373" s="134"/>
      <c r="AB373" s="134"/>
      <c r="AC373" s="134"/>
      <c r="AD373" s="134"/>
      <c r="AE373" s="134"/>
      <c r="AF373" s="134"/>
      <c r="AG373" s="134"/>
      <c r="AH373" s="134"/>
    </row>
    <row r="374" spans="1:34">
      <c r="A374" s="151"/>
      <c r="B374" s="152"/>
      <c r="C374" s="211"/>
      <c r="D374" s="212"/>
      <c r="E374" s="188">
        <v>4.7018348623853203</v>
      </c>
      <c r="F374" s="189">
        <v>2.1528861154446099</v>
      </c>
      <c r="G374" s="134"/>
      <c r="H374" s="134"/>
      <c r="I374" s="134"/>
      <c r="J374" s="134"/>
      <c r="K374" s="134"/>
      <c r="L374" s="134"/>
      <c r="M374" s="134"/>
      <c r="N374" s="134"/>
      <c r="O374" s="134"/>
      <c r="P374" s="134"/>
      <c r="Q374" s="134"/>
      <c r="R374" s="134"/>
      <c r="S374" s="134"/>
      <c r="T374" s="134"/>
      <c r="U374" s="134"/>
      <c r="V374" s="134"/>
      <c r="W374" s="134"/>
      <c r="X374" s="134"/>
      <c r="Y374" s="134"/>
      <c r="Z374" s="134"/>
      <c r="AA374" s="134"/>
      <c r="AB374" s="134"/>
      <c r="AC374" s="134"/>
      <c r="AD374" s="134"/>
      <c r="AE374" s="134"/>
      <c r="AF374" s="134"/>
      <c r="AG374" s="134"/>
      <c r="AH374" s="134"/>
    </row>
    <row r="375" spans="1:34">
      <c r="A375" s="151"/>
      <c r="B375" s="152"/>
      <c r="C375" s="211"/>
      <c r="D375" s="212"/>
      <c r="E375" s="188">
        <v>5.2064220183486203</v>
      </c>
      <c r="F375" s="189">
        <v>2.1060842433697302</v>
      </c>
      <c r="G375" s="134"/>
      <c r="H375" s="134"/>
      <c r="I375" s="134"/>
      <c r="J375" s="134"/>
      <c r="K375" s="134"/>
      <c r="L375" s="134"/>
      <c r="M375" s="134"/>
      <c r="N375" s="134"/>
      <c r="O375" s="134"/>
      <c r="P375" s="134"/>
      <c r="Q375" s="134"/>
      <c r="R375" s="134"/>
      <c r="S375" s="134"/>
      <c r="T375" s="134"/>
      <c r="U375" s="134"/>
      <c r="V375" s="134"/>
      <c r="W375" s="134"/>
      <c r="X375" s="134"/>
      <c r="Y375" s="134"/>
      <c r="Z375" s="134"/>
      <c r="AA375" s="134"/>
      <c r="AB375" s="134"/>
      <c r="AC375" s="134"/>
      <c r="AD375" s="134"/>
      <c r="AE375" s="134"/>
      <c r="AF375" s="134"/>
      <c r="AG375" s="134"/>
      <c r="AH375" s="134"/>
    </row>
    <row r="376" spans="1:34">
      <c r="A376" s="151"/>
      <c r="B376" s="152"/>
      <c r="C376" s="179"/>
      <c r="D376" s="180"/>
      <c r="E376" s="190"/>
      <c r="F376" s="191"/>
      <c r="G376" s="134"/>
      <c r="H376" s="134"/>
      <c r="I376" s="134"/>
      <c r="J376" s="134"/>
      <c r="K376" s="134"/>
      <c r="L376" s="134"/>
      <c r="M376" s="134"/>
      <c r="N376" s="134"/>
      <c r="O376" s="134"/>
      <c r="P376" s="134"/>
      <c r="Q376" s="134"/>
      <c r="R376" s="134"/>
      <c r="S376" s="134"/>
      <c r="T376" s="134"/>
      <c r="U376" s="134"/>
      <c r="V376" s="134"/>
      <c r="W376" s="134"/>
      <c r="X376" s="134"/>
      <c r="Y376" s="134"/>
      <c r="Z376" s="134"/>
      <c r="AA376" s="134"/>
      <c r="AB376" s="134"/>
      <c r="AC376" s="134"/>
      <c r="AD376" s="134"/>
      <c r="AE376" s="134"/>
      <c r="AF376" s="134"/>
      <c r="AG376" s="134"/>
      <c r="AH376" s="134"/>
    </row>
    <row r="377" spans="1:34">
      <c r="A377" s="151"/>
      <c r="B377" s="152"/>
      <c r="C377" s="179"/>
      <c r="D377" s="180"/>
      <c r="E377" s="216"/>
      <c r="F377" s="217"/>
      <c r="G377" s="134"/>
      <c r="H377" s="134"/>
      <c r="I377" s="134"/>
      <c r="J377" s="134"/>
      <c r="K377" s="134"/>
      <c r="L377" s="134"/>
      <c r="M377" s="134"/>
      <c r="N377" s="134"/>
      <c r="O377" s="134"/>
      <c r="P377" s="134"/>
      <c r="Q377" s="134"/>
      <c r="R377" s="134"/>
      <c r="S377" s="134"/>
      <c r="T377" s="134"/>
      <c r="U377" s="134"/>
      <c r="V377" s="134"/>
      <c r="W377" s="134"/>
      <c r="X377" s="134"/>
      <c r="Y377" s="134"/>
      <c r="Z377" s="134"/>
      <c r="AA377" s="134"/>
      <c r="AB377" s="134"/>
      <c r="AC377" s="134"/>
      <c r="AD377" s="134"/>
      <c r="AE377" s="134"/>
      <c r="AF377" s="134"/>
      <c r="AG377" s="134"/>
      <c r="AH377" s="134"/>
    </row>
    <row r="378" spans="1:34" ht="14.5" thickBot="1">
      <c r="A378" s="160"/>
      <c r="B378" s="161"/>
      <c r="C378" s="182"/>
      <c r="D378" s="183"/>
      <c r="E378" s="220"/>
      <c r="F378" s="221"/>
      <c r="G378" s="134"/>
      <c r="H378" s="134"/>
      <c r="I378" s="134"/>
      <c r="J378" s="134"/>
      <c r="K378" s="134"/>
      <c r="L378" s="134"/>
      <c r="M378" s="134"/>
      <c r="N378" s="134"/>
      <c r="O378" s="134"/>
      <c r="P378" s="134"/>
      <c r="Q378" s="134"/>
      <c r="R378" s="134"/>
      <c r="S378" s="134"/>
      <c r="T378" s="134"/>
      <c r="U378" s="134"/>
      <c r="V378" s="134"/>
      <c r="W378" s="134"/>
      <c r="X378" s="134"/>
      <c r="Y378" s="134"/>
      <c r="Z378" s="134"/>
      <c r="AA378" s="134"/>
      <c r="AB378" s="134"/>
      <c r="AC378" s="134"/>
      <c r="AD378" s="134"/>
      <c r="AE378" s="134"/>
      <c r="AF378" s="134"/>
      <c r="AG378" s="134"/>
      <c r="AH378" s="134"/>
    </row>
    <row r="379" spans="1:34">
      <c r="G379" s="134"/>
      <c r="H379" s="134"/>
      <c r="I379" s="134"/>
      <c r="J379" s="134"/>
      <c r="K379" s="134"/>
      <c r="L379" s="134"/>
      <c r="M379" s="134"/>
      <c r="N379" s="134"/>
      <c r="O379" s="134"/>
      <c r="P379" s="134"/>
      <c r="Q379" s="134"/>
      <c r="R379" s="134"/>
      <c r="S379" s="134"/>
      <c r="T379" s="134"/>
      <c r="U379" s="134"/>
      <c r="V379" s="134"/>
      <c r="W379" s="134"/>
      <c r="X379" s="134"/>
      <c r="Y379" s="134"/>
      <c r="Z379" s="134"/>
      <c r="AA379" s="134"/>
      <c r="AB379" s="134"/>
      <c r="AC379" s="134"/>
      <c r="AD379" s="134"/>
      <c r="AE379" s="134"/>
      <c r="AF379" s="134"/>
      <c r="AG379" s="134"/>
      <c r="AH379" s="134"/>
    </row>
    <row r="380" spans="1:34">
      <c r="G380" s="134"/>
      <c r="H380" s="134"/>
      <c r="I380" s="134"/>
      <c r="J380" s="134"/>
      <c r="K380" s="134"/>
      <c r="L380" s="134"/>
      <c r="M380" s="134"/>
      <c r="N380" s="134"/>
      <c r="O380" s="134"/>
      <c r="P380" s="134"/>
      <c r="Q380" s="134"/>
      <c r="R380" s="134"/>
      <c r="S380" s="134"/>
      <c r="T380" s="134"/>
      <c r="U380" s="134"/>
      <c r="V380" s="134"/>
      <c r="W380" s="134"/>
      <c r="X380" s="134"/>
      <c r="Y380" s="134"/>
      <c r="Z380" s="134"/>
      <c r="AA380" s="134"/>
      <c r="AB380" s="134"/>
      <c r="AC380" s="134"/>
      <c r="AD380" s="134"/>
      <c r="AE380" s="134"/>
      <c r="AF380" s="134"/>
      <c r="AG380" s="134"/>
      <c r="AH380" s="134"/>
    </row>
    <row r="381" spans="1:34">
      <c r="A381" s="131"/>
      <c r="B381" s="131"/>
      <c r="C381" s="132" t="s">
        <v>908</v>
      </c>
      <c r="D381" s="131"/>
      <c r="E381" s="131"/>
      <c r="F381" s="186" t="s">
        <v>870</v>
      </c>
      <c r="G381" s="134"/>
      <c r="H381" s="134"/>
      <c r="I381" s="134"/>
      <c r="J381" s="134"/>
      <c r="K381" s="134"/>
      <c r="L381" s="134"/>
      <c r="M381" s="134"/>
      <c r="N381" s="134"/>
      <c r="O381" s="134"/>
      <c r="P381" s="134"/>
      <c r="Q381" s="134"/>
      <c r="R381" s="134"/>
      <c r="S381" s="134"/>
      <c r="T381" s="134"/>
      <c r="U381" s="134"/>
      <c r="V381" s="134"/>
      <c r="W381" s="134"/>
      <c r="X381" s="134"/>
      <c r="Y381" s="134"/>
      <c r="Z381" s="134"/>
      <c r="AA381" s="134"/>
      <c r="AB381" s="134"/>
      <c r="AC381" s="134"/>
      <c r="AD381" s="134"/>
      <c r="AE381" s="134"/>
      <c r="AF381" s="134"/>
      <c r="AG381" s="134"/>
      <c r="AH381" s="134"/>
    </row>
    <row r="382" spans="1:34">
      <c r="C382" s="133" t="s">
        <v>856</v>
      </c>
      <c r="D382" s="133" t="s">
        <v>856</v>
      </c>
      <c r="G382" s="134"/>
      <c r="H382" s="134"/>
      <c r="I382" s="134"/>
      <c r="J382" s="134"/>
      <c r="K382" s="134"/>
      <c r="L382" s="134"/>
      <c r="M382" s="134"/>
      <c r="N382" s="134"/>
      <c r="O382" s="134"/>
      <c r="P382" s="134"/>
      <c r="Q382" s="134"/>
      <c r="R382" s="134"/>
      <c r="S382" s="134"/>
      <c r="T382" s="134"/>
      <c r="U382" s="134"/>
      <c r="V382" s="134"/>
      <c r="W382" s="134"/>
      <c r="X382" s="134"/>
      <c r="Y382" s="134"/>
      <c r="Z382" s="134"/>
      <c r="AA382" s="134"/>
      <c r="AB382" s="134"/>
      <c r="AC382" s="134"/>
      <c r="AD382" s="134"/>
      <c r="AE382" s="134"/>
      <c r="AF382" s="134"/>
      <c r="AG382" s="134"/>
      <c r="AH382" s="134"/>
    </row>
    <row r="383" spans="1:34" ht="14.5" thickBot="1">
      <c r="C383" s="135" t="s">
        <v>813</v>
      </c>
      <c r="D383" s="135" t="s">
        <v>813</v>
      </c>
      <c r="E383" s="136" t="s">
        <v>857</v>
      </c>
      <c r="F383" s="136" t="s">
        <v>857</v>
      </c>
      <c r="G383" s="134"/>
      <c r="H383" s="134"/>
      <c r="I383" s="134"/>
      <c r="J383" s="134"/>
      <c r="K383" s="134"/>
      <c r="L383" s="134"/>
      <c r="M383" s="134"/>
      <c r="N383" s="134"/>
      <c r="O383" s="134"/>
      <c r="P383" s="134"/>
      <c r="Q383" s="134"/>
      <c r="R383" s="134"/>
      <c r="S383" s="134"/>
      <c r="T383" s="134"/>
      <c r="U383" s="134"/>
      <c r="V383" s="134"/>
      <c r="W383" s="134"/>
      <c r="X383" s="134"/>
      <c r="Y383" s="134"/>
      <c r="Z383" s="134"/>
      <c r="AA383" s="134"/>
      <c r="AB383" s="134"/>
      <c r="AC383" s="134"/>
      <c r="AD383" s="134"/>
      <c r="AE383" s="134"/>
      <c r="AF383" s="134"/>
      <c r="AG383" s="134"/>
      <c r="AH383" s="134"/>
    </row>
    <row r="384" spans="1:34">
      <c r="C384" s="137" t="s">
        <v>858</v>
      </c>
      <c r="D384" s="138" t="s">
        <v>859</v>
      </c>
      <c r="E384" s="137" t="s">
        <v>858</v>
      </c>
      <c r="F384" s="138" t="s">
        <v>859</v>
      </c>
      <c r="G384" s="134"/>
      <c r="H384" s="134"/>
      <c r="I384" s="134"/>
      <c r="J384" s="134"/>
      <c r="K384" s="134"/>
      <c r="L384" s="134"/>
      <c r="M384" s="134"/>
      <c r="N384" s="134"/>
      <c r="O384" s="134"/>
      <c r="P384" s="134"/>
      <c r="Q384" s="134"/>
      <c r="R384" s="134"/>
      <c r="S384" s="134"/>
      <c r="T384" s="134"/>
      <c r="U384" s="134"/>
      <c r="V384" s="134"/>
      <c r="W384" s="134"/>
      <c r="X384" s="134"/>
      <c r="Y384" s="134"/>
      <c r="Z384" s="134"/>
      <c r="AA384" s="134"/>
      <c r="AB384" s="134"/>
      <c r="AC384" s="134"/>
      <c r="AD384" s="134"/>
      <c r="AE384" s="134"/>
      <c r="AF384" s="134"/>
      <c r="AG384" s="134"/>
      <c r="AH384" s="134"/>
    </row>
    <row r="385" spans="1:34" ht="14.5" thickBot="1">
      <c r="A385" s="139" t="s">
        <v>860</v>
      </c>
      <c r="B385" s="140" t="s">
        <v>861</v>
      </c>
      <c r="C385" s="206" t="s">
        <v>862</v>
      </c>
      <c r="D385" s="207" t="s">
        <v>863</v>
      </c>
      <c r="E385" s="206" t="s">
        <v>862</v>
      </c>
      <c r="F385" s="207" t="s">
        <v>863</v>
      </c>
      <c r="G385" s="134"/>
      <c r="H385" s="134"/>
      <c r="I385" s="134"/>
      <c r="J385" s="134"/>
      <c r="K385" s="134"/>
      <c r="L385" s="134"/>
      <c r="M385" s="134"/>
      <c r="N385" s="134"/>
      <c r="O385" s="134"/>
      <c r="P385" s="134"/>
      <c r="Q385" s="134"/>
      <c r="R385" s="134"/>
      <c r="S385" s="134"/>
      <c r="T385" s="134"/>
      <c r="U385" s="134"/>
      <c r="V385" s="134"/>
      <c r="W385" s="134"/>
      <c r="X385" s="134"/>
      <c r="Y385" s="134"/>
      <c r="Z385" s="134"/>
      <c r="AA385" s="134"/>
      <c r="AB385" s="134"/>
      <c r="AC385" s="134"/>
      <c r="AD385" s="134"/>
      <c r="AE385" s="134"/>
      <c r="AF385" s="134"/>
      <c r="AG385" s="134"/>
      <c r="AH385" s="134"/>
    </row>
    <row r="386" spans="1:34">
      <c r="A386" s="145">
        <v>28</v>
      </c>
      <c r="B386" s="146" t="s">
        <v>909</v>
      </c>
      <c r="C386" s="188">
        <v>0.53558718861209897</v>
      </c>
      <c r="D386" s="189">
        <v>0.88145896656534894</v>
      </c>
      <c r="E386" s="188">
        <v>4.6814946619217004</v>
      </c>
      <c r="F386" s="189">
        <v>11.3981762917933</v>
      </c>
      <c r="G386" s="134"/>
      <c r="H386" s="134"/>
      <c r="I386" s="134"/>
      <c r="J386" s="134"/>
      <c r="K386" s="134"/>
      <c r="L386" s="134"/>
      <c r="M386" s="134"/>
      <c r="N386" s="134"/>
      <c r="O386" s="134"/>
      <c r="P386" s="134"/>
      <c r="Q386" s="134"/>
      <c r="R386" s="134"/>
      <c r="S386" s="134"/>
      <c r="T386" s="134"/>
      <c r="U386" s="134"/>
      <c r="V386" s="134"/>
      <c r="W386" s="134"/>
      <c r="X386" s="134"/>
      <c r="Y386" s="134"/>
      <c r="Z386" s="134"/>
      <c r="AA386" s="134"/>
      <c r="AB386" s="134"/>
      <c r="AC386" s="134"/>
      <c r="AD386" s="134"/>
      <c r="AE386" s="134"/>
      <c r="AF386" s="134"/>
      <c r="AG386" s="134"/>
      <c r="AH386" s="134"/>
    </row>
    <row r="387" spans="1:34">
      <c r="A387" s="151"/>
      <c r="B387" s="152"/>
      <c r="C387" s="188">
        <v>1.0738434163701001</v>
      </c>
      <c r="D387" s="189">
        <v>2.4620060790273501</v>
      </c>
      <c r="E387" s="188">
        <v>5.1975088967971503</v>
      </c>
      <c r="F387" s="189">
        <v>5.8662613981762899</v>
      </c>
      <c r="G387" s="134"/>
      <c r="H387" s="134"/>
      <c r="I387" s="134"/>
      <c r="J387" s="134"/>
      <c r="K387" s="134"/>
      <c r="L387" s="134"/>
      <c r="M387" s="134"/>
      <c r="N387" s="134"/>
      <c r="O387" s="134"/>
      <c r="P387" s="134"/>
      <c r="Q387" s="134"/>
      <c r="R387" s="134"/>
      <c r="S387" s="134"/>
      <c r="T387" s="134"/>
      <c r="U387" s="134"/>
      <c r="V387" s="134"/>
      <c r="W387" s="134"/>
      <c r="X387" s="134"/>
      <c r="Y387" s="134"/>
      <c r="Z387" s="134"/>
      <c r="AA387" s="134"/>
      <c r="AB387" s="134"/>
      <c r="AC387" s="134"/>
      <c r="AD387" s="134"/>
      <c r="AE387" s="134"/>
      <c r="AF387" s="134"/>
      <c r="AG387" s="134"/>
      <c r="AH387" s="134"/>
    </row>
    <row r="388" spans="1:34">
      <c r="A388" s="151"/>
      <c r="B388" s="152"/>
      <c r="C388" s="188">
        <v>1.6032028469750801</v>
      </c>
      <c r="D388" s="189">
        <v>2.88753799392097</v>
      </c>
      <c r="E388" s="190"/>
      <c r="F388" s="191"/>
      <c r="G388" s="134"/>
      <c r="H388" s="134"/>
      <c r="I388" s="134"/>
      <c r="J388" s="134"/>
      <c r="K388" s="134"/>
      <c r="L388" s="134"/>
      <c r="M388" s="134"/>
      <c r="N388" s="134"/>
      <c r="O388" s="134"/>
      <c r="P388" s="134"/>
      <c r="Q388" s="134"/>
      <c r="R388" s="134"/>
      <c r="S388" s="134"/>
      <c r="T388" s="134"/>
      <c r="U388" s="134"/>
      <c r="V388" s="134"/>
      <c r="W388" s="134"/>
      <c r="X388" s="134"/>
      <c r="Y388" s="134"/>
      <c r="Z388" s="134"/>
      <c r="AA388" s="134"/>
      <c r="AB388" s="134"/>
      <c r="AC388" s="134"/>
      <c r="AD388" s="134"/>
      <c r="AE388" s="134"/>
      <c r="AF388" s="134"/>
      <c r="AG388" s="134"/>
      <c r="AH388" s="134"/>
    </row>
    <row r="389" spans="1:34">
      <c r="A389" s="151"/>
      <c r="B389" s="152"/>
      <c r="C389" s="188">
        <v>2.1281138790035499</v>
      </c>
      <c r="D389" s="189">
        <v>4.3161094224924001</v>
      </c>
      <c r="E389" s="190"/>
      <c r="F389" s="191"/>
      <c r="G389" s="134"/>
      <c r="H389" s="134"/>
      <c r="I389" s="134"/>
      <c r="J389" s="134"/>
      <c r="K389" s="134"/>
      <c r="L389" s="134"/>
      <c r="M389" s="134"/>
      <c r="N389" s="134"/>
      <c r="O389" s="134"/>
      <c r="P389" s="134"/>
      <c r="Q389" s="134"/>
      <c r="R389" s="134"/>
      <c r="S389" s="134"/>
      <c r="T389" s="134"/>
      <c r="U389" s="134"/>
      <c r="V389" s="134"/>
      <c r="W389" s="134"/>
      <c r="X389" s="134"/>
      <c r="Y389" s="134"/>
      <c r="Z389" s="134"/>
      <c r="AA389" s="134"/>
      <c r="AB389" s="134"/>
      <c r="AC389" s="134"/>
      <c r="AD389" s="134"/>
      <c r="AE389" s="134"/>
      <c r="AF389" s="134"/>
      <c r="AG389" s="134"/>
      <c r="AH389" s="134"/>
    </row>
    <row r="390" spans="1:34">
      <c r="A390" s="151"/>
      <c r="B390" s="152"/>
      <c r="C390" s="188">
        <v>2.6530249110320199</v>
      </c>
      <c r="D390" s="189">
        <v>5.18</v>
      </c>
      <c r="E390" s="190"/>
      <c r="F390" s="191"/>
      <c r="G390" s="134"/>
      <c r="H390" s="134"/>
      <c r="I390" s="134"/>
      <c r="J390" s="134"/>
      <c r="K390" s="134"/>
      <c r="L390" s="134"/>
      <c r="M390" s="134"/>
      <c r="N390" s="134"/>
      <c r="O390" s="134"/>
      <c r="P390" s="134"/>
      <c r="Q390" s="134"/>
      <c r="R390" s="134"/>
      <c r="S390" s="134"/>
      <c r="T390" s="134"/>
      <c r="U390" s="134"/>
      <c r="V390" s="134"/>
      <c r="W390" s="134"/>
      <c r="X390" s="134"/>
      <c r="Y390" s="134"/>
      <c r="Z390" s="134"/>
      <c r="AA390" s="134"/>
      <c r="AB390" s="134"/>
      <c r="AC390" s="134"/>
      <c r="AD390" s="134"/>
      <c r="AE390" s="134"/>
      <c r="AF390" s="134"/>
      <c r="AG390" s="134"/>
      <c r="AH390" s="134"/>
    </row>
    <row r="391" spans="1:34">
      <c r="A391" s="151"/>
      <c r="B391" s="152"/>
      <c r="C391" s="188">
        <v>3.1645907473309598</v>
      </c>
      <c r="D391" s="189">
        <v>6.2917933130699</v>
      </c>
      <c r="E391" s="190"/>
      <c r="F391" s="191"/>
      <c r="G391" s="134"/>
      <c r="H391" s="134"/>
      <c r="I391" s="134"/>
      <c r="J391" s="134"/>
      <c r="K391" s="134"/>
      <c r="L391" s="134"/>
      <c r="M391" s="134"/>
      <c r="N391" s="134"/>
      <c r="O391" s="134"/>
      <c r="P391" s="134"/>
      <c r="Q391" s="134"/>
      <c r="R391" s="134"/>
      <c r="S391" s="134"/>
      <c r="T391" s="134"/>
      <c r="U391" s="134"/>
      <c r="V391" s="134"/>
      <c r="W391" s="134"/>
      <c r="X391" s="134"/>
      <c r="Y391" s="134"/>
      <c r="Z391" s="134"/>
      <c r="AA391" s="134"/>
      <c r="AB391" s="134"/>
      <c r="AC391" s="134"/>
      <c r="AD391" s="134"/>
      <c r="AE391" s="134"/>
      <c r="AF391" s="134"/>
      <c r="AG391" s="134"/>
      <c r="AH391" s="134"/>
    </row>
    <row r="392" spans="1:34">
      <c r="A392" s="151"/>
      <c r="B392" s="152"/>
      <c r="C392" s="188">
        <v>3.6895017793594298</v>
      </c>
      <c r="D392" s="189">
        <v>7.9939209726443696</v>
      </c>
      <c r="E392" s="190"/>
      <c r="F392" s="191"/>
      <c r="G392" s="134"/>
      <c r="H392" s="134"/>
      <c r="I392" s="134"/>
      <c r="J392" s="134"/>
      <c r="K392" s="134"/>
      <c r="L392" s="134"/>
      <c r="M392" s="134"/>
      <c r="N392" s="134"/>
      <c r="O392" s="134"/>
      <c r="P392" s="134"/>
      <c r="Q392" s="134"/>
      <c r="R392" s="134"/>
      <c r="S392" s="134"/>
      <c r="T392" s="134"/>
      <c r="U392" s="134"/>
      <c r="V392" s="134"/>
      <c r="W392" s="134"/>
      <c r="X392" s="134"/>
      <c r="Y392" s="134"/>
      <c r="Z392" s="134"/>
      <c r="AA392" s="134"/>
      <c r="AB392" s="134"/>
      <c r="AC392" s="134"/>
      <c r="AD392" s="134"/>
      <c r="AE392" s="134"/>
      <c r="AF392" s="134"/>
      <c r="AG392" s="134"/>
      <c r="AH392" s="134"/>
    </row>
    <row r="393" spans="1:34">
      <c r="A393" s="151"/>
      <c r="B393" s="152"/>
      <c r="C393" s="188">
        <v>4.1877224199288197</v>
      </c>
      <c r="D393" s="189">
        <v>9.3920972644376892</v>
      </c>
      <c r="E393" s="190"/>
      <c r="F393" s="191"/>
      <c r="G393" s="134"/>
      <c r="H393" s="134"/>
      <c r="I393" s="134"/>
      <c r="J393" s="134"/>
      <c r="K393" s="134"/>
      <c r="L393" s="134"/>
      <c r="M393" s="134"/>
      <c r="N393" s="134"/>
      <c r="O393" s="134"/>
      <c r="P393" s="134"/>
      <c r="Q393" s="134"/>
      <c r="R393" s="134"/>
      <c r="S393" s="134"/>
      <c r="T393" s="134"/>
      <c r="U393" s="134"/>
      <c r="V393" s="134"/>
      <c r="W393" s="134"/>
      <c r="X393" s="134"/>
      <c r="Y393" s="134"/>
      <c r="Z393" s="134"/>
      <c r="AA393" s="134"/>
      <c r="AB393" s="134"/>
      <c r="AC393" s="134"/>
      <c r="AD393" s="134"/>
      <c r="AE393" s="134"/>
      <c r="AF393" s="134"/>
      <c r="AG393" s="134"/>
      <c r="AH393" s="134"/>
    </row>
    <row r="394" spans="1:34">
      <c r="A394" s="151"/>
      <c r="B394" s="152"/>
      <c r="C394" s="188">
        <v>4.6859430604982197</v>
      </c>
      <c r="D394" s="189">
        <v>14.285714285714199</v>
      </c>
      <c r="E394" s="190"/>
      <c r="F394" s="191"/>
      <c r="G394" s="134"/>
      <c r="H394" s="134"/>
      <c r="I394" s="134"/>
      <c r="J394" s="134"/>
      <c r="K394" s="134"/>
      <c r="L394" s="134"/>
      <c r="M394" s="134"/>
      <c r="N394" s="134"/>
      <c r="O394" s="134"/>
      <c r="P394" s="134"/>
      <c r="Q394" s="134"/>
      <c r="R394" s="134"/>
      <c r="S394" s="134"/>
      <c r="T394" s="134"/>
      <c r="U394" s="134"/>
      <c r="V394" s="134"/>
      <c r="W394" s="134"/>
      <c r="X394" s="134"/>
      <c r="Y394" s="134"/>
      <c r="Z394" s="134"/>
      <c r="AA394" s="134"/>
      <c r="AB394" s="134"/>
      <c r="AC394" s="134"/>
      <c r="AD394" s="134"/>
      <c r="AE394" s="134"/>
      <c r="AF394" s="134"/>
      <c r="AG394" s="134"/>
      <c r="AH394" s="134"/>
    </row>
    <row r="395" spans="1:34" ht="14.5" thickBot="1">
      <c r="A395" s="160"/>
      <c r="B395" s="161"/>
      <c r="C395" s="182"/>
      <c r="D395" s="183"/>
      <c r="E395" s="184"/>
      <c r="F395" s="183"/>
      <c r="G395" s="134"/>
      <c r="H395" s="134"/>
      <c r="I395" s="134"/>
      <c r="J395" s="134"/>
      <c r="K395" s="134"/>
      <c r="L395" s="134"/>
      <c r="M395" s="134"/>
      <c r="N395" s="134"/>
      <c r="O395" s="134"/>
      <c r="P395" s="134"/>
      <c r="Q395" s="134"/>
      <c r="R395" s="134"/>
      <c r="S395" s="134"/>
      <c r="T395" s="134"/>
      <c r="U395" s="134"/>
      <c r="V395" s="134"/>
      <c r="W395" s="134"/>
      <c r="X395" s="134"/>
      <c r="Y395" s="134"/>
      <c r="Z395" s="134"/>
      <c r="AA395" s="134"/>
      <c r="AB395" s="134"/>
      <c r="AC395" s="134"/>
      <c r="AD395" s="134"/>
      <c r="AE395" s="134"/>
      <c r="AF395" s="134"/>
      <c r="AG395" s="134"/>
      <c r="AH395" s="134"/>
    </row>
    <row r="396" spans="1:34">
      <c r="G396" s="134"/>
      <c r="H396" s="134"/>
      <c r="I396" s="134"/>
      <c r="J396" s="134"/>
      <c r="K396" s="134"/>
      <c r="L396" s="134"/>
      <c r="M396" s="134"/>
      <c r="N396" s="134"/>
      <c r="O396" s="134"/>
      <c r="P396" s="134"/>
      <c r="Q396" s="134"/>
      <c r="R396" s="134"/>
      <c r="S396" s="134"/>
      <c r="T396" s="134"/>
      <c r="U396" s="134"/>
      <c r="V396" s="134"/>
      <c r="W396" s="134"/>
      <c r="X396" s="134"/>
      <c r="Y396" s="134"/>
      <c r="Z396" s="134"/>
      <c r="AA396" s="134"/>
      <c r="AB396" s="134"/>
      <c r="AC396" s="134"/>
      <c r="AD396" s="134"/>
      <c r="AE396" s="134"/>
      <c r="AF396" s="134"/>
      <c r="AG396" s="134"/>
      <c r="AH396" s="134"/>
    </row>
    <row r="397" spans="1:34">
      <c r="G397" s="134"/>
      <c r="H397" s="134"/>
      <c r="I397" s="134"/>
      <c r="J397" s="134"/>
      <c r="K397" s="134"/>
      <c r="L397" s="134"/>
      <c r="M397" s="134"/>
      <c r="N397" s="134"/>
      <c r="O397" s="134"/>
      <c r="P397" s="134"/>
      <c r="Q397" s="134"/>
      <c r="R397" s="134"/>
      <c r="S397" s="134"/>
      <c r="T397" s="134"/>
      <c r="U397" s="134"/>
      <c r="V397" s="134"/>
      <c r="W397" s="134"/>
      <c r="X397" s="134"/>
      <c r="Y397" s="134"/>
      <c r="Z397" s="134"/>
      <c r="AA397" s="134"/>
      <c r="AB397" s="134"/>
      <c r="AC397" s="134"/>
      <c r="AD397" s="134"/>
      <c r="AE397" s="134"/>
      <c r="AF397" s="134"/>
      <c r="AG397" s="134"/>
      <c r="AH397" s="134"/>
    </row>
    <row r="398" spans="1:34">
      <c r="A398" s="131"/>
      <c r="B398" s="131"/>
      <c r="C398" s="132" t="s">
        <v>910</v>
      </c>
      <c r="D398" s="131"/>
      <c r="E398" s="131"/>
      <c r="F398" s="186" t="s">
        <v>870</v>
      </c>
      <c r="G398" s="134"/>
      <c r="H398" s="134"/>
      <c r="I398" s="134"/>
      <c r="J398" s="134"/>
      <c r="K398" s="134"/>
      <c r="L398" s="134"/>
      <c r="M398" s="134"/>
      <c r="N398" s="134"/>
      <c r="O398" s="134"/>
      <c r="P398" s="134"/>
      <c r="Q398" s="134"/>
      <c r="R398" s="134"/>
      <c r="S398" s="134"/>
      <c r="T398" s="134"/>
      <c r="U398" s="134"/>
      <c r="V398" s="134"/>
      <c r="W398" s="134"/>
      <c r="X398" s="134"/>
      <c r="Y398" s="134"/>
      <c r="Z398" s="134"/>
      <c r="AA398" s="134"/>
      <c r="AB398" s="134"/>
      <c r="AC398" s="134"/>
      <c r="AD398" s="134"/>
      <c r="AE398" s="134"/>
      <c r="AF398" s="134"/>
      <c r="AG398" s="134"/>
      <c r="AH398" s="134"/>
    </row>
    <row r="399" spans="1:34">
      <c r="C399" s="133" t="s">
        <v>856</v>
      </c>
      <c r="D399" s="133" t="s">
        <v>856</v>
      </c>
      <c r="G399" s="134"/>
      <c r="H399" s="134"/>
      <c r="I399" s="134"/>
      <c r="J399" s="134"/>
      <c r="K399" s="134"/>
      <c r="L399" s="134"/>
      <c r="M399" s="134"/>
      <c r="N399" s="134"/>
      <c r="O399" s="134"/>
      <c r="P399" s="134"/>
      <c r="Q399" s="134"/>
      <c r="R399" s="134"/>
      <c r="S399" s="134"/>
      <c r="T399" s="134"/>
      <c r="U399" s="134"/>
      <c r="V399" s="134"/>
      <c r="W399" s="134"/>
      <c r="X399" s="134"/>
      <c r="Y399" s="134"/>
      <c r="Z399" s="134"/>
      <c r="AA399" s="134"/>
      <c r="AB399" s="134"/>
      <c r="AC399" s="134"/>
      <c r="AD399" s="134"/>
      <c r="AE399" s="134"/>
      <c r="AF399" s="134"/>
      <c r="AG399" s="134"/>
      <c r="AH399" s="134"/>
    </row>
    <row r="400" spans="1:34" ht="14.5" thickBot="1">
      <c r="C400" s="135" t="s">
        <v>813</v>
      </c>
      <c r="D400" s="135" t="s">
        <v>813</v>
      </c>
      <c r="E400" s="136" t="s">
        <v>857</v>
      </c>
      <c r="F400" s="136" t="s">
        <v>857</v>
      </c>
      <c r="G400" s="134"/>
      <c r="H400" s="134"/>
      <c r="I400" s="134"/>
      <c r="J400" s="134"/>
      <c r="K400" s="134"/>
      <c r="L400" s="134"/>
      <c r="M400" s="134"/>
      <c r="N400" s="134"/>
      <c r="O400" s="134"/>
      <c r="P400" s="134"/>
      <c r="Q400" s="134"/>
      <c r="R400" s="134"/>
      <c r="S400" s="134"/>
      <c r="T400" s="134"/>
      <c r="U400" s="134"/>
      <c r="V400" s="134"/>
      <c r="W400" s="134"/>
      <c r="X400" s="134"/>
      <c r="Y400" s="134"/>
      <c r="Z400" s="134"/>
      <c r="AA400" s="134"/>
      <c r="AB400" s="134"/>
      <c r="AC400" s="134"/>
      <c r="AD400" s="134"/>
      <c r="AE400" s="134"/>
      <c r="AF400" s="134"/>
      <c r="AG400" s="134"/>
      <c r="AH400" s="134"/>
    </row>
    <row r="401" spans="1:34">
      <c r="C401" s="137" t="s">
        <v>858</v>
      </c>
      <c r="D401" s="138" t="s">
        <v>859</v>
      </c>
      <c r="E401" s="137" t="s">
        <v>858</v>
      </c>
      <c r="F401" s="138" t="s">
        <v>859</v>
      </c>
      <c r="G401" s="134"/>
      <c r="H401" s="134"/>
      <c r="I401" s="134"/>
      <c r="J401" s="134"/>
      <c r="K401" s="134"/>
      <c r="L401" s="134"/>
      <c r="M401" s="134"/>
      <c r="N401" s="134"/>
      <c r="O401" s="134"/>
      <c r="P401" s="134"/>
      <c r="Q401" s="134"/>
      <c r="R401" s="134"/>
      <c r="S401" s="134"/>
      <c r="T401" s="134"/>
      <c r="U401" s="134"/>
      <c r="V401" s="134"/>
      <c r="W401" s="134"/>
      <c r="X401" s="134"/>
      <c r="Y401" s="134"/>
      <c r="Z401" s="134"/>
      <c r="AA401" s="134"/>
      <c r="AB401" s="134"/>
      <c r="AC401" s="134"/>
      <c r="AD401" s="134"/>
      <c r="AE401" s="134"/>
      <c r="AF401" s="134"/>
      <c r="AG401" s="134"/>
      <c r="AH401" s="134"/>
    </row>
    <row r="402" spans="1:34" ht="14.5" thickBot="1">
      <c r="A402" s="139" t="s">
        <v>860</v>
      </c>
      <c r="B402" s="140" t="s">
        <v>861</v>
      </c>
      <c r="C402" s="206" t="s">
        <v>862</v>
      </c>
      <c r="D402" s="207" t="s">
        <v>863</v>
      </c>
      <c r="E402" s="206" t="s">
        <v>862</v>
      </c>
      <c r="F402" s="207" t="s">
        <v>863</v>
      </c>
      <c r="G402" s="134"/>
      <c r="H402" s="134"/>
      <c r="I402" s="134"/>
      <c r="J402" s="134"/>
      <c r="K402" s="134"/>
      <c r="L402" s="134"/>
      <c r="M402" s="134"/>
      <c r="N402" s="134"/>
      <c r="O402" s="134"/>
      <c r="P402" s="134"/>
      <c r="Q402" s="134"/>
      <c r="R402" s="134"/>
      <c r="S402" s="134"/>
      <c r="T402" s="134"/>
      <c r="U402" s="134"/>
      <c r="V402" s="134"/>
      <c r="W402" s="134"/>
      <c r="X402" s="134"/>
      <c r="Y402" s="134"/>
      <c r="Z402" s="134"/>
      <c r="AA402" s="134"/>
      <c r="AB402" s="134"/>
      <c r="AC402" s="134"/>
      <c r="AD402" s="134"/>
      <c r="AE402" s="134"/>
      <c r="AF402" s="134"/>
      <c r="AG402" s="134"/>
      <c r="AH402" s="134"/>
    </row>
    <row r="403" spans="1:34">
      <c r="A403" s="145">
        <v>29</v>
      </c>
      <c r="B403" s="146" t="s">
        <v>911</v>
      </c>
      <c r="C403" s="188">
        <v>0.54520795660036103</v>
      </c>
      <c r="D403" s="189">
        <v>2.37</v>
      </c>
      <c r="E403" s="188">
        <v>3.1749999999999998</v>
      </c>
      <c r="F403" s="189">
        <v>17.100000000000001</v>
      </c>
      <c r="G403" s="134"/>
      <c r="H403" s="134"/>
      <c r="I403" s="134"/>
      <c r="J403" s="134"/>
      <c r="K403" s="134"/>
      <c r="L403" s="134"/>
      <c r="M403" s="134"/>
      <c r="N403" s="134"/>
      <c r="O403" s="134"/>
      <c r="P403" s="134"/>
      <c r="Q403" s="134"/>
      <c r="R403" s="134"/>
      <c r="S403" s="134"/>
      <c r="T403" s="134"/>
      <c r="U403" s="134"/>
      <c r="V403" s="134"/>
      <c r="W403" s="134"/>
      <c r="X403" s="134"/>
      <c r="Y403" s="134"/>
      <c r="Z403" s="134"/>
      <c r="AA403" s="134"/>
      <c r="AB403" s="134"/>
      <c r="AC403" s="134"/>
      <c r="AD403" s="134"/>
      <c r="AE403" s="134"/>
      <c r="AF403" s="134"/>
      <c r="AG403" s="134"/>
      <c r="AH403" s="134"/>
    </row>
    <row r="404" spans="1:34">
      <c r="A404" s="151"/>
      <c r="B404" s="152"/>
      <c r="C404" s="188">
        <v>1.08318264014466</v>
      </c>
      <c r="D404" s="189">
        <v>3.9</v>
      </c>
      <c r="E404" s="188">
        <v>3.6909999999999998</v>
      </c>
      <c r="F404" s="189">
        <v>9.6199999999999992</v>
      </c>
      <c r="G404" s="134"/>
      <c r="H404" s="134"/>
      <c r="I404" s="134"/>
      <c r="J404" s="134"/>
      <c r="K404" s="134"/>
      <c r="L404" s="134"/>
      <c r="M404" s="134"/>
      <c r="N404" s="134"/>
      <c r="O404" s="134"/>
      <c r="P404" s="134"/>
      <c r="Q404" s="134"/>
      <c r="R404" s="134"/>
      <c r="S404" s="134"/>
      <c r="T404" s="134"/>
      <c r="U404" s="134"/>
      <c r="V404" s="134"/>
      <c r="W404" s="134"/>
      <c r="X404" s="134"/>
      <c r="Y404" s="134"/>
      <c r="Z404" s="134"/>
      <c r="AA404" s="134"/>
      <c r="AB404" s="134"/>
      <c r="AC404" s="134"/>
      <c r="AD404" s="134"/>
      <c r="AE404" s="134"/>
      <c r="AF404" s="134"/>
      <c r="AG404" s="134"/>
      <c r="AH404" s="134"/>
    </row>
    <row r="405" spans="1:34">
      <c r="A405" s="151"/>
      <c r="B405" s="152"/>
      <c r="C405" s="188">
        <v>1.62</v>
      </c>
      <c r="D405" s="189">
        <v>5.31</v>
      </c>
      <c r="E405" s="188">
        <v>4.2</v>
      </c>
      <c r="F405" s="189">
        <v>4.8499999999999996</v>
      </c>
      <c r="G405" s="134"/>
      <c r="H405" s="134"/>
      <c r="I405" s="134"/>
      <c r="J405" s="134"/>
      <c r="K405" s="134"/>
      <c r="L405" s="134"/>
      <c r="M405" s="134"/>
      <c r="N405" s="134"/>
      <c r="O405" s="134"/>
      <c r="P405" s="134"/>
      <c r="Q405" s="134"/>
      <c r="R405" s="134"/>
      <c r="S405" s="134"/>
      <c r="T405" s="134"/>
      <c r="U405" s="134"/>
      <c r="V405" s="134"/>
      <c r="W405" s="134"/>
      <c r="X405" s="134"/>
      <c r="Y405" s="134"/>
      <c r="Z405" s="134"/>
      <c r="AA405" s="134"/>
      <c r="AB405" s="134"/>
      <c r="AC405" s="134"/>
      <c r="AD405" s="134"/>
      <c r="AE405" s="134"/>
      <c r="AF405" s="134"/>
      <c r="AG405" s="134"/>
      <c r="AH405" s="134"/>
    </row>
    <row r="406" spans="1:34">
      <c r="A406" s="151"/>
      <c r="B406" s="152"/>
      <c r="C406" s="188">
        <v>2.14</v>
      </c>
      <c r="D406" s="189">
        <v>7.15</v>
      </c>
      <c r="E406" s="188">
        <v>4.7</v>
      </c>
      <c r="F406" s="189">
        <v>3.9</v>
      </c>
      <c r="G406" s="134"/>
      <c r="H406" s="134"/>
      <c r="I406" s="134"/>
      <c r="J406" s="134"/>
      <c r="K406" s="134"/>
      <c r="L406" s="134"/>
      <c r="M406" s="134"/>
      <c r="N406" s="134"/>
      <c r="O406" s="134"/>
      <c r="P406" s="134"/>
      <c r="Q406" s="134"/>
      <c r="R406" s="134"/>
      <c r="S406" s="134"/>
      <c r="T406" s="134"/>
      <c r="U406" s="134"/>
      <c r="V406" s="134"/>
      <c r="W406" s="134"/>
      <c r="X406" s="134"/>
      <c r="Y406" s="134"/>
      <c r="Z406" s="134"/>
      <c r="AA406" s="134"/>
      <c r="AB406" s="134"/>
      <c r="AC406" s="134"/>
      <c r="AD406" s="134"/>
      <c r="AE406" s="134"/>
      <c r="AF406" s="134"/>
      <c r="AG406" s="134"/>
      <c r="AH406" s="134"/>
    </row>
    <row r="407" spans="1:34">
      <c r="A407" s="151"/>
      <c r="B407" s="152"/>
      <c r="C407" s="188">
        <v>2.66</v>
      </c>
      <c r="D407" s="189">
        <v>10.4923076923076</v>
      </c>
      <c r="E407" s="188">
        <v>5.2050000000000001</v>
      </c>
      <c r="F407" s="189">
        <v>2.4</v>
      </c>
      <c r="G407" s="134"/>
      <c r="H407" s="134"/>
      <c r="I407" s="134"/>
      <c r="J407" s="134"/>
      <c r="K407" s="134"/>
      <c r="L407" s="134"/>
      <c r="M407" s="134"/>
      <c r="N407" s="134"/>
      <c r="O407" s="134"/>
      <c r="P407" s="134"/>
      <c r="Q407" s="134"/>
      <c r="R407" s="134"/>
      <c r="S407" s="134"/>
      <c r="T407" s="134"/>
      <c r="U407" s="134"/>
      <c r="V407" s="134"/>
      <c r="W407" s="134"/>
      <c r="X407" s="134"/>
      <c r="Y407" s="134"/>
      <c r="Z407" s="134"/>
      <c r="AA407" s="134"/>
      <c r="AB407" s="134"/>
      <c r="AC407" s="134"/>
      <c r="AD407" s="134"/>
      <c r="AE407" s="134"/>
      <c r="AF407" s="134"/>
      <c r="AG407" s="134"/>
      <c r="AH407" s="134"/>
    </row>
    <row r="408" spans="1:34">
      <c r="A408" s="151"/>
      <c r="B408" s="152"/>
      <c r="C408" s="188">
        <v>3.18</v>
      </c>
      <c r="D408" s="189">
        <v>13.7846153846153</v>
      </c>
      <c r="E408" s="190"/>
      <c r="F408" s="191"/>
      <c r="G408" s="134"/>
      <c r="H408" s="134"/>
      <c r="I408" s="134"/>
      <c r="J408" s="134"/>
      <c r="K408" s="134"/>
      <c r="L408" s="134"/>
      <c r="M408" s="134"/>
      <c r="N408" s="134"/>
      <c r="O408" s="134"/>
      <c r="P408" s="134"/>
      <c r="Q408" s="134"/>
      <c r="R408" s="134"/>
      <c r="S408" s="134"/>
      <c r="T408" s="134"/>
      <c r="U408" s="134"/>
      <c r="V408" s="134"/>
      <c r="W408" s="134"/>
      <c r="X408" s="134"/>
      <c r="Y408" s="134"/>
      <c r="Z408" s="134"/>
      <c r="AA408" s="134"/>
      <c r="AB408" s="134"/>
      <c r="AC408" s="134"/>
      <c r="AD408" s="134"/>
      <c r="AE408" s="134"/>
      <c r="AF408" s="134"/>
      <c r="AG408" s="134"/>
      <c r="AH408" s="134"/>
    </row>
    <row r="409" spans="1:34">
      <c r="A409" s="151"/>
      <c r="B409" s="152"/>
      <c r="C409" s="188">
        <v>3.6949999999999998</v>
      </c>
      <c r="D409" s="189">
        <v>18.315000000000001</v>
      </c>
      <c r="E409" s="190"/>
      <c r="F409" s="191"/>
      <c r="G409" s="134"/>
      <c r="H409" s="134"/>
      <c r="I409" s="134"/>
      <c r="J409" s="134"/>
      <c r="K409" s="134"/>
      <c r="L409" s="134"/>
      <c r="M409" s="134"/>
      <c r="N409" s="134"/>
      <c r="O409" s="134"/>
      <c r="P409" s="134"/>
      <c r="Q409" s="134"/>
      <c r="R409" s="134"/>
      <c r="S409" s="134"/>
      <c r="T409" s="134"/>
      <c r="U409" s="134"/>
      <c r="V409" s="134"/>
      <c r="W409" s="134"/>
      <c r="X409" s="134"/>
      <c r="Y409" s="134"/>
      <c r="Z409" s="134"/>
      <c r="AA409" s="134"/>
      <c r="AB409" s="134"/>
      <c r="AC409" s="134"/>
      <c r="AD409" s="134"/>
      <c r="AE409" s="134"/>
      <c r="AF409" s="134"/>
      <c r="AG409" s="134"/>
      <c r="AH409" s="134"/>
    </row>
    <row r="410" spans="1:34">
      <c r="A410" s="151"/>
      <c r="B410" s="152"/>
      <c r="C410" s="179"/>
      <c r="D410" s="180"/>
      <c r="E410" s="190"/>
      <c r="F410" s="191"/>
      <c r="G410" s="134"/>
      <c r="H410" s="134"/>
      <c r="I410" s="134"/>
      <c r="J410" s="134"/>
      <c r="K410" s="134"/>
      <c r="L410" s="134"/>
      <c r="M410" s="134"/>
      <c r="N410" s="134"/>
      <c r="O410" s="134"/>
      <c r="P410" s="134"/>
      <c r="Q410" s="134"/>
      <c r="R410" s="134"/>
      <c r="S410" s="134"/>
      <c r="T410" s="134"/>
      <c r="U410" s="134"/>
      <c r="V410" s="134"/>
      <c r="W410" s="134"/>
      <c r="X410" s="134"/>
      <c r="Y410" s="134"/>
      <c r="Z410" s="134"/>
      <c r="AA410" s="134"/>
      <c r="AB410" s="134"/>
      <c r="AC410" s="134"/>
      <c r="AD410" s="134"/>
      <c r="AE410" s="134"/>
      <c r="AF410" s="134"/>
      <c r="AG410" s="134"/>
      <c r="AH410" s="134"/>
    </row>
    <row r="411" spans="1:34">
      <c r="A411" s="151"/>
      <c r="B411" s="152"/>
      <c r="C411" s="179"/>
      <c r="D411" s="180"/>
      <c r="E411" s="190"/>
      <c r="F411" s="191"/>
      <c r="G411" s="134"/>
      <c r="H411" s="134"/>
      <c r="I411" s="134"/>
      <c r="J411" s="134"/>
      <c r="K411" s="134"/>
      <c r="L411" s="134"/>
      <c r="M411" s="134"/>
      <c r="N411" s="134"/>
      <c r="O411" s="134"/>
      <c r="P411" s="134"/>
      <c r="Q411" s="134"/>
      <c r="R411" s="134"/>
      <c r="S411" s="134"/>
      <c r="T411" s="134"/>
      <c r="U411" s="134"/>
      <c r="V411" s="134"/>
      <c r="W411" s="134"/>
      <c r="X411" s="134"/>
      <c r="Y411" s="134"/>
      <c r="Z411" s="134"/>
      <c r="AA411" s="134"/>
      <c r="AB411" s="134"/>
      <c r="AC411" s="134"/>
      <c r="AD411" s="134"/>
      <c r="AE411" s="134"/>
      <c r="AF411" s="134"/>
      <c r="AG411" s="134"/>
      <c r="AH411" s="134"/>
    </row>
    <row r="412" spans="1:34" ht="14.5" thickBot="1">
      <c r="A412" s="160"/>
      <c r="B412" s="161"/>
      <c r="C412" s="182"/>
      <c r="D412" s="183"/>
      <c r="E412" s="184"/>
      <c r="F412" s="183"/>
      <c r="G412" s="134"/>
      <c r="H412" s="134"/>
      <c r="I412" s="134"/>
      <c r="J412" s="134"/>
      <c r="K412" s="134"/>
      <c r="L412" s="134"/>
      <c r="M412" s="134"/>
      <c r="N412" s="134"/>
      <c r="O412" s="134"/>
      <c r="P412" s="134"/>
      <c r="Q412" s="134"/>
      <c r="R412" s="134"/>
      <c r="S412" s="134"/>
      <c r="T412" s="134"/>
      <c r="U412" s="134"/>
      <c r="V412" s="134"/>
      <c r="W412" s="134"/>
      <c r="X412" s="134"/>
      <c r="Y412" s="134"/>
      <c r="Z412" s="134"/>
      <c r="AA412" s="134"/>
      <c r="AB412" s="134"/>
      <c r="AC412" s="134"/>
      <c r="AD412" s="134"/>
      <c r="AE412" s="134"/>
      <c r="AF412" s="134"/>
      <c r="AG412" s="134"/>
      <c r="AH412" s="134"/>
    </row>
    <row r="413" spans="1:34">
      <c r="G413" s="134"/>
      <c r="H413" s="134"/>
      <c r="I413" s="134"/>
      <c r="J413" s="134"/>
      <c r="K413" s="134"/>
      <c r="L413" s="134"/>
      <c r="M413" s="134"/>
      <c r="N413" s="134"/>
      <c r="O413" s="134"/>
      <c r="P413" s="134"/>
      <c r="Q413" s="134"/>
      <c r="R413" s="134"/>
      <c r="S413" s="134"/>
      <c r="T413" s="134"/>
      <c r="U413" s="134"/>
      <c r="V413" s="134"/>
      <c r="W413" s="134"/>
      <c r="X413" s="134"/>
      <c r="Y413" s="134"/>
      <c r="Z413" s="134"/>
      <c r="AA413" s="134"/>
      <c r="AB413" s="134"/>
      <c r="AC413" s="134"/>
      <c r="AD413" s="134"/>
      <c r="AE413" s="134"/>
      <c r="AF413" s="134"/>
      <c r="AG413" s="134"/>
      <c r="AH413" s="134"/>
    </row>
    <row r="414" spans="1:34">
      <c r="G414" s="134"/>
      <c r="H414" s="134"/>
      <c r="I414" s="134"/>
      <c r="J414" s="134"/>
      <c r="K414" s="134"/>
      <c r="L414" s="134"/>
      <c r="M414" s="134"/>
      <c r="N414" s="134"/>
      <c r="O414" s="134"/>
      <c r="P414" s="134"/>
      <c r="Q414" s="134"/>
      <c r="R414" s="134"/>
      <c r="S414" s="134"/>
      <c r="T414" s="134"/>
      <c r="U414" s="134"/>
      <c r="V414" s="134"/>
      <c r="W414" s="134"/>
      <c r="X414" s="134"/>
      <c r="Y414" s="134"/>
      <c r="Z414" s="134"/>
      <c r="AA414" s="134"/>
      <c r="AB414" s="134"/>
      <c r="AC414" s="134"/>
      <c r="AD414" s="134"/>
      <c r="AE414" s="134"/>
      <c r="AF414" s="134"/>
      <c r="AG414" s="134"/>
      <c r="AH414" s="134"/>
    </row>
    <row r="415" spans="1:34">
      <c r="A415" s="131"/>
      <c r="B415" s="131"/>
      <c r="C415" s="132" t="s">
        <v>912</v>
      </c>
      <c r="D415" s="131"/>
      <c r="E415" s="131"/>
      <c r="F415" s="186" t="s">
        <v>870</v>
      </c>
      <c r="G415" s="134"/>
      <c r="H415" s="134"/>
      <c r="I415" s="134"/>
      <c r="J415" s="134"/>
      <c r="K415" s="134"/>
      <c r="L415" s="134"/>
      <c r="M415" s="134"/>
      <c r="N415" s="134"/>
      <c r="O415" s="134"/>
      <c r="P415" s="134"/>
      <c r="Q415" s="134"/>
      <c r="R415" s="134"/>
      <c r="S415" s="134"/>
      <c r="T415" s="134"/>
      <c r="U415" s="134"/>
      <c r="V415" s="134"/>
      <c r="W415" s="134"/>
      <c r="X415" s="134"/>
      <c r="Y415" s="134"/>
      <c r="Z415" s="134"/>
      <c r="AA415" s="134"/>
      <c r="AB415" s="134"/>
      <c r="AC415" s="134"/>
      <c r="AD415" s="134"/>
      <c r="AE415" s="134"/>
      <c r="AF415" s="134"/>
      <c r="AG415" s="134"/>
      <c r="AH415" s="134"/>
    </row>
    <row r="416" spans="1:34">
      <c r="C416" s="133" t="s">
        <v>856</v>
      </c>
      <c r="D416" s="133" t="s">
        <v>856</v>
      </c>
      <c r="G416" s="134"/>
      <c r="H416" s="134"/>
      <c r="I416" s="134"/>
      <c r="J416" s="134"/>
      <c r="K416" s="134"/>
      <c r="L416" s="134"/>
      <c r="M416" s="134"/>
      <c r="N416" s="134"/>
      <c r="O416" s="134"/>
      <c r="P416" s="134"/>
      <c r="Q416" s="134"/>
      <c r="R416" s="134"/>
      <c r="S416" s="134"/>
      <c r="T416" s="134"/>
      <c r="U416" s="134"/>
      <c r="V416" s="134"/>
      <c r="W416" s="134"/>
      <c r="X416" s="134"/>
      <c r="Y416" s="134"/>
      <c r="Z416" s="134"/>
      <c r="AA416" s="134"/>
      <c r="AB416" s="134"/>
      <c r="AC416" s="134"/>
      <c r="AD416" s="134"/>
      <c r="AE416" s="134"/>
      <c r="AF416" s="134"/>
      <c r="AG416" s="134"/>
      <c r="AH416" s="134"/>
    </row>
    <row r="417" spans="1:35" ht="14.5" thickBot="1">
      <c r="C417" s="135" t="s">
        <v>813</v>
      </c>
      <c r="D417" s="135" t="s">
        <v>813</v>
      </c>
      <c r="E417" s="136" t="s">
        <v>857</v>
      </c>
      <c r="F417" s="136" t="s">
        <v>857</v>
      </c>
      <c r="G417" s="134"/>
      <c r="H417" s="134"/>
      <c r="I417" s="134"/>
      <c r="J417" s="134"/>
      <c r="K417" s="134"/>
      <c r="L417" s="134"/>
      <c r="M417" s="134"/>
      <c r="N417" s="134"/>
      <c r="O417" s="134"/>
      <c r="P417" s="134"/>
      <c r="Q417" s="134"/>
      <c r="R417" s="134"/>
      <c r="S417" s="134"/>
      <c r="T417" s="134"/>
      <c r="U417" s="134"/>
      <c r="V417" s="134"/>
      <c r="W417" s="134"/>
      <c r="X417" s="134"/>
      <c r="Y417" s="134"/>
      <c r="Z417" s="134"/>
      <c r="AA417" s="134"/>
      <c r="AB417" s="134"/>
      <c r="AC417" s="134"/>
      <c r="AD417" s="134"/>
      <c r="AE417" s="134"/>
      <c r="AF417" s="134"/>
      <c r="AG417" s="134"/>
      <c r="AH417" s="134"/>
    </row>
    <row r="418" spans="1:35">
      <c r="C418" s="137" t="s">
        <v>858</v>
      </c>
      <c r="D418" s="138" t="s">
        <v>859</v>
      </c>
      <c r="E418" s="137" t="s">
        <v>858</v>
      </c>
      <c r="F418" s="138" t="s">
        <v>859</v>
      </c>
      <c r="G418" s="134"/>
      <c r="H418" s="134"/>
      <c r="I418" s="134"/>
      <c r="J418" s="134"/>
      <c r="K418" s="134"/>
      <c r="L418" s="134"/>
      <c r="M418" s="134"/>
      <c r="N418" s="134"/>
      <c r="O418" s="134"/>
      <c r="P418" s="134"/>
      <c r="Q418" s="134"/>
      <c r="R418" s="134"/>
      <c r="S418" s="134"/>
      <c r="T418" s="134"/>
      <c r="U418" s="134"/>
      <c r="V418" s="134"/>
      <c r="W418" s="134"/>
      <c r="X418" s="134"/>
      <c r="Y418" s="134"/>
      <c r="Z418" s="134"/>
      <c r="AA418" s="134"/>
      <c r="AB418" s="134"/>
      <c r="AC418" s="134"/>
      <c r="AD418" s="134"/>
      <c r="AE418" s="134"/>
      <c r="AF418" s="134"/>
      <c r="AG418" s="134"/>
      <c r="AH418" s="134"/>
    </row>
    <row r="419" spans="1:35" ht="14.5" thickBot="1">
      <c r="A419" s="139" t="s">
        <v>860</v>
      </c>
      <c r="B419" s="140" t="s">
        <v>861</v>
      </c>
      <c r="C419" s="206" t="s">
        <v>862</v>
      </c>
      <c r="D419" s="207" t="s">
        <v>863</v>
      </c>
      <c r="E419" s="206" t="s">
        <v>862</v>
      </c>
      <c r="F419" s="207" t="s">
        <v>863</v>
      </c>
      <c r="G419" s="134"/>
      <c r="H419" s="134"/>
      <c r="I419" s="134"/>
      <c r="J419" s="134"/>
      <c r="K419" s="134"/>
      <c r="L419" s="134"/>
      <c r="M419" s="134"/>
      <c r="N419" s="134"/>
      <c r="O419" s="134"/>
      <c r="P419" s="134"/>
      <c r="Q419" s="134"/>
      <c r="R419" s="134"/>
      <c r="S419" s="134"/>
      <c r="T419" s="134"/>
      <c r="U419" s="134"/>
      <c r="V419" s="134"/>
      <c r="W419" s="134"/>
      <c r="X419" s="134"/>
      <c r="Y419" s="134"/>
      <c r="Z419" s="134"/>
      <c r="AA419" s="134"/>
      <c r="AB419" s="134"/>
      <c r="AC419" s="134"/>
      <c r="AD419" s="134"/>
      <c r="AE419" s="134"/>
      <c r="AF419" s="134"/>
      <c r="AG419" s="134"/>
      <c r="AH419" s="134"/>
    </row>
    <row r="420" spans="1:35">
      <c r="A420" s="145">
        <v>29</v>
      </c>
      <c r="B420" s="146" t="s">
        <v>913</v>
      </c>
      <c r="C420" s="188">
        <v>0.53533568904593598</v>
      </c>
      <c r="D420" s="189">
        <v>4.7297297297297298</v>
      </c>
      <c r="E420" s="188">
        <v>2.64664310954063</v>
      </c>
      <c r="F420" s="189">
        <v>16.936936936936899</v>
      </c>
      <c r="G420" s="134"/>
      <c r="H420" s="134"/>
      <c r="I420" s="134"/>
      <c r="J420" s="134"/>
      <c r="K420" s="134"/>
      <c r="L420" s="134"/>
      <c r="M420" s="134"/>
      <c r="N420" s="134"/>
      <c r="O420" s="134"/>
      <c r="P420" s="134"/>
      <c r="Q420" s="134"/>
      <c r="R420" s="134"/>
      <c r="S420" s="134"/>
      <c r="T420" s="134"/>
      <c r="U420" s="134"/>
      <c r="V420" s="134"/>
      <c r="W420" s="134"/>
      <c r="X420" s="134"/>
      <c r="Y420" s="134"/>
      <c r="Z420" s="134"/>
      <c r="AA420" s="134"/>
      <c r="AB420" s="134"/>
      <c r="AC420" s="134"/>
      <c r="AD420" s="134"/>
      <c r="AE420" s="134"/>
      <c r="AF420" s="134"/>
      <c r="AG420" s="134"/>
      <c r="AH420" s="134"/>
    </row>
    <row r="421" spans="1:35">
      <c r="A421" s="151"/>
      <c r="B421" s="152"/>
      <c r="C421" s="188">
        <v>1.0786219081271999</v>
      </c>
      <c r="D421" s="189">
        <v>5.6306306306306304</v>
      </c>
      <c r="E421" s="188">
        <v>3.1678445229681902</v>
      </c>
      <c r="F421" s="189">
        <v>8.7837837837837807</v>
      </c>
      <c r="G421" s="134"/>
      <c r="H421" s="134"/>
      <c r="I421" s="134"/>
      <c r="J421" s="134"/>
      <c r="K421" s="134"/>
      <c r="L421" s="134"/>
      <c r="M421" s="134"/>
      <c r="N421" s="134"/>
      <c r="O421" s="134"/>
      <c r="P421" s="134"/>
      <c r="Q421" s="134"/>
      <c r="R421" s="134"/>
      <c r="S421" s="134"/>
      <c r="T421" s="134"/>
      <c r="U421" s="134"/>
      <c r="V421" s="134"/>
      <c r="W421" s="134"/>
      <c r="X421" s="134"/>
      <c r="Y421" s="134"/>
      <c r="Z421" s="134"/>
      <c r="AA421" s="134"/>
      <c r="AB421" s="134"/>
      <c r="AC421" s="134"/>
      <c r="AD421" s="134"/>
      <c r="AE421" s="134"/>
      <c r="AF421" s="134"/>
      <c r="AG421" s="134"/>
      <c r="AH421" s="134"/>
      <c r="AI421" s="38" t="s">
        <v>914</v>
      </c>
    </row>
    <row r="422" spans="1:35">
      <c r="A422" s="151"/>
      <c r="B422" s="152"/>
      <c r="C422" s="188">
        <v>1.5998233215547699</v>
      </c>
      <c r="D422" s="189">
        <v>9.6846846846846795</v>
      </c>
      <c r="E422" s="188">
        <v>3.6846289752650101</v>
      </c>
      <c r="F422" s="189">
        <v>4.7297297297297298</v>
      </c>
      <c r="G422" s="134"/>
      <c r="H422" s="134"/>
      <c r="I422" s="134"/>
      <c r="J422" s="134"/>
      <c r="K422" s="134"/>
      <c r="L422" s="134"/>
      <c r="M422" s="134"/>
      <c r="N422" s="134"/>
      <c r="O422" s="134"/>
      <c r="P422" s="134"/>
      <c r="Q422" s="134"/>
      <c r="R422" s="134"/>
      <c r="S422" s="134"/>
      <c r="T422" s="134"/>
      <c r="U422" s="134"/>
      <c r="V422" s="134"/>
      <c r="W422" s="134"/>
      <c r="X422" s="134"/>
      <c r="Y422" s="134"/>
      <c r="Z422" s="134"/>
      <c r="AA422" s="134"/>
      <c r="AB422" s="134"/>
      <c r="AC422" s="134"/>
      <c r="AD422" s="134"/>
      <c r="AE422" s="134"/>
      <c r="AF422" s="134"/>
      <c r="AG422" s="134"/>
      <c r="AH422" s="134"/>
    </row>
    <row r="423" spans="1:35">
      <c r="A423" s="151"/>
      <c r="B423" s="152"/>
      <c r="C423" s="188">
        <v>2.1342756183745499</v>
      </c>
      <c r="D423" s="189">
        <v>10.495495495495399</v>
      </c>
      <c r="E423" s="188">
        <v>4.1925795053003503</v>
      </c>
      <c r="F423" s="189">
        <v>3.91891891891891</v>
      </c>
      <c r="G423" s="134"/>
      <c r="H423" s="134"/>
      <c r="I423" s="134"/>
      <c r="J423" s="134"/>
      <c r="K423" s="134"/>
      <c r="L423" s="134"/>
      <c r="M423" s="134"/>
      <c r="N423" s="134"/>
      <c r="O423" s="134"/>
      <c r="P423" s="134"/>
      <c r="Q423" s="134"/>
      <c r="R423" s="134"/>
      <c r="S423" s="134"/>
      <c r="T423" s="134"/>
      <c r="U423" s="134"/>
      <c r="V423" s="134"/>
      <c r="W423" s="134"/>
      <c r="X423" s="134"/>
      <c r="Y423" s="134"/>
      <c r="Z423" s="134"/>
      <c r="AA423" s="134"/>
      <c r="AB423" s="134"/>
      <c r="AC423" s="134"/>
      <c r="AD423" s="134"/>
      <c r="AE423" s="134"/>
      <c r="AF423" s="134"/>
      <c r="AG423" s="134"/>
      <c r="AH423" s="134"/>
    </row>
    <row r="424" spans="1:35">
      <c r="A424" s="151"/>
      <c r="B424" s="152"/>
      <c r="C424" s="188">
        <v>2.6554770318021199</v>
      </c>
      <c r="D424" s="189">
        <v>15</v>
      </c>
      <c r="E424" s="188">
        <v>4.6916961130742001</v>
      </c>
      <c r="F424" s="189">
        <v>1.9819819819819799</v>
      </c>
      <c r="G424" s="134"/>
      <c r="H424" s="134"/>
      <c r="I424" s="134"/>
      <c r="J424" s="134"/>
      <c r="K424" s="134"/>
      <c r="L424" s="134"/>
      <c r="M424" s="134"/>
      <c r="N424" s="134"/>
      <c r="O424" s="134"/>
      <c r="P424" s="134"/>
      <c r="Q424" s="134"/>
      <c r="R424" s="134"/>
      <c r="S424" s="134"/>
      <c r="T424" s="134"/>
      <c r="U424" s="134"/>
      <c r="V424" s="134"/>
      <c r="W424" s="134"/>
      <c r="X424" s="134"/>
      <c r="Y424" s="134"/>
      <c r="Z424" s="134"/>
      <c r="AA424" s="134"/>
      <c r="AB424" s="134"/>
      <c r="AC424" s="134"/>
      <c r="AD424" s="134"/>
      <c r="AE424" s="134"/>
      <c r="AF424" s="134"/>
      <c r="AG424" s="134"/>
      <c r="AH424" s="134"/>
    </row>
    <row r="425" spans="1:35">
      <c r="A425" s="151"/>
      <c r="B425" s="152"/>
      <c r="C425" s="188">
        <v>3.1678445229681902</v>
      </c>
      <c r="D425" s="189">
        <v>25.270270270270199</v>
      </c>
      <c r="E425" s="188">
        <v>5.1952296819787902</v>
      </c>
      <c r="F425" s="189">
        <v>2.07207207207207</v>
      </c>
      <c r="G425" s="134"/>
      <c r="H425" s="134"/>
      <c r="I425" s="134"/>
      <c r="J425" s="134"/>
      <c r="K425" s="134"/>
      <c r="L425" s="134"/>
      <c r="M425" s="134"/>
      <c r="N425" s="134"/>
      <c r="O425" s="134"/>
      <c r="P425" s="134"/>
      <c r="Q425" s="134"/>
      <c r="R425" s="134"/>
      <c r="S425" s="134"/>
      <c r="T425" s="134"/>
      <c r="U425" s="134"/>
      <c r="V425" s="134"/>
      <c r="W425" s="134"/>
      <c r="X425" s="134"/>
      <c r="Y425" s="134"/>
      <c r="Z425" s="134"/>
      <c r="AA425" s="134"/>
      <c r="AB425" s="134"/>
      <c r="AC425" s="134"/>
      <c r="AD425" s="134"/>
      <c r="AE425" s="134"/>
      <c r="AF425" s="134"/>
      <c r="AG425" s="134"/>
      <c r="AH425" s="134"/>
    </row>
    <row r="426" spans="1:35">
      <c r="A426" s="151"/>
      <c r="B426" s="152"/>
      <c r="C426" s="211"/>
      <c r="D426" s="212"/>
      <c r="E426" s="190"/>
      <c r="F426" s="191"/>
      <c r="G426" s="134"/>
      <c r="H426" s="134"/>
      <c r="I426" s="134"/>
      <c r="J426" s="134"/>
      <c r="K426" s="134"/>
      <c r="L426" s="134"/>
      <c r="M426" s="134"/>
      <c r="N426" s="134"/>
      <c r="O426" s="134"/>
      <c r="P426" s="134"/>
      <c r="Q426" s="134"/>
      <c r="R426" s="134"/>
      <c r="S426" s="134"/>
      <c r="T426" s="134"/>
      <c r="U426" s="134"/>
      <c r="V426" s="134"/>
      <c r="W426" s="134"/>
      <c r="X426" s="134"/>
      <c r="Y426" s="134"/>
      <c r="Z426" s="134"/>
      <c r="AA426" s="134"/>
      <c r="AB426" s="134"/>
      <c r="AC426" s="134"/>
      <c r="AD426" s="134"/>
      <c r="AE426" s="134"/>
      <c r="AF426" s="134"/>
      <c r="AG426" s="134"/>
      <c r="AH426" s="134"/>
    </row>
    <row r="427" spans="1:35">
      <c r="A427" s="151"/>
      <c r="B427" s="152"/>
      <c r="C427" s="179"/>
      <c r="D427" s="180"/>
      <c r="E427" s="190"/>
      <c r="F427" s="191"/>
      <c r="G427" s="134"/>
      <c r="H427" s="134"/>
      <c r="I427" s="134"/>
      <c r="J427" s="134"/>
      <c r="K427" s="134"/>
      <c r="L427" s="134"/>
      <c r="M427" s="134"/>
      <c r="N427" s="134"/>
      <c r="O427" s="134"/>
      <c r="P427" s="134"/>
      <c r="Q427" s="134"/>
      <c r="R427" s="134"/>
      <c r="S427" s="134"/>
      <c r="T427" s="134"/>
      <c r="U427" s="134"/>
      <c r="V427" s="134"/>
      <c r="W427" s="134"/>
      <c r="X427" s="134"/>
      <c r="Y427" s="134"/>
      <c r="Z427" s="134"/>
      <c r="AA427" s="134"/>
      <c r="AB427" s="134"/>
      <c r="AC427" s="134"/>
      <c r="AD427" s="134"/>
      <c r="AE427" s="134"/>
      <c r="AF427" s="134"/>
      <c r="AG427" s="134"/>
      <c r="AH427" s="134"/>
    </row>
    <row r="428" spans="1:35">
      <c r="A428" s="151"/>
      <c r="B428" s="152"/>
      <c r="C428" s="179"/>
      <c r="D428" s="180"/>
      <c r="E428" s="190"/>
      <c r="F428" s="191"/>
      <c r="G428" s="134"/>
      <c r="H428" s="134"/>
      <c r="I428" s="134"/>
      <c r="J428" s="134"/>
      <c r="K428" s="134"/>
      <c r="L428" s="134"/>
      <c r="M428" s="134"/>
      <c r="N428" s="134"/>
      <c r="O428" s="134"/>
      <c r="P428" s="134"/>
      <c r="Q428" s="134"/>
      <c r="R428" s="134"/>
      <c r="S428" s="134"/>
      <c r="T428" s="134"/>
      <c r="U428" s="134"/>
      <c r="V428" s="134"/>
      <c r="W428" s="134"/>
      <c r="X428" s="134"/>
      <c r="Y428" s="134"/>
      <c r="Z428" s="134"/>
      <c r="AA428" s="134"/>
      <c r="AB428" s="134"/>
      <c r="AC428" s="134"/>
      <c r="AD428" s="134"/>
      <c r="AE428" s="134"/>
      <c r="AF428" s="134"/>
      <c r="AG428" s="134"/>
      <c r="AH428" s="134"/>
    </row>
    <row r="429" spans="1:35" ht="14.5" thickBot="1">
      <c r="A429" s="160"/>
      <c r="B429" s="161"/>
      <c r="C429" s="182"/>
      <c r="D429" s="183"/>
      <c r="E429" s="184"/>
      <c r="F429" s="183"/>
      <c r="G429" s="134"/>
      <c r="H429" s="134"/>
      <c r="I429" s="134"/>
      <c r="J429" s="134"/>
      <c r="K429" s="134"/>
      <c r="L429" s="134"/>
      <c r="M429" s="134"/>
      <c r="N429" s="134"/>
      <c r="O429" s="134"/>
      <c r="P429" s="134"/>
      <c r="Q429" s="134"/>
      <c r="R429" s="134"/>
      <c r="S429" s="134"/>
      <c r="T429" s="134"/>
      <c r="U429" s="134"/>
      <c r="V429" s="134"/>
      <c r="W429" s="134"/>
      <c r="X429" s="134"/>
      <c r="Y429" s="134"/>
      <c r="Z429" s="134"/>
      <c r="AA429" s="134"/>
      <c r="AB429" s="134"/>
      <c r="AC429" s="134"/>
      <c r="AD429" s="134"/>
      <c r="AE429" s="134"/>
      <c r="AF429" s="134"/>
      <c r="AG429" s="134"/>
      <c r="AH429" s="134"/>
    </row>
    <row r="430" spans="1:35">
      <c r="G430" s="134"/>
      <c r="H430" s="134"/>
      <c r="I430" s="134"/>
      <c r="J430" s="134"/>
      <c r="K430" s="134"/>
      <c r="L430" s="134"/>
      <c r="M430" s="134"/>
      <c r="N430" s="134"/>
      <c r="O430" s="134"/>
      <c r="P430" s="134"/>
      <c r="Q430" s="134"/>
      <c r="R430" s="134"/>
      <c r="S430" s="134"/>
      <c r="T430" s="134"/>
      <c r="U430" s="134"/>
      <c r="V430" s="134"/>
      <c r="W430" s="134"/>
      <c r="X430" s="134"/>
      <c r="Y430" s="134"/>
      <c r="Z430" s="134"/>
      <c r="AA430" s="134"/>
      <c r="AB430" s="134"/>
      <c r="AC430" s="134"/>
      <c r="AD430" s="134"/>
      <c r="AE430" s="134"/>
      <c r="AF430" s="134"/>
      <c r="AG430" s="134"/>
      <c r="AH430" s="134"/>
    </row>
    <row r="431" spans="1:35">
      <c r="G431" s="134"/>
      <c r="H431" s="134"/>
      <c r="I431" s="134"/>
      <c r="J431" s="134"/>
      <c r="K431" s="134"/>
      <c r="L431" s="134"/>
      <c r="M431" s="134"/>
      <c r="N431" s="134"/>
      <c r="O431" s="134"/>
      <c r="P431" s="134"/>
      <c r="Q431" s="134"/>
      <c r="R431" s="134"/>
      <c r="S431" s="134"/>
      <c r="T431" s="134"/>
      <c r="U431" s="134"/>
      <c r="V431" s="134"/>
      <c r="W431" s="134"/>
      <c r="X431" s="134"/>
      <c r="Y431" s="134"/>
      <c r="Z431" s="134"/>
      <c r="AA431" s="134"/>
      <c r="AB431" s="134"/>
      <c r="AC431" s="134"/>
      <c r="AD431" s="134"/>
      <c r="AE431" s="134"/>
      <c r="AF431" s="134"/>
      <c r="AG431" s="134"/>
      <c r="AH431" s="134"/>
    </row>
    <row r="432" spans="1:35">
      <c r="A432" s="131"/>
      <c r="B432" s="131"/>
      <c r="C432" s="132" t="s">
        <v>915</v>
      </c>
      <c r="D432" s="131"/>
      <c r="E432" s="131"/>
      <c r="F432" s="186" t="s">
        <v>870</v>
      </c>
      <c r="G432" s="134"/>
      <c r="H432" s="134"/>
      <c r="I432" s="134"/>
      <c r="J432" s="134"/>
      <c r="K432" s="134"/>
      <c r="L432" s="134"/>
      <c r="M432" s="134"/>
      <c r="N432" s="134"/>
      <c r="O432" s="134"/>
      <c r="P432" s="134"/>
      <c r="Q432" s="134"/>
      <c r="R432" s="134"/>
      <c r="S432" s="134"/>
      <c r="T432" s="134"/>
      <c r="U432" s="134"/>
      <c r="V432" s="134"/>
      <c r="W432" s="134"/>
      <c r="X432" s="134"/>
      <c r="Y432" s="134"/>
      <c r="Z432" s="134"/>
      <c r="AA432" s="134"/>
      <c r="AB432" s="134"/>
      <c r="AC432" s="134"/>
      <c r="AD432" s="134"/>
      <c r="AE432" s="134"/>
      <c r="AF432" s="134"/>
      <c r="AG432" s="134"/>
      <c r="AH432" s="134"/>
    </row>
    <row r="433" spans="1:34">
      <c r="C433" s="133" t="s">
        <v>856</v>
      </c>
      <c r="D433" s="133" t="s">
        <v>856</v>
      </c>
      <c r="G433" s="134"/>
      <c r="H433" s="134"/>
      <c r="I433" s="134"/>
      <c r="J433" s="134"/>
      <c r="K433" s="134"/>
      <c r="L433" s="134"/>
      <c r="M433" s="134"/>
      <c r="N433" s="134"/>
      <c r="O433" s="134"/>
      <c r="P433" s="134"/>
      <c r="Q433" s="134"/>
      <c r="R433" s="134"/>
      <c r="S433" s="134"/>
      <c r="T433" s="134"/>
      <c r="U433" s="134"/>
      <c r="V433" s="134"/>
      <c r="W433" s="134"/>
      <c r="X433" s="134"/>
      <c r="Y433" s="134"/>
      <c r="Z433" s="134"/>
      <c r="AA433" s="134"/>
      <c r="AB433" s="134"/>
      <c r="AC433" s="134"/>
      <c r="AD433" s="134"/>
      <c r="AE433" s="134"/>
      <c r="AF433" s="134"/>
      <c r="AG433" s="134"/>
      <c r="AH433" s="134"/>
    </row>
    <row r="434" spans="1:34" ht="14.5" thickBot="1">
      <c r="C434" s="135" t="s">
        <v>813</v>
      </c>
      <c r="D434" s="135" t="s">
        <v>813</v>
      </c>
      <c r="E434" s="136" t="s">
        <v>857</v>
      </c>
      <c r="F434" s="136" t="s">
        <v>857</v>
      </c>
      <c r="G434" s="134"/>
      <c r="H434" s="134"/>
      <c r="I434" s="134"/>
      <c r="J434" s="134"/>
      <c r="K434" s="134"/>
      <c r="L434" s="134"/>
      <c r="M434" s="134"/>
      <c r="N434" s="134"/>
      <c r="O434" s="134"/>
      <c r="P434" s="134"/>
      <c r="Q434" s="134"/>
      <c r="R434" s="134"/>
      <c r="S434" s="134"/>
      <c r="T434" s="134"/>
      <c r="U434" s="134"/>
      <c r="V434" s="134"/>
      <c r="W434" s="134"/>
      <c r="X434" s="134"/>
      <c r="Y434" s="134"/>
      <c r="Z434" s="134"/>
      <c r="AA434" s="134"/>
      <c r="AB434" s="134"/>
      <c r="AC434" s="134"/>
      <c r="AD434" s="134"/>
      <c r="AE434" s="134"/>
      <c r="AF434" s="134"/>
      <c r="AG434" s="134"/>
      <c r="AH434" s="134"/>
    </row>
    <row r="435" spans="1:34">
      <c r="C435" s="137" t="s">
        <v>858</v>
      </c>
      <c r="D435" s="213" t="s">
        <v>859</v>
      </c>
      <c r="E435" s="137" t="s">
        <v>858</v>
      </c>
      <c r="F435" s="138" t="s">
        <v>859</v>
      </c>
      <c r="G435" s="134"/>
      <c r="H435" s="134"/>
      <c r="I435" s="134"/>
      <c r="J435" s="134"/>
      <c r="K435" s="134"/>
      <c r="L435" s="134"/>
      <c r="M435" s="134"/>
      <c r="N435" s="134"/>
      <c r="O435" s="134"/>
      <c r="P435" s="134"/>
      <c r="Q435" s="134"/>
      <c r="R435" s="134"/>
      <c r="S435" s="134"/>
      <c r="T435" s="134"/>
      <c r="U435" s="134"/>
      <c r="V435" s="134"/>
      <c r="W435" s="134"/>
      <c r="X435" s="134"/>
      <c r="Y435" s="134"/>
      <c r="Z435" s="134"/>
      <c r="AA435" s="134"/>
      <c r="AB435" s="134"/>
      <c r="AC435" s="134"/>
      <c r="AD435" s="134"/>
      <c r="AE435" s="134"/>
      <c r="AF435" s="134"/>
      <c r="AG435" s="134"/>
      <c r="AH435" s="134"/>
    </row>
    <row r="436" spans="1:34" ht="14.5" thickBot="1">
      <c r="A436" s="139" t="s">
        <v>860</v>
      </c>
      <c r="B436" s="140" t="s">
        <v>861</v>
      </c>
      <c r="C436" s="206" t="s">
        <v>862</v>
      </c>
      <c r="D436" s="222" t="s">
        <v>863</v>
      </c>
      <c r="E436" s="206" t="s">
        <v>862</v>
      </c>
      <c r="F436" s="207" t="s">
        <v>863</v>
      </c>
      <c r="G436" s="134"/>
      <c r="H436" s="134"/>
      <c r="I436" s="134"/>
      <c r="J436" s="134"/>
      <c r="K436" s="134"/>
      <c r="L436" s="134"/>
      <c r="M436" s="134"/>
      <c r="N436" s="134"/>
      <c r="O436" s="134"/>
      <c r="P436" s="134"/>
      <c r="Q436" s="134"/>
      <c r="R436" s="134"/>
      <c r="S436" s="134"/>
      <c r="T436" s="134"/>
      <c r="U436" s="134"/>
      <c r="V436" s="134"/>
      <c r="W436" s="134"/>
      <c r="X436" s="134"/>
      <c r="Y436" s="134"/>
      <c r="Z436" s="134"/>
      <c r="AA436" s="134"/>
      <c r="AB436" s="134"/>
      <c r="AC436" s="134"/>
      <c r="AD436" s="134"/>
      <c r="AE436" s="134"/>
      <c r="AF436" s="134"/>
      <c r="AG436" s="134"/>
      <c r="AH436" s="134"/>
    </row>
    <row r="437" spans="1:34">
      <c r="A437" s="145">
        <v>30</v>
      </c>
      <c r="B437" s="146" t="s">
        <v>916</v>
      </c>
      <c r="C437" s="215">
        <v>0.531222123104371</v>
      </c>
      <c r="D437" s="215">
        <v>9.6347031963470293</v>
      </c>
      <c r="E437" s="188">
        <v>2.65</v>
      </c>
      <c r="F437" s="189">
        <v>17.350000000000001</v>
      </c>
      <c r="G437" s="134"/>
      <c r="H437" s="134"/>
      <c r="I437" s="134"/>
      <c r="J437" s="134"/>
      <c r="K437" s="134"/>
      <c r="L437" s="134"/>
      <c r="M437" s="134"/>
      <c r="N437" s="134"/>
      <c r="O437" s="134"/>
      <c r="P437" s="134"/>
      <c r="Q437" s="134"/>
      <c r="R437" s="134"/>
      <c r="S437" s="134"/>
      <c r="T437" s="134"/>
      <c r="U437" s="134"/>
      <c r="V437" s="134"/>
      <c r="W437" s="134"/>
      <c r="X437" s="134"/>
      <c r="Y437" s="134"/>
      <c r="Z437" s="134"/>
      <c r="AA437" s="134"/>
      <c r="AB437" s="134"/>
      <c r="AC437" s="134"/>
      <c r="AD437" s="134"/>
      <c r="AE437" s="134"/>
      <c r="AF437" s="134"/>
      <c r="AG437" s="134"/>
      <c r="AH437" s="134"/>
    </row>
    <row r="438" spans="1:34">
      <c r="A438" s="151"/>
      <c r="B438" s="152"/>
      <c r="C438" s="215">
        <v>1.07091882247992</v>
      </c>
      <c r="D438" s="215">
        <v>11.324200913242001</v>
      </c>
      <c r="E438" s="188">
        <v>3.1749999999999998</v>
      </c>
      <c r="F438" s="189">
        <v>11.5</v>
      </c>
      <c r="G438" s="134"/>
      <c r="H438" s="134"/>
      <c r="I438" s="134"/>
      <c r="J438" s="134"/>
      <c r="K438" s="134"/>
      <c r="L438" s="134"/>
      <c r="M438" s="134"/>
      <c r="N438" s="134"/>
      <c r="O438" s="134"/>
      <c r="P438" s="134"/>
      <c r="Q438" s="134"/>
      <c r="R438" s="134"/>
      <c r="S438" s="134"/>
      <c r="T438" s="134"/>
      <c r="U438" s="134"/>
      <c r="V438" s="134"/>
      <c r="W438" s="134"/>
      <c r="X438" s="134"/>
      <c r="Y438" s="134"/>
      <c r="Z438" s="134"/>
      <c r="AA438" s="134"/>
      <c r="AB438" s="134"/>
      <c r="AC438" s="134"/>
      <c r="AD438" s="134"/>
      <c r="AE438" s="134"/>
      <c r="AF438" s="134"/>
      <c r="AG438" s="134"/>
      <c r="AH438" s="134"/>
    </row>
    <row r="439" spans="1:34">
      <c r="A439" s="151"/>
      <c r="B439" s="152"/>
      <c r="C439" s="215">
        <v>1.59277430865298</v>
      </c>
      <c r="D439" s="215">
        <v>15.570776255707701</v>
      </c>
      <c r="E439" s="188">
        <v>3.6891168599464699</v>
      </c>
      <c r="F439" s="189">
        <v>7.6255707762557003</v>
      </c>
      <c r="G439" s="134"/>
      <c r="H439" s="134"/>
      <c r="I439" s="134"/>
      <c r="J439" s="134"/>
      <c r="K439" s="134"/>
      <c r="L439" s="134"/>
      <c r="M439" s="134"/>
      <c r="N439" s="134"/>
      <c r="O439" s="134"/>
      <c r="P439" s="134"/>
      <c r="Q439" s="134"/>
      <c r="R439" s="134"/>
      <c r="S439" s="134"/>
      <c r="T439" s="134"/>
      <c r="U439" s="134"/>
      <c r="V439" s="134"/>
      <c r="W439" s="134"/>
      <c r="X439" s="134"/>
      <c r="Y439" s="134"/>
      <c r="Z439" s="134"/>
      <c r="AA439" s="134"/>
      <c r="AB439" s="134"/>
      <c r="AC439" s="134"/>
      <c r="AD439" s="134"/>
      <c r="AE439" s="134"/>
      <c r="AF439" s="134"/>
      <c r="AG439" s="134"/>
      <c r="AH439" s="134"/>
    </row>
    <row r="440" spans="1:34">
      <c r="A440" s="151"/>
      <c r="B440" s="152"/>
      <c r="C440" s="215">
        <v>2.1235504014272899</v>
      </c>
      <c r="D440" s="215">
        <v>19.1324200913242</v>
      </c>
      <c r="E440" s="188">
        <v>4.1931311329170304</v>
      </c>
      <c r="F440" s="189">
        <v>5.93607305936073</v>
      </c>
      <c r="G440" s="134"/>
      <c r="H440" s="134"/>
      <c r="I440" s="134"/>
      <c r="J440" s="134"/>
      <c r="K440" s="134"/>
      <c r="L440" s="134"/>
      <c r="M440" s="134"/>
      <c r="N440" s="134"/>
      <c r="O440" s="134"/>
      <c r="P440" s="134"/>
      <c r="Q440" s="134"/>
      <c r="R440" s="134"/>
      <c r="S440" s="134"/>
      <c r="T440" s="134"/>
      <c r="U440" s="134"/>
      <c r="V440" s="134"/>
      <c r="W440" s="134"/>
      <c r="X440" s="134"/>
      <c r="Y440" s="134"/>
      <c r="Z440" s="134"/>
      <c r="AA440" s="134"/>
      <c r="AB440" s="134"/>
      <c r="AC440" s="134"/>
      <c r="AD440" s="134"/>
      <c r="AE440" s="134"/>
      <c r="AF440" s="134"/>
      <c r="AG440" s="134"/>
      <c r="AH440" s="134"/>
    </row>
    <row r="441" spans="1:34">
      <c r="A441" s="151"/>
      <c r="B441" s="152"/>
      <c r="C441" s="211"/>
      <c r="D441" s="224"/>
      <c r="E441" s="188">
        <v>4.6882247992863499</v>
      </c>
      <c r="F441" s="189">
        <v>4.0639269406392602</v>
      </c>
      <c r="G441" s="134"/>
      <c r="H441" s="134"/>
      <c r="I441" s="134"/>
      <c r="J441" s="134"/>
      <c r="K441" s="134"/>
      <c r="L441" s="134"/>
      <c r="M441" s="134"/>
      <c r="N441" s="134"/>
      <c r="O441" s="134"/>
      <c r="P441" s="134"/>
      <c r="Q441" s="134"/>
      <c r="R441" s="134"/>
      <c r="S441" s="134"/>
      <c r="T441" s="134"/>
      <c r="U441" s="134"/>
      <c r="V441" s="134"/>
      <c r="W441" s="134"/>
      <c r="X441" s="134"/>
      <c r="Y441" s="134"/>
      <c r="Z441" s="134"/>
      <c r="AA441" s="134"/>
      <c r="AB441" s="134"/>
      <c r="AC441" s="134"/>
      <c r="AD441" s="134"/>
      <c r="AE441" s="134"/>
      <c r="AF441" s="134"/>
      <c r="AG441" s="134"/>
      <c r="AH441" s="134"/>
    </row>
    <row r="442" spans="1:34">
      <c r="A442" s="151"/>
      <c r="B442" s="152"/>
      <c r="C442" s="211"/>
      <c r="D442" s="224"/>
      <c r="E442" s="188">
        <v>5.2011596788581604</v>
      </c>
      <c r="F442" s="189">
        <v>2.1461187214611801</v>
      </c>
      <c r="G442" s="134"/>
      <c r="H442" s="134"/>
      <c r="I442" s="134"/>
      <c r="J442" s="134"/>
      <c r="K442" s="134"/>
      <c r="L442" s="134"/>
      <c r="M442" s="134"/>
      <c r="N442" s="134"/>
      <c r="O442" s="134"/>
      <c r="P442" s="134"/>
      <c r="Q442" s="134"/>
      <c r="R442" s="134"/>
      <c r="S442" s="134"/>
      <c r="T442" s="134"/>
      <c r="U442" s="134"/>
      <c r="V442" s="134"/>
      <c r="W442" s="134"/>
      <c r="X442" s="134"/>
      <c r="Y442" s="134"/>
      <c r="Z442" s="134"/>
      <c r="AA442" s="134"/>
      <c r="AB442" s="134"/>
      <c r="AC442" s="134"/>
      <c r="AD442" s="134"/>
      <c r="AE442" s="134"/>
      <c r="AF442" s="134"/>
      <c r="AG442" s="134"/>
      <c r="AH442" s="134"/>
    </row>
    <row r="443" spans="1:34">
      <c r="A443" s="151"/>
      <c r="B443" s="152"/>
      <c r="C443" s="211"/>
      <c r="D443" s="224"/>
      <c r="E443" s="190"/>
      <c r="F443" s="191"/>
      <c r="G443" s="134"/>
      <c r="H443" s="134"/>
      <c r="I443" s="134"/>
      <c r="J443" s="134"/>
      <c r="K443" s="134"/>
      <c r="L443" s="134"/>
      <c r="M443" s="134"/>
      <c r="N443" s="134"/>
      <c r="O443" s="134"/>
      <c r="P443" s="134"/>
      <c r="Q443" s="134"/>
      <c r="R443" s="134"/>
      <c r="S443" s="134"/>
      <c r="T443" s="134"/>
      <c r="U443" s="134"/>
      <c r="V443" s="134"/>
      <c r="W443" s="134"/>
      <c r="X443" s="134"/>
      <c r="Y443" s="134"/>
      <c r="Z443" s="134"/>
      <c r="AA443" s="134"/>
      <c r="AB443" s="134"/>
      <c r="AC443" s="134"/>
      <c r="AD443" s="134"/>
      <c r="AE443" s="134"/>
      <c r="AF443" s="134"/>
      <c r="AG443" s="134"/>
      <c r="AH443" s="134"/>
    </row>
    <row r="444" spans="1:34">
      <c r="A444" s="151"/>
      <c r="B444" s="152"/>
      <c r="C444" s="179"/>
      <c r="D444" s="218"/>
      <c r="E444" s="190"/>
      <c r="F444" s="191"/>
      <c r="G444" s="134"/>
      <c r="H444" s="134"/>
      <c r="I444" s="134"/>
      <c r="J444" s="134"/>
      <c r="K444" s="134"/>
      <c r="L444" s="134"/>
      <c r="M444" s="134"/>
      <c r="N444" s="134"/>
      <c r="O444" s="134"/>
      <c r="P444" s="134"/>
      <c r="Q444" s="134"/>
      <c r="R444" s="134"/>
      <c r="S444" s="134"/>
      <c r="T444" s="134"/>
      <c r="U444" s="134"/>
      <c r="V444" s="134"/>
      <c r="W444" s="134"/>
      <c r="X444" s="134"/>
      <c r="Y444" s="134"/>
      <c r="Z444" s="134"/>
      <c r="AA444" s="134"/>
      <c r="AB444" s="134"/>
      <c r="AC444" s="134"/>
      <c r="AD444" s="134"/>
      <c r="AE444" s="134"/>
      <c r="AF444" s="134"/>
      <c r="AG444" s="134"/>
      <c r="AH444" s="134"/>
    </row>
    <row r="445" spans="1:34">
      <c r="A445" s="151"/>
      <c r="B445" s="152"/>
      <c r="C445" s="179"/>
      <c r="D445" s="218"/>
      <c r="E445" s="190"/>
      <c r="F445" s="191"/>
      <c r="G445" s="134"/>
      <c r="H445" s="134"/>
      <c r="I445" s="134"/>
      <c r="J445" s="134"/>
      <c r="K445" s="134"/>
      <c r="L445" s="134"/>
      <c r="M445" s="134"/>
      <c r="N445" s="134"/>
      <c r="O445" s="134"/>
      <c r="P445" s="134"/>
      <c r="Q445" s="134"/>
      <c r="R445" s="134"/>
      <c r="S445" s="134"/>
      <c r="AG445" s="134"/>
      <c r="AH445" s="134"/>
    </row>
    <row r="446" spans="1:34" ht="14.5" thickBot="1">
      <c r="A446" s="160"/>
      <c r="B446" s="161"/>
      <c r="C446" s="182"/>
      <c r="D446" s="219"/>
      <c r="E446" s="184"/>
      <c r="F446" s="183"/>
      <c r="G446" s="134"/>
      <c r="H446" s="134"/>
      <c r="I446" s="134"/>
      <c r="J446" s="134"/>
      <c r="K446" s="134"/>
      <c r="L446" s="134"/>
      <c r="M446" s="134"/>
      <c r="N446" s="134"/>
      <c r="O446" s="134"/>
      <c r="P446" s="134"/>
      <c r="Q446" s="134"/>
      <c r="R446" s="134"/>
      <c r="S446" s="134"/>
    </row>
    <row r="447" spans="1:34">
      <c r="G447" s="134"/>
      <c r="H447" s="134"/>
      <c r="I447" s="134"/>
      <c r="J447" s="134"/>
      <c r="K447" s="134"/>
      <c r="L447" s="134"/>
      <c r="M447" s="134"/>
      <c r="N447" s="134"/>
      <c r="O447" s="134"/>
      <c r="P447" s="134"/>
      <c r="Q447" s="134"/>
      <c r="R447" s="134"/>
      <c r="S447" s="134"/>
    </row>
    <row r="448" spans="1:34">
      <c r="G448" s="134"/>
      <c r="H448" s="134"/>
      <c r="I448" s="134"/>
      <c r="J448" s="134"/>
      <c r="K448" s="134"/>
      <c r="L448" s="134"/>
      <c r="M448" s="134"/>
      <c r="N448" s="134"/>
      <c r="O448" s="134"/>
      <c r="P448" s="134"/>
      <c r="Q448" s="134"/>
      <c r="R448" s="134"/>
      <c r="S448" s="134"/>
    </row>
    <row r="449" spans="1:19">
      <c r="A449" s="131"/>
      <c r="B449" s="131"/>
      <c r="C449" s="132" t="s">
        <v>917</v>
      </c>
      <c r="D449" s="131"/>
      <c r="E449" s="131"/>
      <c r="F449" s="186" t="s">
        <v>870</v>
      </c>
      <c r="G449" s="134"/>
      <c r="H449" s="134"/>
      <c r="I449" s="134"/>
      <c r="J449" s="134"/>
      <c r="K449" s="134"/>
      <c r="L449" s="134"/>
      <c r="M449" s="134"/>
      <c r="N449" s="134"/>
      <c r="O449" s="134"/>
      <c r="P449" s="134"/>
      <c r="Q449" s="134"/>
      <c r="R449" s="134"/>
      <c r="S449" s="134"/>
    </row>
    <row r="450" spans="1:19">
      <c r="C450" s="133" t="s">
        <v>856</v>
      </c>
      <c r="D450" s="133" t="s">
        <v>856</v>
      </c>
      <c r="G450" s="134"/>
      <c r="H450" s="134"/>
      <c r="I450" s="134"/>
      <c r="J450" s="134"/>
      <c r="K450" s="134"/>
      <c r="L450" s="134"/>
      <c r="M450" s="134"/>
      <c r="N450" s="134"/>
      <c r="O450" s="134"/>
      <c r="P450" s="134"/>
      <c r="Q450" s="134"/>
      <c r="R450" s="134"/>
      <c r="S450" s="134"/>
    </row>
    <row r="451" spans="1:19" ht="14.5" thickBot="1">
      <c r="C451" s="135" t="s">
        <v>813</v>
      </c>
      <c r="D451" s="135" t="s">
        <v>813</v>
      </c>
      <c r="E451" s="136" t="s">
        <v>857</v>
      </c>
      <c r="F451" s="136" t="s">
        <v>857</v>
      </c>
      <c r="G451" s="134"/>
      <c r="H451" s="134"/>
      <c r="I451" s="134"/>
      <c r="J451" s="134"/>
      <c r="K451" s="134"/>
      <c r="L451" s="134"/>
      <c r="M451" s="134"/>
      <c r="N451" s="134"/>
      <c r="O451" s="134"/>
      <c r="P451" s="134"/>
      <c r="Q451" s="134"/>
      <c r="R451" s="134"/>
      <c r="S451" s="134"/>
    </row>
    <row r="452" spans="1:19">
      <c r="C452" s="137" t="s">
        <v>858</v>
      </c>
      <c r="D452" s="213" t="s">
        <v>859</v>
      </c>
      <c r="E452" s="137" t="s">
        <v>858</v>
      </c>
      <c r="F452" s="138" t="s">
        <v>859</v>
      </c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</row>
    <row r="453" spans="1:19" ht="14.5" thickBot="1">
      <c r="A453" s="139" t="s">
        <v>860</v>
      </c>
      <c r="B453" s="140" t="s">
        <v>861</v>
      </c>
      <c r="C453" s="206" t="s">
        <v>862</v>
      </c>
      <c r="D453" s="222" t="s">
        <v>863</v>
      </c>
      <c r="E453" s="206" t="s">
        <v>862</v>
      </c>
      <c r="F453" s="207" t="s">
        <v>863</v>
      </c>
      <c r="G453" s="134"/>
      <c r="H453" s="134"/>
      <c r="I453" s="134"/>
      <c r="J453" s="134"/>
      <c r="K453" s="134"/>
      <c r="L453" s="134"/>
      <c r="M453" s="134"/>
      <c r="N453" s="134"/>
      <c r="O453" s="134"/>
      <c r="P453" s="134"/>
      <c r="Q453" s="134"/>
      <c r="R453" s="134"/>
      <c r="S453" s="134"/>
    </row>
    <row r="454" spans="1:19">
      <c r="A454" s="145">
        <v>30</v>
      </c>
      <c r="B454" s="146" t="s">
        <v>918</v>
      </c>
      <c r="C454" s="215">
        <v>0.53913043478260803</v>
      </c>
      <c r="D454" s="215">
        <v>5.7566765578635</v>
      </c>
      <c r="E454" s="188">
        <v>1.07391304347826</v>
      </c>
      <c r="F454" s="189">
        <v>8.1008902077151301</v>
      </c>
      <c r="G454" s="134"/>
      <c r="H454" s="134"/>
      <c r="I454" s="134"/>
      <c r="J454" s="134"/>
      <c r="K454" s="134"/>
      <c r="L454" s="134"/>
      <c r="M454" s="134"/>
      <c r="N454" s="134"/>
      <c r="O454" s="134"/>
      <c r="P454" s="134"/>
      <c r="Q454" s="134"/>
      <c r="R454" s="134"/>
      <c r="S454" s="134"/>
    </row>
    <row r="455" spans="1:19">
      <c r="A455" s="151"/>
      <c r="B455" s="152"/>
      <c r="C455" s="215">
        <v>1.0782608695652101</v>
      </c>
      <c r="D455" s="215">
        <v>7.1513353115726996</v>
      </c>
      <c r="E455" s="188">
        <v>1.6</v>
      </c>
      <c r="F455" s="189">
        <v>5.8160237388724001</v>
      </c>
      <c r="G455" s="134"/>
      <c r="H455" s="134"/>
      <c r="I455" s="134"/>
      <c r="J455" s="134"/>
      <c r="K455" s="134"/>
      <c r="L455" s="134"/>
      <c r="M455" s="134"/>
      <c r="N455" s="134"/>
      <c r="O455" s="134"/>
      <c r="P455" s="134"/>
      <c r="Q455" s="134"/>
      <c r="R455" s="134"/>
      <c r="S455" s="134"/>
    </row>
    <row r="456" spans="1:19">
      <c r="A456" s="151"/>
      <c r="B456" s="152"/>
      <c r="C456" s="215">
        <v>1.6</v>
      </c>
      <c r="D456" s="215">
        <v>11.1275964391691</v>
      </c>
      <c r="E456" s="188">
        <v>2.1217391304347801</v>
      </c>
      <c r="F456" s="189">
        <v>3.7388724035608298</v>
      </c>
      <c r="G456" s="134"/>
      <c r="H456" s="134"/>
      <c r="I456" s="134"/>
      <c r="J456" s="134"/>
      <c r="K456" s="134"/>
      <c r="L456" s="134"/>
      <c r="M456" s="134"/>
      <c r="N456" s="134"/>
      <c r="O456" s="134"/>
      <c r="P456" s="134"/>
      <c r="Q456" s="134"/>
      <c r="R456" s="134"/>
      <c r="S456" s="134"/>
    </row>
    <row r="457" spans="1:19">
      <c r="A457" s="151"/>
      <c r="B457" s="152"/>
      <c r="C457" s="211"/>
      <c r="D457" s="224"/>
      <c r="E457" s="188">
        <v>2.64782608695652</v>
      </c>
      <c r="F457" s="189">
        <v>3.79821958456973</v>
      </c>
      <c r="G457" s="134"/>
      <c r="H457" s="134"/>
      <c r="I457" s="134"/>
      <c r="J457" s="134"/>
      <c r="K457" s="134"/>
      <c r="L457" s="134"/>
      <c r="M457" s="134"/>
      <c r="N457" s="134"/>
      <c r="O457" s="134"/>
      <c r="P457" s="134"/>
      <c r="Q457" s="134"/>
      <c r="R457" s="134"/>
      <c r="S457" s="134"/>
    </row>
    <row r="458" spans="1:19">
      <c r="A458" s="151"/>
      <c r="B458" s="152"/>
      <c r="C458" s="211"/>
      <c r="D458" s="224"/>
      <c r="E458" s="188">
        <v>3.1739130434782599</v>
      </c>
      <c r="F458" s="189">
        <v>1.5133531157269999</v>
      </c>
      <c r="G458" s="134"/>
      <c r="H458" s="134"/>
      <c r="I458" s="134"/>
      <c r="J458" s="134"/>
      <c r="K458" s="134"/>
      <c r="L458" s="134"/>
      <c r="M458" s="134"/>
      <c r="N458" s="134"/>
      <c r="O458" s="134"/>
      <c r="P458" s="134"/>
      <c r="Q458" s="134"/>
      <c r="R458" s="134"/>
      <c r="S458" s="134"/>
    </row>
    <row r="459" spans="1:19">
      <c r="A459" s="151"/>
      <c r="B459" s="152"/>
      <c r="C459" s="211"/>
      <c r="D459" s="224"/>
      <c r="E459" s="188">
        <v>3.6956521739130399</v>
      </c>
      <c r="F459" s="189">
        <v>0.53412462908011804</v>
      </c>
      <c r="G459" s="134"/>
      <c r="H459" s="134"/>
      <c r="I459" s="134"/>
      <c r="J459" s="134"/>
      <c r="K459" s="134"/>
      <c r="L459" s="134"/>
      <c r="M459" s="134"/>
      <c r="N459" s="134"/>
      <c r="O459" s="134"/>
      <c r="P459" s="134"/>
      <c r="Q459" s="134"/>
      <c r="R459" s="134"/>
      <c r="S459" s="134"/>
    </row>
    <row r="460" spans="1:19">
      <c r="A460" s="151"/>
      <c r="B460" s="152"/>
      <c r="C460" s="211"/>
      <c r="D460" s="224"/>
      <c r="E460" s="188">
        <v>4.2</v>
      </c>
      <c r="F460" s="189">
        <v>0.53412462908011804</v>
      </c>
      <c r="G460" s="134"/>
      <c r="H460" s="134"/>
      <c r="I460" s="134"/>
      <c r="J460" s="134"/>
      <c r="K460" s="134"/>
      <c r="L460" s="134"/>
      <c r="M460" s="134"/>
      <c r="N460" s="134"/>
      <c r="O460" s="134"/>
      <c r="P460" s="134"/>
      <c r="Q460" s="134"/>
      <c r="R460" s="134"/>
      <c r="S460" s="134"/>
    </row>
    <row r="461" spans="1:19">
      <c r="A461" s="151"/>
      <c r="B461" s="152"/>
      <c r="C461" s="179"/>
      <c r="D461" s="218"/>
      <c r="E461" s="188">
        <v>4.6956521739130404</v>
      </c>
      <c r="F461" s="189">
        <v>0.56379821958456899</v>
      </c>
      <c r="G461" s="134"/>
      <c r="H461" s="134"/>
      <c r="I461" s="134"/>
      <c r="J461" s="134"/>
      <c r="K461" s="134"/>
      <c r="L461" s="134"/>
      <c r="M461" s="134"/>
      <c r="N461" s="134"/>
      <c r="O461" s="134"/>
      <c r="P461" s="134"/>
      <c r="Q461" s="134"/>
      <c r="R461" s="134"/>
      <c r="S461" s="134"/>
    </row>
    <row r="462" spans="1:19">
      <c r="A462" s="151"/>
      <c r="B462" s="152"/>
      <c r="C462" s="179"/>
      <c r="D462" s="218"/>
      <c r="E462" s="188">
        <v>5.2043478260869502</v>
      </c>
      <c r="F462" s="189">
        <v>0</v>
      </c>
      <c r="G462" s="134"/>
      <c r="H462" s="134"/>
      <c r="I462" s="134"/>
      <c r="J462" s="134"/>
      <c r="K462" s="134"/>
      <c r="L462" s="134"/>
      <c r="M462" s="134"/>
      <c r="N462" s="134"/>
      <c r="O462" s="134"/>
      <c r="P462" s="134"/>
      <c r="Q462" s="134"/>
      <c r="R462" s="134"/>
      <c r="S462" s="134"/>
    </row>
    <row r="463" spans="1:19" ht="14.5" thickBot="1">
      <c r="A463" s="160"/>
      <c r="B463" s="161"/>
      <c r="C463" s="182"/>
      <c r="D463" s="219"/>
      <c r="E463" s="184"/>
      <c r="F463" s="183"/>
      <c r="G463" s="134"/>
      <c r="H463" s="134"/>
      <c r="I463" s="134"/>
      <c r="J463" s="134"/>
      <c r="K463" s="134"/>
      <c r="L463" s="134"/>
      <c r="M463" s="134"/>
      <c r="N463" s="134"/>
      <c r="O463" s="134"/>
      <c r="P463" s="134"/>
      <c r="Q463" s="134"/>
      <c r="R463" s="134"/>
      <c r="S463" s="134"/>
    </row>
    <row r="464" spans="1:19">
      <c r="G464" s="134"/>
      <c r="H464" s="134"/>
      <c r="I464" s="134"/>
      <c r="J464" s="134"/>
      <c r="K464" s="134"/>
      <c r="L464" s="134"/>
      <c r="M464" s="134"/>
      <c r="N464" s="134"/>
      <c r="O464" s="134"/>
      <c r="P464" s="134"/>
      <c r="Q464" s="134"/>
      <c r="R464" s="134"/>
      <c r="S464" s="134"/>
    </row>
    <row r="465" spans="7:19" ht="14.25" customHeight="1">
      <c r="G465" s="134"/>
      <c r="H465" s="134"/>
      <c r="I465" s="134"/>
      <c r="J465" s="134"/>
      <c r="K465" s="134"/>
      <c r="L465" s="134"/>
      <c r="M465" s="134"/>
      <c r="N465" s="134"/>
      <c r="O465" s="134"/>
      <c r="P465" s="134"/>
      <c r="Q465" s="134"/>
      <c r="R465" s="134"/>
      <c r="S465" s="134"/>
    </row>
    <row r="466" spans="7:19">
      <c r="G466" s="134"/>
      <c r="H466" s="134"/>
      <c r="I466" s="134"/>
      <c r="J466" s="134"/>
      <c r="K466" s="134"/>
      <c r="L466" s="134"/>
      <c r="M466" s="134"/>
      <c r="N466" s="134"/>
      <c r="O466" s="134"/>
      <c r="P466" s="134"/>
      <c r="Q466" s="134"/>
      <c r="R466" s="134"/>
      <c r="S466" s="134"/>
    </row>
    <row r="467" spans="7:19">
      <c r="G467" s="134"/>
      <c r="H467" s="134"/>
      <c r="I467" s="134"/>
      <c r="J467" s="134"/>
      <c r="K467" s="134"/>
      <c r="L467" s="134"/>
      <c r="M467" s="134"/>
      <c r="N467" s="134"/>
      <c r="O467" s="134"/>
      <c r="P467" s="134"/>
      <c r="Q467" s="134"/>
      <c r="R467" s="134"/>
      <c r="S467" s="134"/>
    </row>
    <row r="468" spans="7:19">
      <c r="G468" s="134"/>
      <c r="H468" s="134"/>
      <c r="I468" s="134"/>
      <c r="J468" s="134"/>
      <c r="K468" s="134"/>
      <c r="L468" s="134"/>
      <c r="M468" s="134"/>
      <c r="N468" s="134"/>
      <c r="O468" s="134"/>
      <c r="P468" s="134"/>
      <c r="Q468" s="134"/>
      <c r="R468" s="134"/>
      <c r="S468" s="134"/>
    </row>
    <row r="469" spans="7:19">
      <c r="G469" s="134"/>
      <c r="H469" s="134"/>
      <c r="I469" s="134"/>
      <c r="J469" s="134"/>
      <c r="K469" s="134"/>
      <c r="L469" s="134"/>
      <c r="M469" s="134"/>
      <c r="N469" s="134"/>
      <c r="O469" s="134"/>
      <c r="P469" s="134"/>
      <c r="Q469" s="134"/>
      <c r="R469" s="134"/>
      <c r="S469" s="134"/>
    </row>
    <row r="470" spans="7:19">
      <c r="G470" s="134"/>
      <c r="H470" s="134"/>
      <c r="I470" s="134"/>
      <c r="J470" s="134"/>
      <c r="K470" s="134"/>
      <c r="L470" s="134"/>
      <c r="M470" s="134"/>
      <c r="N470" s="134"/>
      <c r="O470" s="134"/>
      <c r="P470" s="134"/>
      <c r="Q470" s="134"/>
      <c r="R470" s="134"/>
      <c r="S470" s="134"/>
    </row>
    <row r="471" spans="7:19">
      <c r="G471" s="134"/>
      <c r="H471" s="134"/>
      <c r="I471" s="134"/>
      <c r="J471" s="134"/>
      <c r="K471" s="134"/>
      <c r="L471" s="134"/>
      <c r="M471" s="134"/>
      <c r="N471" s="134"/>
      <c r="O471" s="134"/>
      <c r="P471" s="134"/>
      <c r="Q471" s="134"/>
      <c r="R471" s="134"/>
      <c r="S471" s="134"/>
    </row>
    <row r="472" spans="7:19">
      <c r="G472" s="134"/>
      <c r="H472" s="134"/>
      <c r="I472" s="134"/>
      <c r="J472" s="134"/>
      <c r="K472" s="134"/>
      <c r="L472" s="134"/>
      <c r="M472" s="134"/>
      <c r="N472" s="134"/>
      <c r="O472" s="134"/>
      <c r="P472" s="134"/>
      <c r="Q472" s="134"/>
      <c r="R472" s="134"/>
      <c r="S472" s="134"/>
    </row>
    <row r="473" spans="7:19">
      <c r="G473" s="134"/>
      <c r="H473" s="134"/>
      <c r="I473" s="134"/>
      <c r="J473" s="134"/>
      <c r="K473" s="134"/>
      <c r="L473" s="134"/>
      <c r="M473" s="134"/>
      <c r="N473" s="134"/>
      <c r="O473" s="134"/>
      <c r="P473" s="134"/>
      <c r="Q473" s="134"/>
      <c r="R473" s="134"/>
      <c r="S473" s="134"/>
    </row>
    <row r="474" spans="7:19">
      <c r="G474" s="134"/>
      <c r="H474" s="134"/>
      <c r="I474" s="134"/>
      <c r="J474" s="134"/>
      <c r="K474" s="134"/>
      <c r="L474" s="134"/>
      <c r="M474" s="134"/>
      <c r="N474" s="134"/>
      <c r="O474" s="134"/>
      <c r="P474" s="134"/>
      <c r="Q474" s="134"/>
      <c r="R474" s="134"/>
      <c r="S474" s="134"/>
    </row>
    <row r="475" spans="7:19">
      <c r="G475" s="134"/>
      <c r="H475" s="134"/>
      <c r="I475" s="134"/>
      <c r="J475" s="134"/>
      <c r="K475" s="134"/>
      <c r="L475" s="134"/>
      <c r="M475" s="134"/>
      <c r="N475" s="134"/>
      <c r="O475" s="134"/>
      <c r="P475" s="134"/>
      <c r="Q475" s="134"/>
      <c r="R475" s="134"/>
      <c r="S475" s="134"/>
    </row>
    <row r="476" spans="7:19">
      <c r="G476" s="134"/>
      <c r="H476" s="134"/>
      <c r="I476" s="134"/>
      <c r="J476" s="134"/>
      <c r="K476" s="134"/>
      <c r="L476" s="134"/>
      <c r="M476" s="134"/>
      <c r="N476" s="134"/>
      <c r="O476" s="134"/>
      <c r="P476" s="134"/>
      <c r="Q476" s="134"/>
      <c r="R476" s="134"/>
      <c r="S476" s="134"/>
    </row>
    <row r="477" spans="7:19">
      <c r="G477" s="134"/>
      <c r="H477" s="134"/>
      <c r="I477" s="134"/>
      <c r="J477" s="134"/>
      <c r="K477" s="134"/>
      <c r="L477" s="134"/>
      <c r="M477" s="134"/>
      <c r="N477" s="134"/>
      <c r="O477" s="134"/>
      <c r="P477" s="134"/>
      <c r="Q477" s="134"/>
      <c r="R477" s="134"/>
      <c r="S477" s="134"/>
    </row>
    <row r="478" spans="7:19">
      <c r="G478" s="134"/>
      <c r="H478" s="134"/>
      <c r="I478" s="134"/>
      <c r="J478" s="134"/>
      <c r="K478" s="134"/>
      <c r="L478" s="134"/>
      <c r="M478" s="134"/>
      <c r="N478" s="134"/>
      <c r="O478" s="134"/>
      <c r="P478" s="134"/>
      <c r="Q478" s="134"/>
      <c r="R478" s="134"/>
      <c r="S478" s="134"/>
    </row>
    <row r="481" spans="1:8">
      <c r="A481" s="234" t="s">
        <v>919</v>
      </c>
      <c r="B481" s="234"/>
      <c r="C481" s="234"/>
      <c r="D481" s="234"/>
      <c r="E481" s="234"/>
      <c r="F481" s="234"/>
      <c r="G481" s="234"/>
      <c r="H481" s="234"/>
    </row>
    <row r="483" spans="1:8" ht="14.5" thickBot="1">
      <c r="C483" s="235" t="s">
        <v>920</v>
      </c>
      <c r="D483" s="235"/>
      <c r="E483" s="236" t="s">
        <v>921</v>
      </c>
      <c r="F483" s="236"/>
      <c r="G483" s="237" t="s">
        <v>922</v>
      </c>
      <c r="H483" s="237"/>
    </row>
    <row r="484" spans="1:8">
      <c r="C484" s="137" t="s">
        <v>858</v>
      </c>
      <c r="D484" s="213" t="s">
        <v>859</v>
      </c>
      <c r="E484" s="137" t="s">
        <v>858</v>
      </c>
      <c r="F484" s="138" t="s">
        <v>859</v>
      </c>
      <c r="G484" s="137" t="s">
        <v>858</v>
      </c>
      <c r="H484" s="138" t="s">
        <v>859</v>
      </c>
    </row>
    <row r="485" spans="1:8" ht="14.5" thickBot="1">
      <c r="A485" s="238" t="s">
        <v>860</v>
      </c>
      <c r="B485" s="239"/>
      <c r="C485" s="206" t="s">
        <v>923</v>
      </c>
      <c r="D485" s="222" t="s">
        <v>924</v>
      </c>
      <c r="E485" s="206" t="s">
        <v>923</v>
      </c>
      <c r="F485" s="207" t="s">
        <v>924</v>
      </c>
      <c r="G485" s="206" t="s">
        <v>923</v>
      </c>
      <c r="H485" s="207" t="s">
        <v>924</v>
      </c>
    </row>
    <row r="486" spans="1:8">
      <c r="A486" s="240">
        <v>31</v>
      </c>
      <c r="B486" s="241"/>
      <c r="C486" s="215">
        <v>0</v>
      </c>
      <c r="D486" s="215">
        <v>4.8963210702341096</v>
      </c>
      <c r="E486" s="188">
        <v>0</v>
      </c>
      <c r="F486" s="189">
        <v>4.8561872909699</v>
      </c>
      <c r="G486" s="188">
        <v>0</v>
      </c>
      <c r="H486" s="189">
        <v>4.8260869565217304</v>
      </c>
    </row>
    <row r="487" spans="1:8">
      <c r="A487" s="242"/>
      <c r="B487" s="243"/>
      <c r="C487" s="215">
        <v>7.0833333333333304</v>
      </c>
      <c r="D487" s="215">
        <v>4.4749163879598601</v>
      </c>
      <c r="E487" s="188">
        <v>7.0370370370370301</v>
      </c>
      <c r="F487" s="189">
        <v>4.4046822742474898</v>
      </c>
      <c r="G487" s="188">
        <v>7.0370370370370301</v>
      </c>
      <c r="H487" s="189">
        <v>4.0635451505016702</v>
      </c>
    </row>
    <row r="488" spans="1:8">
      <c r="A488" s="242"/>
      <c r="B488" s="243"/>
      <c r="C488" s="215">
        <v>13.981481481481399</v>
      </c>
      <c r="D488" s="215">
        <v>4.1438127090301</v>
      </c>
      <c r="E488" s="188">
        <v>13.9351851851851</v>
      </c>
      <c r="F488" s="189">
        <v>4.0133779264214002</v>
      </c>
      <c r="G488" s="188">
        <v>13.981481481481399</v>
      </c>
      <c r="H488" s="189">
        <v>3.6822742474916299</v>
      </c>
    </row>
    <row r="489" spans="1:8">
      <c r="A489" s="242"/>
      <c r="B489" s="243"/>
      <c r="C489" s="215">
        <v>20.925925925925899</v>
      </c>
      <c r="D489" s="215">
        <v>3.7826086956521698</v>
      </c>
      <c r="E489" s="188">
        <v>20.925925925925899</v>
      </c>
      <c r="F489" s="189">
        <v>3.7123745819397902</v>
      </c>
      <c r="G489" s="188">
        <v>20.925925925925899</v>
      </c>
      <c r="H489" s="189">
        <v>3.6521739130434701</v>
      </c>
    </row>
    <row r="490" spans="1:8">
      <c r="A490" s="242"/>
      <c r="B490" s="243"/>
      <c r="C490" s="215">
        <v>27.962962962962902</v>
      </c>
      <c r="D490" s="215">
        <v>3.6220735785953102</v>
      </c>
      <c r="E490" s="188">
        <v>27.962962962962902</v>
      </c>
      <c r="F490" s="189">
        <v>3.4515050167224</v>
      </c>
      <c r="G490" s="188">
        <v>28.009259259259199</v>
      </c>
      <c r="H490" s="189">
        <v>3.2107023411371198</v>
      </c>
    </row>
    <row r="491" spans="1:8">
      <c r="A491" s="242"/>
      <c r="B491" s="243"/>
      <c r="C491" s="215">
        <v>41.990740740740698</v>
      </c>
      <c r="D491" s="215">
        <v>3.4314381270903</v>
      </c>
      <c r="E491" s="188">
        <v>41.990740740740698</v>
      </c>
      <c r="F491" s="189">
        <v>3.3311036789297601</v>
      </c>
      <c r="G491" s="188">
        <v>41.990740740740698</v>
      </c>
      <c r="H491" s="189">
        <v>2.9297658862876199</v>
      </c>
    </row>
    <row r="492" spans="1:8">
      <c r="A492" s="242"/>
      <c r="B492" s="243"/>
      <c r="C492" s="211"/>
      <c r="D492" s="224"/>
      <c r="E492" s="211"/>
      <c r="F492" s="212"/>
      <c r="G492" s="211"/>
      <c r="H492" s="212"/>
    </row>
    <row r="493" spans="1:8">
      <c r="A493" s="242"/>
      <c r="B493" s="243"/>
      <c r="C493" s="179"/>
      <c r="D493" s="218"/>
      <c r="E493" s="179"/>
      <c r="F493" s="180"/>
      <c r="G493" s="179"/>
      <c r="H493" s="180"/>
    </row>
    <row r="494" spans="1:8">
      <c r="A494" s="242"/>
      <c r="B494" s="243"/>
      <c r="C494" s="179"/>
      <c r="D494" s="218"/>
      <c r="E494" s="179"/>
      <c r="F494" s="180"/>
      <c r="G494" s="179"/>
      <c r="H494" s="180"/>
    </row>
    <row r="495" spans="1:8" ht="14.5" thickBot="1">
      <c r="A495" s="244"/>
      <c r="B495" s="245"/>
      <c r="C495" s="182"/>
      <c r="D495" s="219"/>
      <c r="E495" s="182"/>
      <c r="F495" s="183"/>
      <c r="G495" s="182"/>
      <c r="H495" s="183"/>
    </row>
    <row r="497" spans="1:8">
      <c r="A497" s="246" t="s">
        <v>925</v>
      </c>
      <c r="B497" s="246"/>
      <c r="C497" s="246"/>
      <c r="D497" s="246"/>
      <c r="E497" s="246"/>
      <c r="F497" s="246"/>
      <c r="G497" s="246"/>
      <c r="H497" s="246"/>
    </row>
    <row r="499" spans="1:8" ht="14.5" thickBot="1">
      <c r="C499" s="247" t="s">
        <v>920</v>
      </c>
      <c r="D499" s="247"/>
      <c r="E499" s="248" t="s">
        <v>921</v>
      </c>
      <c r="F499" s="248"/>
      <c r="G499" s="249" t="s">
        <v>922</v>
      </c>
      <c r="H499" s="249"/>
    </row>
    <row r="500" spans="1:8">
      <c r="C500" s="137" t="s">
        <v>858</v>
      </c>
      <c r="D500" s="213" t="s">
        <v>859</v>
      </c>
      <c r="E500" s="137" t="s">
        <v>858</v>
      </c>
      <c r="F500" s="138" t="s">
        <v>859</v>
      </c>
      <c r="G500" s="137" t="s">
        <v>858</v>
      </c>
      <c r="H500" s="138" t="s">
        <v>859</v>
      </c>
    </row>
    <row r="501" spans="1:8" ht="14.5" thickBot="1">
      <c r="A501" s="250" t="s">
        <v>860</v>
      </c>
      <c r="B501" s="251"/>
      <c r="C501" s="206" t="s">
        <v>923</v>
      </c>
      <c r="D501" s="222" t="s">
        <v>924</v>
      </c>
      <c r="E501" s="206" t="s">
        <v>923</v>
      </c>
      <c r="F501" s="207" t="s">
        <v>924</v>
      </c>
      <c r="G501" s="206" t="s">
        <v>923</v>
      </c>
      <c r="H501" s="207" t="s">
        <v>924</v>
      </c>
    </row>
    <row r="502" spans="1:8">
      <c r="A502" s="149">
        <v>31</v>
      </c>
      <c r="B502" s="150"/>
      <c r="C502" s="123">
        <v>0</v>
      </c>
      <c r="D502" s="215">
        <v>9.3964110929853106</v>
      </c>
      <c r="E502" s="252">
        <v>0</v>
      </c>
      <c r="F502" s="189">
        <v>9.3637846655791108</v>
      </c>
      <c r="G502" s="252">
        <v>0</v>
      </c>
      <c r="H502" s="189">
        <v>9.3637846655791108</v>
      </c>
    </row>
    <row r="503" spans="1:8">
      <c r="A503" s="153"/>
      <c r="B503" s="154"/>
      <c r="C503" s="123">
        <v>7</v>
      </c>
      <c r="D503" s="215">
        <v>7.7487765089722602</v>
      </c>
      <c r="E503" s="252">
        <v>7</v>
      </c>
      <c r="F503" s="189">
        <v>7.4877650897226697</v>
      </c>
      <c r="G503" s="252">
        <v>7</v>
      </c>
      <c r="H503" s="189">
        <v>7.25938009787928</v>
      </c>
    </row>
    <row r="504" spans="1:8">
      <c r="A504" s="153"/>
      <c r="B504" s="154"/>
      <c r="C504" s="123">
        <v>14</v>
      </c>
      <c r="D504" s="215">
        <v>6.8841761827079901</v>
      </c>
      <c r="E504" s="252">
        <v>14</v>
      </c>
      <c r="F504" s="189">
        <v>6.6394779771614996</v>
      </c>
      <c r="G504" s="252">
        <v>14</v>
      </c>
      <c r="H504" s="189">
        <v>6.2316476345840099</v>
      </c>
    </row>
    <row r="505" spans="1:8">
      <c r="A505" s="153"/>
      <c r="B505" s="154"/>
      <c r="C505" s="123">
        <v>21</v>
      </c>
      <c r="D505" s="215">
        <v>6.1827079934747102</v>
      </c>
      <c r="E505" s="252">
        <v>21</v>
      </c>
      <c r="F505" s="189">
        <v>6.06851549755301</v>
      </c>
      <c r="G505" s="252">
        <v>21</v>
      </c>
      <c r="H505" s="189">
        <v>5.6933115823817202</v>
      </c>
    </row>
    <row r="506" spans="1:8">
      <c r="A506" s="153"/>
      <c r="B506" s="154"/>
      <c r="C506" s="123">
        <v>28</v>
      </c>
      <c r="D506" s="215">
        <v>4.8287112561174501</v>
      </c>
      <c r="E506" s="252">
        <v>28</v>
      </c>
      <c r="F506" s="189">
        <v>4.6818923327895501</v>
      </c>
      <c r="G506" s="252">
        <v>28</v>
      </c>
      <c r="H506" s="189">
        <v>3.9967373572593798</v>
      </c>
    </row>
    <row r="507" spans="1:8">
      <c r="A507" s="153"/>
      <c r="B507" s="154"/>
      <c r="C507" s="123">
        <v>42</v>
      </c>
      <c r="D507" s="215">
        <v>4.5513866231647597</v>
      </c>
      <c r="E507" s="252">
        <v>42</v>
      </c>
      <c r="F507" s="189">
        <v>4.0946166394779704</v>
      </c>
      <c r="G507" s="252">
        <v>42</v>
      </c>
      <c r="H507" s="189">
        <v>4.0946166394779704</v>
      </c>
    </row>
    <row r="508" spans="1:8">
      <c r="A508" s="153"/>
      <c r="B508" s="154"/>
      <c r="C508" s="211"/>
      <c r="D508" s="224"/>
      <c r="E508" s="211"/>
      <c r="F508" s="212"/>
      <c r="G508" s="211"/>
      <c r="H508" s="212"/>
    </row>
    <row r="509" spans="1:8">
      <c r="A509" s="153"/>
      <c r="B509" s="154"/>
      <c r="C509" s="179"/>
      <c r="D509" s="218"/>
      <c r="E509" s="179"/>
      <c r="F509" s="180"/>
      <c r="G509" s="179"/>
      <c r="H509" s="180"/>
    </row>
    <row r="510" spans="1:8">
      <c r="A510" s="153"/>
      <c r="B510" s="154"/>
      <c r="C510" s="179"/>
      <c r="D510" s="218"/>
      <c r="E510" s="179"/>
      <c r="F510" s="180"/>
      <c r="G510" s="179"/>
      <c r="H510" s="180"/>
    </row>
    <row r="511" spans="1:8" ht="14.5" thickBot="1">
      <c r="A511" s="155"/>
      <c r="B511" s="156"/>
      <c r="C511" s="182"/>
      <c r="D511" s="219"/>
      <c r="E511" s="182"/>
      <c r="F511" s="183"/>
      <c r="G511" s="182"/>
      <c r="H511" s="183"/>
    </row>
  </sheetData>
  <mergeCells count="6">
    <mergeCell ref="A481:H481"/>
    <mergeCell ref="C483:D483"/>
    <mergeCell ref="E483:F483"/>
    <mergeCell ref="G483:H483"/>
    <mergeCell ref="A485:B485"/>
    <mergeCell ref="A486:B495"/>
  </mergeCells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5B3BF-3DF0-4264-930F-E11BF56B0C57}">
  <dimension ref="A1:E15"/>
  <sheetViews>
    <sheetView workbookViewId="0">
      <selection activeCell="C17" sqref="C17"/>
    </sheetView>
  </sheetViews>
  <sheetFormatPr defaultRowHeight="14"/>
  <cols>
    <col min="1" max="1" width="8.6640625" style="38"/>
    <col min="2" max="2" width="26" style="38" customWidth="1"/>
    <col min="3" max="3" width="22.58203125" style="38" bestFit="1" customWidth="1"/>
    <col min="4" max="4" width="15.83203125" style="38" bestFit="1" customWidth="1"/>
    <col min="5" max="5" width="13.4140625" style="38" customWidth="1"/>
    <col min="6" max="16384" width="8.6640625" style="38"/>
  </cols>
  <sheetData>
    <row r="1" spans="1:5" ht="14.5" thickBot="1">
      <c r="A1" s="295" t="s">
        <v>926</v>
      </c>
      <c r="B1" s="296" t="s">
        <v>638</v>
      </c>
      <c r="C1" s="168" t="s">
        <v>927</v>
      </c>
      <c r="D1" s="168" t="s">
        <v>928</v>
      </c>
      <c r="E1" s="253" t="s">
        <v>606</v>
      </c>
    </row>
    <row r="2" spans="1:5">
      <c r="A2" s="297">
        <v>1</v>
      </c>
      <c r="B2" s="297" t="s">
        <v>1031</v>
      </c>
      <c r="C2" s="297">
        <v>0.35909999999999997</v>
      </c>
      <c r="D2" s="297">
        <v>0.01</v>
      </c>
      <c r="E2" s="297">
        <v>2013</v>
      </c>
    </row>
    <row r="3" spans="1:5">
      <c r="A3" s="297">
        <v>2</v>
      </c>
      <c r="B3" s="297" t="s">
        <v>1032</v>
      </c>
      <c r="C3" s="297">
        <v>0.36609999999999998</v>
      </c>
      <c r="D3" s="297">
        <v>0.01</v>
      </c>
      <c r="E3" s="297">
        <v>2013</v>
      </c>
    </row>
    <row r="4" spans="1:5">
      <c r="A4" s="297">
        <v>3</v>
      </c>
      <c r="B4" s="297" t="s">
        <v>1033</v>
      </c>
      <c r="C4" s="297">
        <v>0.37690000000000001</v>
      </c>
      <c r="D4" s="297">
        <v>0.01</v>
      </c>
      <c r="E4" s="297">
        <v>2013</v>
      </c>
    </row>
    <row r="5" spans="1:5">
      <c r="A5" s="297">
        <v>4</v>
      </c>
      <c r="B5" s="297" t="s">
        <v>1034</v>
      </c>
      <c r="C5" s="297">
        <v>0.38519999999999999</v>
      </c>
      <c r="D5" s="297">
        <v>0.01</v>
      </c>
      <c r="E5" s="297">
        <v>2013</v>
      </c>
    </row>
    <row r="6" spans="1:5">
      <c r="A6" s="297">
        <v>5</v>
      </c>
      <c r="B6" s="297" t="s">
        <v>1035</v>
      </c>
      <c r="C6" s="297">
        <v>0.41549999999999998</v>
      </c>
      <c r="D6" s="297">
        <v>0.01</v>
      </c>
      <c r="E6" s="297">
        <v>2013</v>
      </c>
    </row>
    <row r="7" spans="1:5">
      <c r="A7" s="297">
        <v>6</v>
      </c>
      <c r="B7" s="297" t="s">
        <v>1036</v>
      </c>
      <c r="C7" s="297">
        <v>0.41749999999999998</v>
      </c>
      <c r="D7" s="297">
        <v>0.01</v>
      </c>
      <c r="E7" s="297">
        <v>2013</v>
      </c>
    </row>
    <row r="8" spans="1:5">
      <c r="A8" s="297">
        <v>7</v>
      </c>
      <c r="B8" s="297" t="s">
        <v>1037</v>
      </c>
      <c r="C8" s="297">
        <v>0.4506</v>
      </c>
      <c r="D8" s="297">
        <v>0.01</v>
      </c>
      <c r="E8" s="297">
        <v>2013</v>
      </c>
    </row>
    <row r="9" spans="1:5">
      <c r="A9" s="297">
        <v>8</v>
      </c>
      <c r="B9" s="297" t="s">
        <v>1038</v>
      </c>
      <c r="C9" s="297">
        <v>0.46529999999999999</v>
      </c>
      <c r="D9" s="297">
        <v>0.01</v>
      </c>
      <c r="E9" s="297">
        <v>2013</v>
      </c>
    </row>
    <row r="10" spans="1:5">
      <c r="A10" s="297">
        <v>9</v>
      </c>
      <c r="B10" s="297" t="s">
        <v>1039</v>
      </c>
      <c r="C10" s="297">
        <v>0.46550000000000002</v>
      </c>
      <c r="D10" s="297">
        <v>0.01</v>
      </c>
      <c r="E10" s="297">
        <v>2013</v>
      </c>
    </row>
    <row r="11" spans="1:5">
      <c r="A11" s="297">
        <v>10</v>
      </c>
      <c r="B11" s="297" t="s">
        <v>1040</v>
      </c>
      <c r="C11" s="297">
        <v>0.48680000000000001</v>
      </c>
      <c r="D11" s="297">
        <v>0.01</v>
      </c>
      <c r="E11" s="297">
        <v>2013</v>
      </c>
    </row>
    <row r="12" spans="1:5">
      <c r="A12" s="297">
        <v>11</v>
      </c>
      <c r="B12" s="297" t="s">
        <v>1041</v>
      </c>
      <c r="C12" s="297">
        <v>0.51380000000000003</v>
      </c>
      <c r="D12" s="297">
        <v>0.01</v>
      </c>
      <c r="E12" s="297">
        <v>2013</v>
      </c>
    </row>
    <row r="13" spans="1:5">
      <c r="A13" s="297">
        <v>12</v>
      </c>
      <c r="B13" s="297" t="s">
        <v>1042</v>
      </c>
      <c r="C13" s="297">
        <v>0.55779999999999996</v>
      </c>
      <c r="D13" s="297">
        <v>0.01</v>
      </c>
      <c r="E13" s="297">
        <v>2013</v>
      </c>
    </row>
    <row r="14" spans="1:5">
      <c r="A14" s="297">
        <v>13</v>
      </c>
      <c r="B14" s="297" t="s">
        <v>1043</v>
      </c>
      <c r="C14" s="297">
        <v>0.62660000000000005</v>
      </c>
      <c r="D14" s="297">
        <v>0.01</v>
      </c>
      <c r="E14" s="297">
        <v>2013</v>
      </c>
    </row>
    <row r="15" spans="1:5">
      <c r="A15" s="297">
        <v>14</v>
      </c>
      <c r="B15" s="297" t="s">
        <v>1044</v>
      </c>
      <c r="C15" s="297">
        <v>0.65549999999999997</v>
      </c>
      <c r="D15" s="297">
        <v>0.01</v>
      </c>
      <c r="E15" s="297">
        <v>2013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FB924-B039-458F-BBA0-EC81FB067FC7}">
  <dimension ref="A1:F68"/>
  <sheetViews>
    <sheetView workbookViewId="0">
      <selection activeCell="C25" sqref="C25"/>
    </sheetView>
  </sheetViews>
  <sheetFormatPr defaultRowHeight="14"/>
  <cols>
    <col min="1" max="1" width="8.6640625" style="38"/>
    <col min="2" max="2" width="31.9140625" style="38" customWidth="1"/>
    <col min="3" max="3" width="24.9140625" style="38" customWidth="1"/>
    <col min="4" max="4" width="17.4140625" style="38" customWidth="1"/>
    <col min="5" max="5" width="8.6640625" style="38"/>
    <col min="6" max="6" width="25.08203125" style="38" customWidth="1"/>
    <col min="7" max="16384" width="8.6640625" style="38"/>
  </cols>
  <sheetData>
    <row r="1" spans="1:6" ht="14.5" thickBot="1">
      <c r="A1" s="149" t="s">
        <v>926</v>
      </c>
      <c r="B1" s="168" t="s">
        <v>607</v>
      </c>
      <c r="C1" s="168" t="s">
        <v>927</v>
      </c>
      <c r="D1" s="168" t="s">
        <v>928</v>
      </c>
      <c r="E1" s="253" t="s">
        <v>606</v>
      </c>
      <c r="F1" s="119" t="s">
        <v>929</v>
      </c>
    </row>
    <row r="2" spans="1:6">
      <c r="A2" s="149">
        <v>1</v>
      </c>
      <c r="B2" s="168" t="s">
        <v>930</v>
      </c>
      <c r="C2" s="168">
        <v>0.25</v>
      </c>
      <c r="D2" s="168">
        <v>1.69</v>
      </c>
      <c r="E2" s="150">
        <v>2003</v>
      </c>
      <c r="F2" s="254" t="s">
        <v>147</v>
      </c>
    </row>
    <row r="3" spans="1:6">
      <c r="A3" s="153">
        <v>2</v>
      </c>
      <c r="B3" s="119" t="s">
        <v>931</v>
      </c>
      <c r="C3" s="119">
        <v>0</v>
      </c>
      <c r="D3" s="119">
        <v>0</v>
      </c>
      <c r="E3" s="154">
        <v>2003</v>
      </c>
      <c r="F3" s="255" t="s">
        <v>325</v>
      </c>
    </row>
    <row r="4" spans="1:6">
      <c r="A4" s="153">
        <v>3</v>
      </c>
      <c r="B4" s="119" t="s">
        <v>932</v>
      </c>
      <c r="C4" s="119">
        <v>0</v>
      </c>
      <c r="D4" s="119">
        <v>0</v>
      </c>
      <c r="E4" s="154">
        <v>2003</v>
      </c>
      <c r="F4" s="255" t="s">
        <v>147</v>
      </c>
    </row>
    <row r="5" spans="1:6">
      <c r="A5" s="153">
        <v>4</v>
      </c>
      <c r="B5" s="119" t="s">
        <v>933</v>
      </c>
      <c r="C5" s="119">
        <v>0.08</v>
      </c>
      <c r="D5" s="119">
        <v>0.37</v>
      </c>
      <c r="E5" s="154">
        <v>2003</v>
      </c>
      <c r="F5" s="255" t="s">
        <v>147</v>
      </c>
    </row>
    <row r="6" spans="1:6">
      <c r="A6" s="153">
        <v>5</v>
      </c>
      <c r="B6" s="119" t="s">
        <v>934</v>
      </c>
      <c r="C6" s="119">
        <v>2.5000000000000001E-3</v>
      </c>
      <c r="D6" s="119">
        <v>9.4500000000000001E-2</v>
      </c>
      <c r="E6" s="154">
        <v>2003</v>
      </c>
      <c r="F6" s="255" t="s">
        <v>147</v>
      </c>
    </row>
    <row r="7" spans="1:6">
      <c r="A7" s="153">
        <v>6</v>
      </c>
      <c r="B7" s="119" t="s">
        <v>935</v>
      </c>
      <c r="C7" s="119">
        <v>3.5000000000000003E-2</v>
      </c>
      <c r="D7" s="119">
        <v>0.42800000000000005</v>
      </c>
      <c r="E7" s="154">
        <v>2003</v>
      </c>
      <c r="F7" s="255" t="s">
        <v>147</v>
      </c>
    </row>
    <row r="8" spans="1:6">
      <c r="A8" s="153">
        <v>7</v>
      </c>
      <c r="B8" s="119" t="s">
        <v>936</v>
      </c>
      <c r="C8" s="119">
        <v>8.2000000000000003E-2</v>
      </c>
      <c r="D8" s="119">
        <v>0.61299999999999999</v>
      </c>
      <c r="E8" s="154">
        <v>2003</v>
      </c>
      <c r="F8" s="255" t="s">
        <v>147</v>
      </c>
    </row>
    <row r="9" spans="1:6">
      <c r="A9" s="153">
        <v>8</v>
      </c>
      <c r="B9" s="119" t="s">
        <v>937</v>
      </c>
      <c r="C9" s="119">
        <v>7.0000000000000007E-2</v>
      </c>
      <c r="D9" s="119">
        <v>0.3</v>
      </c>
      <c r="E9" s="154">
        <v>2003</v>
      </c>
      <c r="F9" s="255" t="s">
        <v>147</v>
      </c>
    </row>
    <row r="10" spans="1:6">
      <c r="A10" s="153">
        <v>9</v>
      </c>
      <c r="B10" s="119" t="s">
        <v>938</v>
      </c>
      <c r="C10" s="119">
        <v>0.1</v>
      </c>
      <c r="D10" s="119">
        <v>0.66</v>
      </c>
      <c r="E10" s="154">
        <v>2003</v>
      </c>
      <c r="F10" s="255" t="s">
        <v>147</v>
      </c>
    </row>
    <row r="11" spans="1:6">
      <c r="A11" s="153">
        <v>10</v>
      </c>
      <c r="B11" s="119" t="s">
        <v>939</v>
      </c>
      <c r="C11" s="119">
        <v>0</v>
      </c>
      <c r="D11" s="119">
        <v>0</v>
      </c>
      <c r="E11" s="154">
        <v>2003</v>
      </c>
      <c r="F11" s="255" t="s">
        <v>325</v>
      </c>
    </row>
    <row r="12" spans="1:6">
      <c r="A12" s="153">
        <v>11</v>
      </c>
      <c r="B12" s="119" t="s">
        <v>940</v>
      </c>
      <c r="C12" s="119">
        <v>0</v>
      </c>
      <c r="D12" s="119">
        <v>0</v>
      </c>
      <c r="E12" s="154">
        <v>2003</v>
      </c>
      <c r="F12" s="255" t="s">
        <v>325</v>
      </c>
    </row>
    <row r="13" spans="1:6">
      <c r="A13" s="153">
        <v>12</v>
      </c>
      <c r="B13" s="119" t="s">
        <v>941</v>
      </c>
      <c r="C13" s="119">
        <v>0</v>
      </c>
      <c r="D13" s="119">
        <v>0</v>
      </c>
      <c r="E13" s="154">
        <v>2003</v>
      </c>
      <c r="F13" s="255" t="s">
        <v>325</v>
      </c>
    </row>
    <row r="14" spans="1:6">
      <c r="A14" s="153">
        <v>13</v>
      </c>
      <c r="B14" s="119" t="s">
        <v>942</v>
      </c>
      <c r="C14" s="119">
        <v>0</v>
      </c>
      <c r="D14" s="119">
        <v>0</v>
      </c>
      <c r="E14" s="154">
        <v>2003</v>
      </c>
      <c r="F14" s="255" t="s">
        <v>325</v>
      </c>
    </row>
    <row r="15" spans="1:6" ht="14.5" thickBot="1">
      <c r="A15" s="155">
        <v>14</v>
      </c>
      <c r="B15" s="171" t="s">
        <v>943</v>
      </c>
      <c r="C15" s="171">
        <v>0</v>
      </c>
      <c r="D15" s="171">
        <v>0</v>
      </c>
      <c r="E15" s="156">
        <v>2003</v>
      </c>
      <c r="F15" s="256" t="s">
        <v>325</v>
      </c>
    </row>
    <row r="16" spans="1:6">
      <c r="A16" s="149">
        <v>1</v>
      </c>
      <c r="B16" s="168" t="s">
        <v>944</v>
      </c>
      <c r="C16" s="168">
        <v>7.62E-3</v>
      </c>
      <c r="D16" s="168">
        <v>1.018E-2</v>
      </c>
      <c r="E16" s="150">
        <v>2013</v>
      </c>
      <c r="F16" s="254" t="s">
        <v>325</v>
      </c>
    </row>
    <row r="17" spans="1:6">
      <c r="A17" s="153">
        <v>2</v>
      </c>
      <c r="B17" s="119" t="s">
        <v>945</v>
      </c>
      <c r="C17" s="119">
        <v>1.73E-3</v>
      </c>
      <c r="D17" s="119">
        <v>7.7799999999999996E-3</v>
      </c>
      <c r="E17" s="154">
        <v>2013</v>
      </c>
      <c r="F17" s="255" t="s">
        <v>147</v>
      </c>
    </row>
    <row r="18" spans="1:6">
      <c r="A18" s="153">
        <v>3</v>
      </c>
      <c r="B18" s="119" t="s">
        <v>946</v>
      </c>
      <c r="C18" s="119">
        <v>3.64E-3</v>
      </c>
      <c r="D18" s="119">
        <v>0.12336</v>
      </c>
      <c r="E18" s="154">
        <v>2013</v>
      </c>
      <c r="F18" s="255" t="s">
        <v>147</v>
      </c>
    </row>
    <row r="19" spans="1:6" ht="14.5" thickBot="1">
      <c r="A19" s="155">
        <v>4</v>
      </c>
      <c r="B19" s="171" t="s">
        <v>947</v>
      </c>
      <c r="C19" s="171">
        <v>4.4099999999999999E-3</v>
      </c>
      <c r="D19" s="171">
        <v>2.419E-2</v>
      </c>
      <c r="E19" s="156">
        <v>2013</v>
      </c>
      <c r="F19" s="256" t="s">
        <v>147</v>
      </c>
    </row>
    <row r="20" spans="1:6" ht="15" thickBot="1">
      <c r="A20" s="153">
        <v>1</v>
      </c>
      <c r="B20" s="257" t="s">
        <v>948</v>
      </c>
      <c r="C20" s="119">
        <v>0</v>
      </c>
      <c r="D20" s="119">
        <v>0</v>
      </c>
      <c r="E20" s="154">
        <v>2013</v>
      </c>
      <c r="F20" s="255" t="s">
        <v>325</v>
      </c>
    </row>
    <row r="21" spans="1:6" ht="14.5">
      <c r="A21" s="153">
        <v>2</v>
      </c>
      <c r="B21" s="258" t="s">
        <v>949</v>
      </c>
      <c r="C21" s="119">
        <v>0</v>
      </c>
      <c r="D21" s="119">
        <v>0</v>
      </c>
      <c r="E21" s="154">
        <v>2013</v>
      </c>
      <c r="F21" s="255" t="s">
        <v>325</v>
      </c>
    </row>
    <row r="22" spans="1:6" ht="14.5">
      <c r="A22" s="153">
        <v>3</v>
      </c>
      <c r="B22" s="259" t="s">
        <v>950</v>
      </c>
      <c r="C22" s="119">
        <v>0</v>
      </c>
      <c r="D22" s="119">
        <v>0</v>
      </c>
      <c r="E22" s="154">
        <v>2013</v>
      </c>
      <c r="F22" s="255" t="s">
        <v>325</v>
      </c>
    </row>
    <row r="23" spans="1:6" ht="14.5">
      <c r="A23" s="153">
        <v>4</v>
      </c>
      <c r="B23" s="259" t="s">
        <v>951</v>
      </c>
      <c r="C23" s="119">
        <v>0</v>
      </c>
      <c r="D23" s="119">
        <v>0</v>
      </c>
      <c r="E23" s="154">
        <v>2013</v>
      </c>
      <c r="F23" s="255" t="s">
        <v>325</v>
      </c>
    </row>
    <row r="24" spans="1:6" ht="14.5">
      <c r="A24" s="153">
        <v>5</v>
      </c>
      <c r="B24" s="259" t="s">
        <v>952</v>
      </c>
      <c r="C24" s="119">
        <v>0</v>
      </c>
      <c r="D24" s="119">
        <v>0</v>
      </c>
      <c r="E24" s="154">
        <v>2013</v>
      </c>
      <c r="F24" s="255" t="s">
        <v>325</v>
      </c>
    </row>
    <row r="25" spans="1:6" ht="14.5">
      <c r="A25" s="153">
        <v>6</v>
      </c>
      <c r="B25" s="259" t="s">
        <v>953</v>
      </c>
      <c r="C25" s="119">
        <v>0</v>
      </c>
      <c r="D25" s="119">
        <v>0</v>
      </c>
      <c r="E25" s="154">
        <v>2013</v>
      </c>
      <c r="F25" s="255" t="s">
        <v>325</v>
      </c>
    </row>
    <row r="26" spans="1:6" ht="14.5">
      <c r="A26" s="153">
        <v>7</v>
      </c>
      <c r="B26" s="260" t="s">
        <v>954</v>
      </c>
      <c r="C26" s="119">
        <v>0</v>
      </c>
      <c r="D26" s="119">
        <v>0</v>
      </c>
      <c r="E26" s="154">
        <v>2013</v>
      </c>
      <c r="F26" s="255" t="s">
        <v>325</v>
      </c>
    </row>
    <row r="27" spans="1:6" ht="14.5">
      <c r="A27" s="153">
        <v>8</v>
      </c>
      <c r="B27" s="259" t="s">
        <v>955</v>
      </c>
      <c r="C27" s="119">
        <v>0</v>
      </c>
      <c r="D27" s="119">
        <v>0</v>
      </c>
      <c r="E27" s="154">
        <v>2013</v>
      </c>
      <c r="F27" s="255" t="s">
        <v>325</v>
      </c>
    </row>
    <row r="28" spans="1:6" ht="14.5">
      <c r="A28" s="153">
        <v>9</v>
      </c>
      <c r="B28" s="260" t="s">
        <v>956</v>
      </c>
      <c r="C28" s="119">
        <v>0</v>
      </c>
      <c r="D28" s="119">
        <v>0</v>
      </c>
      <c r="E28" s="154">
        <v>2013</v>
      </c>
      <c r="F28" s="255" t="s">
        <v>325</v>
      </c>
    </row>
    <row r="29" spans="1:6" ht="14.5">
      <c r="A29" s="153">
        <v>10</v>
      </c>
      <c r="B29" s="259" t="s">
        <v>957</v>
      </c>
      <c r="C29" s="119">
        <v>0</v>
      </c>
      <c r="D29" s="119">
        <v>0</v>
      </c>
      <c r="E29" s="154">
        <v>2013</v>
      </c>
      <c r="F29" s="255" t="s">
        <v>325</v>
      </c>
    </row>
    <row r="30" spans="1:6" ht="14.5">
      <c r="A30" s="153">
        <v>11</v>
      </c>
      <c r="B30" s="260" t="s">
        <v>958</v>
      </c>
      <c r="C30" s="119">
        <v>0</v>
      </c>
      <c r="D30" s="119">
        <v>0</v>
      </c>
      <c r="E30" s="154">
        <v>2013</v>
      </c>
      <c r="F30" s="255" t="s">
        <v>325</v>
      </c>
    </row>
    <row r="31" spans="1:6" ht="14.5">
      <c r="A31" s="153">
        <v>12</v>
      </c>
      <c r="B31" s="260" t="s">
        <v>959</v>
      </c>
      <c r="C31" s="119">
        <v>0</v>
      </c>
      <c r="D31" s="119">
        <v>0</v>
      </c>
      <c r="E31" s="154">
        <v>2013</v>
      </c>
      <c r="F31" s="255" t="s">
        <v>325</v>
      </c>
    </row>
    <row r="32" spans="1:6" ht="14.5">
      <c r="A32" s="153">
        <v>13</v>
      </c>
      <c r="B32" s="259" t="s">
        <v>960</v>
      </c>
      <c r="C32" s="119">
        <v>0</v>
      </c>
      <c r="D32" s="119">
        <v>0</v>
      </c>
      <c r="E32" s="154">
        <v>2013</v>
      </c>
      <c r="F32" s="255" t="s">
        <v>325</v>
      </c>
    </row>
    <row r="33" spans="1:6" ht="14.5">
      <c r="A33" s="153">
        <v>14</v>
      </c>
      <c r="B33" s="259" t="s">
        <v>961</v>
      </c>
      <c r="C33" s="119">
        <v>0</v>
      </c>
      <c r="D33" s="119">
        <v>0</v>
      </c>
      <c r="E33" s="154">
        <v>2013</v>
      </c>
      <c r="F33" s="255" t="s">
        <v>325</v>
      </c>
    </row>
    <row r="34" spans="1:6" ht="14.5">
      <c r="A34" s="153">
        <v>15</v>
      </c>
      <c r="B34" s="260" t="s">
        <v>962</v>
      </c>
      <c r="C34" s="119">
        <v>0</v>
      </c>
      <c r="D34" s="119">
        <v>0</v>
      </c>
      <c r="E34" s="154">
        <v>2013</v>
      </c>
      <c r="F34" s="255" t="s">
        <v>325</v>
      </c>
    </row>
    <row r="35" spans="1:6" ht="14.5">
      <c r="A35" s="153">
        <v>16</v>
      </c>
      <c r="B35" s="260" t="s">
        <v>963</v>
      </c>
      <c r="C35" s="119">
        <v>0</v>
      </c>
      <c r="D35" s="119">
        <v>0</v>
      </c>
      <c r="E35" s="154">
        <v>2013</v>
      </c>
      <c r="F35" s="255" t="s">
        <v>325</v>
      </c>
    </row>
    <row r="36" spans="1:6" ht="14.5">
      <c r="A36" s="153">
        <v>17</v>
      </c>
      <c r="B36" s="260" t="s">
        <v>964</v>
      </c>
      <c r="C36" s="119">
        <v>0</v>
      </c>
      <c r="D36" s="119">
        <v>0</v>
      </c>
      <c r="E36" s="154">
        <v>2013</v>
      </c>
      <c r="F36" s="255" t="s">
        <v>325</v>
      </c>
    </row>
    <row r="37" spans="1:6" ht="14.5">
      <c r="A37" s="153">
        <v>18</v>
      </c>
      <c r="B37" s="259" t="s">
        <v>965</v>
      </c>
      <c r="C37" s="119">
        <v>0</v>
      </c>
      <c r="D37" s="119">
        <v>0</v>
      </c>
      <c r="E37" s="154">
        <v>2013</v>
      </c>
      <c r="F37" s="255" t="s">
        <v>325</v>
      </c>
    </row>
    <row r="38" spans="1:6" ht="14.5">
      <c r="A38" s="153">
        <v>19</v>
      </c>
      <c r="B38" s="259" t="s">
        <v>966</v>
      </c>
      <c r="C38" s="119">
        <v>0</v>
      </c>
      <c r="D38" s="119">
        <v>0</v>
      </c>
      <c r="E38" s="154">
        <v>2013</v>
      </c>
      <c r="F38" s="255" t="s">
        <v>325</v>
      </c>
    </row>
    <row r="39" spans="1:6" ht="14.5">
      <c r="A39" s="153">
        <v>20</v>
      </c>
      <c r="B39" s="259" t="s">
        <v>967</v>
      </c>
      <c r="C39" s="119">
        <v>0</v>
      </c>
      <c r="D39" s="119">
        <v>0</v>
      </c>
      <c r="E39" s="154">
        <v>2013</v>
      </c>
      <c r="F39" s="255" t="s">
        <v>325</v>
      </c>
    </row>
    <row r="40" spans="1:6" ht="14.5">
      <c r="A40" s="153">
        <v>21</v>
      </c>
      <c r="B40" s="259" t="s">
        <v>968</v>
      </c>
      <c r="C40" s="119">
        <v>0</v>
      </c>
      <c r="D40" s="119">
        <v>0</v>
      </c>
      <c r="E40" s="154">
        <v>2013</v>
      </c>
      <c r="F40" s="255" t="s">
        <v>325</v>
      </c>
    </row>
    <row r="41" spans="1:6" ht="14.5">
      <c r="A41" s="153">
        <v>22</v>
      </c>
      <c r="B41" s="261" t="s">
        <v>969</v>
      </c>
      <c r="C41" s="119">
        <v>0</v>
      </c>
      <c r="D41" s="119">
        <v>0</v>
      </c>
      <c r="E41" s="154">
        <v>2013</v>
      </c>
      <c r="F41" s="255" t="s">
        <v>325</v>
      </c>
    </row>
    <row r="42" spans="1:6" ht="14.5">
      <c r="A42" s="153">
        <v>23</v>
      </c>
      <c r="B42" s="261" t="s">
        <v>970</v>
      </c>
      <c r="C42" s="119">
        <v>0</v>
      </c>
      <c r="D42" s="119">
        <v>0</v>
      </c>
      <c r="E42" s="154">
        <v>2013</v>
      </c>
      <c r="F42" s="255" t="s">
        <v>325</v>
      </c>
    </row>
    <row r="43" spans="1:6" ht="14.5">
      <c r="A43" s="153">
        <v>24</v>
      </c>
      <c r="B43" s="261" t="s">
        <v>971</v>
      </c>
      <c r="C43" s="119">
        <v>0</v>
      </c>
      <c r="D43" s="119">
        <v>0</v>
      </c>
      <c r="E43" s="154">
        <v>2013</v>
      </c>
      <c r="F43" s="255" t="s">
        <v>325</v>
      </c>
    </row>
    <row r="44" spans="1:6" ht="14.5">
      <c r="A44" s="153">
        <v>25</v>
      </c>
      <c r="B44" s="260" t="s">
        <v>972</v>
      </c>
      <c r="C44" s="119">
        <v>0</v>
      </c>
      <c r="D44" s="119">
        <v>0</v>
      </c>
      <c r="E44" s="154">
        <v>2013</v>
      </c>
      <c r="F44" s="255" t="s">
        <v>325</v>
      </c>
    </row>
    <row r="45" spans="1:6" ht="14.5">
      <c r="A45" s="153">
        <v>26</v>
      </c>
      <c r="B45" s="260" t="s">
        <v>973</v>
      </c>
      <c r="C45" s="119">
        <v>0</v>
      </c>
      <c r="D45" s="119">
        <v>0</v>
      </c>
      <c r="E45" s="154">
        <v>2013</v>
      </c>
      <c r="F45" s="255" t="s">
        <v>325</v>
      </c>
    </row>
    <row r="46" spans="1:6" ht="14.5">
      <c r="A46" s="153">
        <v>27</v>
      </c>
      <c r="B46" s="260" t="s">
        <v>974</v>
      </c>
      <c r="C46" s="119">
        <v>0</v>
      </c>
      <c r="D46" s="119">
        <v>0</v>
      </c>
      <c r="E46" s="154">
        <v>2013</v>
      </c>
      <c r="F46" s="255" t="s">
        <v>325</v>
      </c>
    </row>
    <row r="47" spans="1:6" ht="14.5">
      <c r="A47" s="153">
        <v>28</v>
      </c>
      <c r="B47" s="260" t="s">
        <v>975</v>
      </c>
      <c r="C47" s="119">
        <v>0</v>
      </c>
      <c r="D47" s="119">
        <v>0</v>
      </c>
      <c r="E47" s="154">
        <v>2013</v>
      </c>
      <c r="F47" s="255" t="s">
        <v>325</v>
      </c>
    </row>
    <row r="48" spans="1:6" ht="14.5">
      <c r="A48" s="153">
        <v>29</v>
      </c>
      <c r="B48" s="260" t="s">
        <v>976</v>
      </c>
      <c r="C48" s="119">
        <v>0</v>
      </c>
      <c r="D48" s="119">
        <v>0</v>
      </c>
      <c r="E48" s="154">
        <v>2013</v>
      </c>
      <c r="F48" s="255" t="s">
        <v>325</v>
      </c>
    </row>
    <row r="49" spans="1:6" ht="14.5">
      <c r="A49" s="153">
        <v>30</v>
      </c>
      <c r="B49" s="260" t="s">
        <v>977</v>
      </c>
      <c r="C49" s="119">
        <v>0</v>
      </c>
      <c r="D49" s="119">
        <v>0</v>
      </c>
      <c r="E49" s="154">
        <v>2013</v>
      </c>
      <c r="F49" s="255" t="s">
        <v>325</v>
      </c>
    </row>
    <row r="50" spans="1:6" ht="14.5">
      <c r="A50" s="153">
        <v>31</v>
      </c>
      <c r="B50" s="260" t="s">
        <v>978</v>
      </c>
      <c r="C50" s="119">
        <v>0</v>
      </c>
      <c r="D50" s="119">
        <v>0</v>
      </c>
      <c r="E50" s="154">
        <v>2013</v>
      </c>
      <c r="F50" s="255" t="s">
        <v>325</v>
      </c>
    </row>
    <row r="51" spans="1:6" ht="14.5">
      <c r="A51" s="153">
        <v>32</v>
      </c>
      <c r="B51" s="259" t="s">
        <v>979</v>
      </c>
      <c r="C51" s="119">
        <v>0</v>
      </c>
      <c r="D51" s="119">
        <v>0</v>
      </c>
      <c r="E51" s="154">
        <v>2013</v>
      </c>
      <c r="F51" s="255" t="s">
        <v>325</v>
      </c>
    </row>
    <row r="52" spans="1:6" ht="14.5">
      <c r="A52" s="153">
        <v>33</v>
      </c>
      <c r="B52" s="259" t="s">
        <v>980</v>
      </c>
      <c r="C52" s="119">
        <v>0</v>
      </c>
      <c r="D52" s="119">
        <v>0</v>
      </c>
      <c r="E52" s="154">
        <v>2013</v>
      </c>
      <c r="F52" s="255" t="s">
        <v>325</v>
      </c>
    </row>
    <row r="53" spans="1:6" ht="14.5">
      <c r="A53" s="153">
        <v>34</v>
      </c>
      <c r="B53" s="259" t="s">
        <v>981</v>
      </c>
      <c r="C53" s="119">
        <v>0</v>
      </c>
      <c r="D53" s="119">
        <v>0</v>
      </c>
      <c r="E53" s="154">
        <v>2013</v>
      </c>
      <c r="F53" s="255" t="s">
        <v>325</v>
      </c>
    </row>
    <row r="54" spans="1:6" ht="14.5">
      <c r="A54" s="153">
        <v>35</v>
      </c>
      <c r="B54" s="259" t="s">
        <v>982</v>
      </c>
      <c r="C54" s="119">
        <v>0</v>
      </c>
      <c r="D54" s="119">
        <v>0</v>
      </c>
      <c r="E54" s="154">
        <v>2013</v>
      </c>
      <c r="F54" s="255" t="s">
        <v>325</v>
      </c>
    </row>
    <row r="55" spans="1:6" ht="14.5">
      <c r="A55" s="153">
        <v>36</v>
      </c>
      <c r="B55" s="259" t="s">
        <v>983</v>
      </c>
      <c r="C55" s="119">
        <v>0</v>
      </c>
      <c r="D55" s="119">
        <v>0</v>
      </c>
      <c r="E55" s="154">
        <v>2013</v>
      </c>
      <c r="F55" s="255" t="s">
        <v>325</v>
      </c>
    </row>
    <row r="56" spans="1:6" ht="14.5">
      <c r="A56" s="153">
        <v>37</v>
      </c>
      <c r="B56" s="261" t="s">
        <v>984</v>
      </c>
      <c r="C56" s="119">
        <v>0</v>
      </c>
      <c r="D56" s="119">
        <v>0</v>
      </c>
      <c r="E56" s="154">
        <v>2013</v>
      </c>
      <c r="F56" s="255" t="s">
        <v>325</v>
      </c>
    </row>
    <row r="57" spans="1:6" ht="14.5">
      <c r="A57" s="153">
        <v>38</v>
      </c>
      <c r="B57" s="261" t="s">
        <v>985</v>
      </c>
      <c r="C57" s="119">
        <v>0</v>
      </c>
      <c r="D57" s="119">
        <v>0</v>
      </c>
      <c r="E57" s="154">
        <v>2013</v>
      </c>
      <c r="F57" s="255" t="s">
        <v>325</v>
      </c>
    </row>
    <row r="58" spans="1:6" ht="14.5">
      <c r="A58" s="153">
        <v>39</v>
      </c>
      <c r="B58" s="260" t="s">
        <v>986</v>
      </c>
      <c r="C58" s="119">
        <v>0</v>
      </c>
      <c r="D58" s="119">
        <v>0</v>
      </c>
      <c r="E58" s="154">
        <v>2013</v>
      </c>
      <c r="F58" s="255" t="s">
        <v>325</v>
      </c>
    </row>
    <row r="59" spans="1:6" ht="14.5">
      <c r="A59" s="153">
        <v>40</v>
      </c>
      <c r="B59" s="261" t="s">
        <v>987</v>
      </c>
      <c r="C59" s="119">
        <v>0</v>
      </c>
      <c r="D59" s="119">
        <v>0</v>
      </c>
      <c r="E59" s="154">
        <v>2013</v>
      </c>
      <c r="F59" s="255" t="s">
        <v>325</v>
      </c>
    </row>
    <row r="60" spans="1:6" ht="14.5">
      <c r="A60" s="153">
        <v>41</v>
      </c>
      <c r="B60" s="261" t="s">
        <v>988</v>
      </c>
      <c r="C60" s="119">
        <v>0</v>
      </c>
      <c r="D60" s="119">
        <v>0</v>
      </c>
      <c r="E60" s="154">
        <v>2013</v>
      </c>
      <c r="F60" s="255" t="s">
        <v>325</v>
      </c>
    </row>
    <row r="61" spans="1:6" ht="14.5">
      <c r="A61" s="153">
        <v>42</v>
      </c>
      <c r="B61" s="261" t="s">
        <v>989</v>
      </c>
      <c r="C61" s="119">
        <v>0</v>
      </c>
      <c r="D61" s="119">
        <v>0</v>
      </c>
      <c r="E61" s="154">
        <v>2013</v>
      </c>
      <c r="F61" s="255" t="s">
        <v>325</v>
      </c>
    </row>
    <row r="62" spans="1:6" ht="14.5">
      <c r="A62" s="153">
        <v>43</v>
      </c>
      <c r="B62" s="261" t="s">
        <v>990</v>
      </c>
      <c r="C62" s="119">
        <v>0</v>
      </c>
      <c r="D62" s="119">
        <v>0</v>
      </c>
      <c r="E62" s="154">
        <v>2013</v>
      </c>
      <c r="F62" s="255" t="s">
        <v>325</v>
      </c>
    </row>
    <row r="63" spans="1:6" ht="14.5">
      <c r="A63" s="153">
        <v>44</v>
      </c>
      <c r="B63" s="262" t="s">
        <v>991</v>
      </c>
      <c r="C63" s="263">
        <v>8.0000000000000004E-4</v>
      </c>
      <c r="D63" s="263">
        <v>0.13</v>
      </c>
      <c r="E63" s="264">
        <v>2013</v>
      </c>
      <c r="F63" s="265" t="s">
        <v>147</v>
      </c>
    </row>
    <row r="64" spans="1:6" ht="14.5">
      <c r="A64" s="153">
        <v>45</v>
      </c>
      <c r="B64" s="262" t="s">
        <v>992</v>
      </c>
      <c r="C64" s="263">
        <v>8.0000000000000004E-4</v>
      </c>
      <c r="D64" s="263">
        <v>0.13</v>
      </c>
      <c r="E64" s="264">
        <v>2013</v>
      </c>
      <c r="F64" s="265" t="s">
        <v>147</v>
      </c>
    </row>
    <row r="65" spans="1:6" ht="14.5">
      <c r="A65" s="153">
        <v>46</v>
      </c>
      <c r="B65" s="262" t="s">
        <v>993</v>
      </c>
      <c r="C65" s="263">
        <v>8.0000000000000004E-4</v>
      </c>
      <c r="D65" s="263">
        <v>0.13</v>
      </c>
      <c r="E65" s="264">
        <v>2013</v>
      </c>
      <c r="F65" s="265" t="s">
        <v>147</v>
      </c>
    </row>
    <row r="66" spans="1:6" ht="14.5">
      <c r="A66" s="153">
        <v>47</v>
      </c>
      <c r="B66" s="260" t="s">
        <v>994</v>
      </c>
      <c r="C66" s="119">
        <v>0</v>
      </c>
      <c r="D66" s="119">
        <v>0</v>
      </c>
      <c r="E66" s="154">
        <v>2013</v>
      </c>
      <c r="F66" s="255" t="s">
        <v>325</v>
      </c>
    </row>
    <row r="67" spans="1:6" ht="14.5">
      <c r="A67" s="153">
        <v>48</v>
      </c>
      <c r="B67" s="259" t="s">
        <v>995</v>
      </c>
      <c r="C67" s="119">
        <v>0</v>
      </c>
      <c r="D67" s="119">
        <v>0</v>
      </c>
      <c r="E67" s="154">
        <v>2013</v>
      </c>
      <c r="F67" s="255" t="s">
        <v>325</v>
      </c>
    </row>
    <row r="68" spans="1:6" ht="15" thickBot="1">
      <c r="A68" s="153">
        <v>49</v>
      </c>
      <c r="B68" s="257" t="s">
        <v>996</v>
      </c>
      <c r="C68" s="119">
        <v>0</v>
      </c>
      <c r="D68" s="119">
        <v>0</v>
      </c>
      <c r="E68" s="154">
        <v>2013</v>
      </c>
      <c r="F68" s="255" t="s">
        <v>325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94E-48B6-4F42-B64B-2C76ABA31680}">
  <dimension ref="B1:G15"/>
  <sheetViews>
    <sheetView zoomScale="130" zoomScaleNormal="130" workbookViewId="0">
      <selection activeCell="D17" sqref="D17"/>
    </sheetView>
  </sheetViews>
  <sheetFormatPr defaultRowHeight="14"/>
  <cols>
    <col min="1" max="3" width="8.6640625" style="38"/>
    <col min="4" max="4" width="37.4140625" style="38" customWidth="1"/>
    <col min="5" max="5" width="27.08203125" style="38" bestFit="1" customWidth="1"/>
    <col min="6" max="6" width="11.33203125" style="38" bestFit="1" customWidth="1"/>
    <col min="7" max="7" width="14.83203125" style="38" bestFit="1" customWidth="1"/>
    <col min="8" max="16384" width="8.6640625" style="38"/>
  </cols>
  <sheetData>
    <row r="1" spans="2:7" ht="14.5" thickBot="1">
      <c r="B1" s="187" t="s">
        <v>606</v>
      </c>
      <c r="C1" s="187" t="s">
        <v>997</v>
      </c>
      <c r="D1" s="187" t="s">
        <v>998</v>
      </c>
      <c r="E1" s="187" t="s">
        <v>999</v>
      </c>
      <c r="F1" s="266" t="s">
        <v>1000</v>
      </c>
      <c r="G1" s="267" t="s">
        <v>1001</v>
      </c>
    </row>
    <row r="2" spans="2:7" ht="14.5">
      <c r="B2" s="268">
        <v>2003</v>
      </c>
      <c r="C2" s="269">
        <v>1</v>
      </c>
      <c r="D2" s="270" t="s">
        <v>1002</v>
      </c>
      <c r="E2" s="269"/>
      <c r="F2" s="271">
        <v>0.53333333333333333</v>
      </c>
      <c r="G2" s="272">
        <v>0.46666666666666667</v>
      </c>
    </row>
    <row r="3" spans="2:7" ht="14.5">
      <c r="B3" s="273">
        <v>2003</v>
      </c>
      <c r="C3" s="274">
        <v>2</v>
      </c>
      <c r="D3" s="275" t="s">
        <v>1003</v>
      </c>
      <c r="E3" s="274"/>
      <c r="F3" s="276">
        <v>1</v>
      </c>
      <c r="G3" s="277">
        <v>0</v>
      </c>
    </row>
    <row r="4" spans="2:7" ht="14.5">
      <c r="B4" s="273">
        <v>2003</v>
      </c>
      <c r="C4" s="274">
        <v>3</v>
      </c>
      <c r="D4" s="275" t="s">
        <v>1004</v>
      </c>
      <c r="E4" s="274"/>
      <c r="F4" s="276">
        <v>1</v>
      </c>
      <c r="G4" s="277">
        <v>0</v>
      </c>
    </row>
    <row r="5" spans="2:7" ht="14.5">
      <c r="B5" s="273">
        <v>2003</v>
      </c>
      <c r="C5" s="274">
        <v>4</v>
      </c>
      <c r="D5" s="275" t="s">
        <v>1005</v>
      </c>
      <c r="E5" s="274"/>
      <c r="F5" s="276">
        <v>0.33333333333333331</v>
      </c>
      <c r="G5" s="278">
        <v>0.66666666666666674</v>
      </c>
    </row>
    <row r="6" spans="2:7" ht="14.5">
      <c r="B6" s="273">
        <v>2003</v>
      </c>
      <c r="C6" s="274">
        <v>5</v>
      </c>
      <c r="D6" s="275" t="s">
        <v>1006</v>
      </c>
      <c r="E6" s="274"/>
      <c r="F6" s="276">
        <v>0.13333333333333333</v>
      </c>
      <c r="G6" s="278">
        <v>0.8666666666666667</v>
      </c>
    </row>
    <row r="7" spans="2:7" ht="14.5">
      <c r="B7" s="273">
        <v>2003</v>
      </c>
      <c r="C7" s="274">
        <v>6</v>
      </c>
      <c r="D7" s="275" t="s">
        <v>1007</v>
      </c>
      <c r="E7" s="274"/>
      <c r="F7" s="276">
        <v>0.33333333333333331</v>
      </c>
      <c r="G7" s="278">
        <v>0.66666666666666674</v>
      </c>
    </row>
    <row r="8" spans="2:7" ht="14.5">
      <c r="B8" s="273">
        <v>2003</v>
      </c>
      <c r="C8" s="274">
        <v>7</v>
      </c>
      <c r="D8" s="275" t="s">
        <v>1008</v>
      </c>
      <c r="E8" s="274"/>
      <c r="F8" s="276">
        <v>0.33333333333333331</v>
      </c>
      <c r="G8" s="278">
        <v>0.66666666666666674</v>
      </c>
    </row>
    <row r="9" spans="2:7" ht="14.5">
      <c r="B9" s="273">
        <v>2003</v>
      </c>
      <c r="C9" s="274">
        <v>8</v>
      </c>
      <c r="D9" s="275" t="s">
        <v>1009</v>
      </c>
      <c r="E9" s="274"/>
      <c r="F9" s="276">
        <v>0</v>
      </c>
      <c r="G9" s="278">
        <v>1</v>
      </c>
    </row>
    <row r="10" spans="2:7" ht="14.5">
      <c r="B10" s="273">
        <v>2003</v>
      </c>
      <c r="C10" s="274">
        <v>9</v>
      </c>
      <c r="D10" s="275" t="s">
        <v>1010</v>
      </c>
      <c r="E10" s="274"/>
      <c r="F10" s="276">
        <v>0.26666666666666666</v>
      </c>
      <c r="G10" s="278">
        <v>0.73333333333333339</v>
      </c>
    </row>
    <row r="11" spans="2:7" ht="14.5">
      <c r="B11" s="273">
        <v>2003</v>
      </c>
      <c r="C11" s="274">
        <v>10</v>
      </c>
      <c r="D11" s="275" t="s">
        <v>1011</v>
      </c>
      <c r="E11" s="274"/>
      <c r="F11" s="276">
        <v>1</v>
      </c>
      <c r="G11" s="277">
        <v>0</v>
      </c>
    </row>
    <row r="12" spans="2:7" ht="14.5">
      <c r="B12" s="273">
        <v>2003</v>
      </c>
      <c r="C12" s="274">
        <v>11</v>
      </c>
      <c r="D12" s="275" t="s">
        <v>1012</v>
      </c>
      <c r="E12" s="274"/>
      <c r="F12" s="276">
        <v>1</v>
      </c>
      <c r="G12" s="277">
        <v>0</v>
      </c>
    </row>
    <row r="13" spans="2:7" ht="14.5">
      <c r="B13" s="273">
        <v>2003</v>
      </c>
      <c r="C13" s="274">
        <v>12</v>
      </c>
      <c r="D13" s="275" t="s">
        <v>1013</v>
      </c>
      <c r="E13" s="274"/>
      <c r="F13" s="276">
        <v>1</v>
      </c>
      <c r="G13" s="277">
        <v>0</v>
      </c>
    </row>
    <row r="14" spans="2:7" ht="14.5">
      <c r="B14" s="273">
        <v>2003</v>
      </c>
      <c r="C14" s="274">
        <v>13</v>
      </c>
      <c r="D14" s="275" t="s">
        <v>1014</v>
      </c>
      <c r="E14" s="274"/>
      <c r="F14" s="276">
        <v>1</v>
      </c>
      <c r="G14" s="277">
        <v>0</v>
      </c>
    </row>
    <row r="15" spans="2:7" ht="15" thickBot="1">
      <c r="B15" s="279">
        <v>2003</v>
      </c>
      <c r="C15" s="280">
        <v>14</v>
      </c>
      <c r="D15" s="281" t="s">
        <v>1015</v>
      </c>
      <c r="E15" s="280"/>
      <c r="F15" s="282">
        <v>1</v>
      </c>
      <c r="G15" s="283">
        <v>0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7B9D-0E32-4480-BF91-9614C4BB8445}">
  <dimension ref="B1:G5"/>
  <sheetViews>
    <sheetView zoomScale="130" zoomScaleNormal="130" workbookViewId="0">
      <selection activeCell="B5" sqref="B5"/>
    </sheetView>
  </sheetViews>
  <sheetFormatPr defaultRowHeight="14"/>
  <cols>
    <col min="1" max="3" width="8.6640625" style="38"/>
    <col min="4" max="4" width="37.4140625" style="38" customWidth="1"/>
    <col min="5" max="5" width="27.08203125" style="38" bestFit="1" customWidth="1"/>
    <col min="6" max="6" width="11.33203125" style="38" bestFit="1" customWidth="1"/>
    <col min="7" max="7" width="14.83203125" style="38" bestFit="1" customWidth="1"/>
    <col min="8" max="16384" width="8.6640625" style="38"/>
  </cols>
  <sheetData>
    <row r="1" spans="2:7" ht="14.5" thickBot="1">
      <c r="B1" s="187" t="s">
        <v>606</v>
      </c>
      <c r="C1" s="187" t="s">
        <v>997</v>
      </c>
      <c r="D1" s="187" t="s">
        <v>998</v>
      </c>
      <c r="E1" s="187" t="s">
        <v>999</v>
      </c>
      <c r="F1" s="266" t="s">
        <v>1000</v>
      </c>
      <c r="G1" s="267" t="s">
        <v>1001</v>
      </c>
    </row>
    <row r="2" spans="2:7" ht="14.5">
      <c r="B2" s="268">
        <v>2013</v>
      </c>
      <c r="C2" s="269">
        <v>1</v>
      </c>
      <c r="D2" s="269" t="s">
        <v>1016</v>
      </c>
      <c r="E2" s="269"/>
      <c r="F2" s="284">
        <v>0.125</v>
      </c>
      <c r="G2" s="285">
        <v>0.875</v>
      </c>
    </row>
    <row r="3" spans="2:7" ht="16.5">
      <c r="B3" s="273">
        <v>2013</v>
      </c>
      <c r="C3" s="274">
        <v>2</v>
      </c>
      <c r="D3" s="274" t="s">
        <v>1017</v>
      </c>
      <c r="E3" s="274"/>
      <c r="F3" s="286">
        <v>8.3333333333333329E-2</v>
      </c>
      <c r="G3" s="287">
        <v>0.91666666666666663</v>
      </c>
    </row>
    <row r="4" spans="2:7" ht="14.5">
      <c r="B4" s="273">
        <v>2013</v>
      </c>
      <c r="C4" s="274">
        <v>3</v>
      </c>
      <c r="D4" s="274" t="s">
        <v>1018</v>
      </c>
      <c r="E4" s="274"/>
      <c r="F4" s="286">
        <v>0.70833333333333337</v>
      </c>
      <c r="G4" s="287">
        <v>0.29166666666666663</v>
      </c>
    </row>
    <row r="5" spans="2:7" ht="16.5">
      <c r="B5" s="273">
        <v>2013</v>
      </c>
      <c r="C5" s="274">
        <v>4</v>
      </c>
      <c r="D5" s="274" t="s">
        <v>1019</v>
      </c>
      <c r="E5" s="274"/>
      <c r="F5" s="286">
        <v>0</v>
      </c>
      <c r="G5" s="287">
        <v>1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55C55-3B71-4646-92A3-696E6DEE70E3}">
  <dimension ref="B1:G50"/>
  <sheetViews>
    <sheetView topLeftCell="O29" zoomScale="130" zoomScaleNormal="130" workbookViewId="0">
      <selection activeCell="D43" sqref="D43"/>
    </sheetView>
  </sheetViews>
  <sheetFormatPr defaultRowHeight="14"/>
  <cols>
    <col min="1" max="3" width="8.6640625" style="38"/>
    <col min="4" max="4" width="37.4140625" style="38" customWidth="1"/>
    <col min="5" max="5" width="27.08203125" style="38" bestFit="1" customWidth="1"/>
    <col min="6" max="6" width="11.33203125" style="38" bestFit="1" customWidth="1"/>
    <col min="7" max="7" width="14.83203125" style="38" bestFit="1" customWidth="1"/>
    <col min="8" max="16384" width="8.6640625" style="38"/>
  </cols>
  <sheetData>
    <row r="1" spans="2:7">
      <c r="B1" s="187" t="s">
        <v>606</v>
      </c>
      <c r="C1" s="187" t="s">
        <v>997</v>
      </c>
      <c r="D1" s="187" t="s">
        <v>998</v>
      </c>
      <c r="E1" s="187" t="s">
        <v>999</v>
      </c>
      <c r="F1" s="266" t="s">
        <v>1000</v>
      </c>
      <c r="G1" s="267" t="s">
        <v>1001</v>
      </c>
    </row>
    <row r="2" spans="2:7" ht="15" thickBot="1">
      <c r="B2" s="279">
        <v>2013</v>
      </c>
      <c r="C2" s="280">
        <v>1</v>
      </c>
      <c r="D2" s="257" t="s">
        <v>948</v>
      </c>
      <c r="E2" s="280"/>
      <c r="F2" s="280">
        <v>1</v>
      </c>
      <c r="G2" s="288">
        <v>0</v>
      </c>
    </row>
    <row r="3" spans="2:7" ht="14.5">
      <c r="B3" s="268">
        <v>2013</v>
      </c>
      <c r="C3" s="269">
        <v>2</v>
      </c>
      <c r="D3" s="258" t="s">
        <v>949</v>
      </c>
      <c r="E3" s="258" t="s">
        <v>1020</v>
      </c>
      <c r="F3" s="258">
        <v>1</v>
      </c>
      <c r="G3" s="289">
        <v>0</v>
      </c>
    </row>
    <row r="4" spans="2:7" ht="14.5">
      <c r="B4" s="273">
        <v>2013</v>
      </c>
      <c r="C4" s="274">
        <v>3</v>
      </c>
      <c r="D4" s="259" t="s">
        <v>950</v>
      </c>
      <c r="E4" s="259" t="s">
        <v>1020</v>
      </c>
      <c r="F4" s="259">
        <v>1</v>
      </c>
      <c r="G4" s="290">
        <v>0</v>
      </c>
    </row>
    <row r="5" spans="2:7" ht="14.5">
      <c r="B5" s="273">
        <v>2013</v>
      </c>
      <c r="C5" s="274">
        <v>4</v>
      </c>
      <c r="D5" s="259" t="s">
        <v>951</v>
      </c>
      <c r="E5" s="259" t="s">
        <v>1020</v>
      </c>
      <c r="F5" s="259">
        <v>1</v>
      </c>
      <c r="G5" s="290">
        <v>0</v>
      </c>
    </row>
    <row r="6" spans="2:7" ht="14.5">
      <c r="B6" s="273">
        <v>2013</v>
      </c>
      <c r="C6" s="274">
        <v>5</v>
      </c>
      <c r="D6" s="259" t="s">
        <v>952</v>
      </c>
      <c r="E6" s="259" t="s">
        <v>1020</v>
      </c>
      <c r="F6" s="259">
        <v>1</v>
      </c>
      <c r="G6" s="290">
        <v>0</v>
      </c>
    </row>
    <row r="7" spans="2:7" ht="14.5">
      <c r="B7" s="273">
        <v>2013</v>
      </c>
      <c r="C7" s="274">
        <v>6</v>
      </c>
      <c r="D7" s="259" t="s">
        <v>953</v>
      </c>
      <c r="E7" s="259" t="s">
        <v>1020</v>
      </c>
      <c r="F7" s="259">
        <v>1</v>
      </c>
      <c r="G7" s="290">
        <v>0</v>
      </c>
    </row>
    <row r="8" spans="2:7" ht="14.5">
      <c r="B8" s="273">
        <v>2013</v>
      </c>
      <c r="C8" s="274">
        <v>7</v>
      </c>
      <c r="D8" s="260" t="s">
        <v>954</v>
      </c>
      <c r="E8" s="260" t="s">
        <v>1021</v>
      </c>
      <c r="F8" s="260">
        <v>1</v>
      </c>
      <c r="G8" s="291">
        <v>0</v>
      </c>
    </row>
    <row r="9" spans="2:7" ht="14.5">
      <c r="B9" s="273">
        <v>2013</v>
      </c>
      <c r="C9" s="274">
        <v>8</v>
      </c>
      <c r="D9" s="259" t="s">
        <v>955</v>
      </c>
      <c r="E9" s="259" t="s">
        <v>1020</v>
      </c>
      <c r="F9" s="259">
        <v>1</v>
      </c>
      <c r="G9" s="290">
        <v>0</v>
      </c>
    </row>
    <row r="10" spans="2:7" ht="14.5">
      <c r="B10" s="273">
        <v>2013</v>
      </c>
      <c r="C10" s="274">
        <v>9</v>
      </c>
      <c r="D10" s="260" t="s">
        <v>956</v>
      </c>
      <c r="E10" s="260" t="s">
        <v>1021</v>
      </c>
      <c r="F10" s="260">
        <v>1</v>
      </c>
      <c r="G10" s="291">
        <v>0</v>
      </c>
    </row>
    <row r="11" spans="2:7" ht="14.5">
      <c r="B11" s="273">
        <v>2013</v>
      </c>
      <c r="C11" s="274">
        <v>10</v>
      </c>
      <c r="D11" s="259" t="s">
        <v>957</v>
      </c>
      <c r="E11" s="259" t="s">
        <v>1020</v>
      </c>
      <c r="F11" s="259">
        <v>1</v>
      </c>
      <c r="G11" s="290">
        <v>0</v>
      </c>
    </row>
    <row r="12" spans="2:7" ht="14.5">
      <c r="B12" s="273">
        <v>2013</v>
      </c>
      <c r="C12" s="274">
        <v>11</v>
      </c>
      <c r="D12" s="260" t="s">
        <v>958</v>
      </c>
      <c r="E12" s="260" t="s">
        <v>1021</v>
      </c>
      <c r="F12" s="260">
        <v>1</v>
      </c>
      <c r="G12" s="291">
        <v>0</v>
      </c>
    </row>
    <row r="13" spans="2:7" ht="14.5">
      <c r="B13" s="273">
        <v>2013</v>
      </c>
      <c r="C13" s="274">
        <v>12</v>
      </c>
      <c r="D13" s="260" t="s">
        <v>959</v>
      </c>
      <c r="E13" s="260" t="s">
        <v>1021</v>
      </c>
      <c r="F13" s="260">
        <v>1</v>
      </c>
      <c r="G13" s="291">
        <v>0</v>
      </c>
    </row>
    <row r="14" spans="2:7" ht="14.5">
      <c r="B14" s="273">
        <v>2013</v>
      </c>
      <c r="C14" s="274">
        <v>13</v>
      </c>
      <c r="D14" s="259" t="s">
        <v>960</v>
      </c>
      <c r="E14" s="259" t="s">
        <v>1020</v>
      </c>
      <c r="F14" s="259">
        <v>1</v>
      </c>
      <c r="G14" s="290">
        <v>0</v>
      </c>
    </row>
    <row r="15" spans="2:7" ht="14.5">
      <c r="B15" s="273">
        <v>2013</v>
      </c>
      <c r="C15" s="274">
        <v>14</v>
      </c>
      <c r="D15" s="259" t="s">
        <v>961</v>
      </c>
      <c r="E15" s="259" t="s">
        <v>1020</v>
      </c>
      <c r="F15" s="259">
        <v>1</v>
      </c>
      <c r="G15" s="290">
        <v>0</v>
      </c>
    </row>
    <row r="16" spans="2:7" ht="14.5">
      <c r="B16" s="273">
        <v>2013</v>
      </c>
      <c r="C16" s="274">
        <v>15</v>
      </c>
      <c r="D16" s="260" t="s">
        <v>962</v>
      </c>
      <c r="E16" s="260" t="s">
        <v>1021</v>
      </c>
      <c r="F16" s="260">
        <v>1</v>
      </c>
      <c r="G16" s="291">
        <v>0</v>
      </c>
    </row>
    <row r="17" spans="2:7" ht="14.5">
      <c r="B17" s="273">
        <v>2013</v>
      </c>
      <c r="C17" s="274">
        <v>16</v>
      </c>
      <c r="D17" s="260" t="s">
        <v>963</v>
      </c>
      <c r="E17" s="260" t="s">
        <v>1021</v>
      </c>
      <c r="F17" s="260">
        <v>1</v>
      </c>
      <c r="G17" s="291">
        <v>0</v>
      </c>
    </row>
    <row r="18" spans="2:7" ht="14.5">
      <c r="B18" s="273">
        <v>2013</v>
      </c>
      <c r="C18" s="274">
        <v>17</v>
      </c>
      <c r="D18" s="260" t="s">
        <v>964</v>
      </c>
      <c r="E18" s="260" t="s">
        <v>1021</v>
      </c>
      <c r="F18" s="260">
        <v>1</v>
      </c>
      <c r="G18" s="291">
        <v>0</v>
      </c>
    </row>
    <row r="19" spans="2:7" ht="14.5">
      <c r="B19" s="273">
        <v>2013</v>
      </c>
      <c r="C19" s="274">
        <v>18</v>
      </c>
      <c r="D19" s="259" t="s">
        <v>965</v>
      </c>
      <c r="E19" s="259" t="s">
        <v>1020</v>
      </c>
      <c r="F19" s="259">
        <v>1</v>
      </c>
      <c r="G19" s="290">
        <v>0</v>
      </c>
    </row>
    <row r="20" spans="2:7" ht="14.5">
      <c r="B20" s="273">
        <v>2013</v>
      </c>
      <c r="C20" s="274">
        <v>19</v>
      </c>
      <c r="D20" s="259" t="s">
        <v>966</v>
      </c>
      <c r="E20" s="259" t="s">
        <v>1020</v>
      </c>
      <c r="F20" s="259">
        <v>1</v>
      </c>
      <c r="G20" s="290">
        <v>0</v>
      </c>
    </row>
    <row r="21" spans="2:7" ht="14.5">
      <c r="B21" s="273">
        <v>2013</v>
      </c>
      <c r="C21" s="274">
        <v>20</v>
      </c>
      <c r="D21" s="259" t="s">
        <v>967</v>
      </c>
      <c r="E21" s="259" t="s">
        <v>1020</v>
      </c>
      <c r="F21" s="259">
        <v>1</v>
      </c>
      <c r="G21" s="290">
        <v>0</v>
      </c>
    </row>
    <row r="22" spans="2:7" ht="14.5">
      <c r="B22" s="273">
        <v>2013</v>
      </c>
      <c r="C22" s="274">
        <v>21</v>
      </c>
      <c r="D22" s="259" t="s">
        <v>968</v>
      </c>
      <c r="E22" s="259" t="s">
        <v>1020</v>
      </c>
      <c r="F22" s="259">
        <v>1</v>
      </c>
      <c r="G22" s="290">
        <v>0</v>
      </c>
    </row>
    <row r="23" spans="2:7" ht="14.5">
      <c r="B23" s="273">
        <v>2013</v>
      </c>
      <c r="C23" s="274">
        <v>22</v>
      </c>
      <c r="D23" s="261" t="s">
        <v>969</v>
      </c>
      <c r="E23" s="261" t="s">
        <v>1022</v>
      </c>
      <c r="F23" s="261">
        <v>0.5</v>
      </c>
      <c r="G23" s="292">
        <v>0.5</v>
      </c>
    </row>
    <row r="24" spans="2:7" ht="14.5">
      <c r="B24" s="273">
        <v>2013</v>
      </c>
      <c r="C24" s="274">
        <v>23</v>
      </c>
      <c r="D24" s="261" t="s">
        <v>970</v>
      </c>
      <c r="E24" s="261" t="s">
        <v>1022</v>
      </c>
      <c r="F24" s="261">
        <v>0.5</v>
      </c>
      <c r="G24" s="292">
        <v>0.5</v>
      </c>
    </row>
    <row r="25" spans="2:7" ht="14.5">
      <c r="B25" s="273">
        <v>2013</v>
      </c>
      <c r="C25" s="274">
        <v>24</v>
      </c>
      <c r="D25" s="261" t="s">
        <v>971</v>
      </c>
      <c r="E25" s="261" t="s">
        <v>1022</v>
      </c>
      <c r="F25" s="261">
        <v>0.5</v>
      </c>
      <c r="G25" s="292">
        <v>0.5</v>
      </c>
    </row>
    <row r="26" spans="2:7" ht="14.5">
      <c r="B26" s="273">
        <v>2013</v>
      </c>
      <c r="C26" s="274">
        <v>25</v>
      </c>
      <c r="D26" s="260" t="s">
        <v>972</v>
      </c>
      <c r="E26" s="260" t="s">
        <v>1021</v>
      </c>
      <c r="F26" s="260">
        <v>1</v>
      </c>
      <c r="G26" s="291">
        <v>0</v>
      </c>
    </row>
    <row r="27" spans="2:7" ht="14.5">
      <c r="B27" s="273">
        <v>2013</v>
      </c>
      <c r="C27" s="274">
        <v>26</v>
      </c>
      <c r="D27" s="260" t="s">
        <v>973</v>
      </c>
      <c r="E27" s="260" t="s">
        <v>1021</v>
      </c>
      <c r="F27" s="260">
        <v>1</v>
      </c>
      <c r="G27" s="291">
        <v>0</v>
      </c>
    </row>
    <row r="28" spans="2:7" ht="14.5">
      <c r="B28" s="273">
        <v>2013</v>
      </c>
      <c r="C28" s="274">
        <v>27</v>
      </c>
      <c r="D28" s="260" t="s">
        <v>974</v>
      </c>
      <c r="E28" s="260" t="s">
        <v>1021</v>
      </c>
      <c r="F28" s="260">
        <v>1</v>
      </c>
      <c r="G28" s="291">
        <v>0</v>
      </c>
    </row>
    <row r="29" spans="2:7" ht="14.5">
      <c r="B29" s="273">
        <v>2013</v>
      </c>
      <c r="C29" s="274">
        <v>28</v>
      </c>
      <c r="D29" s="260" t="s">
        <v>975</v>
      </c>
      <c r="E29" s="260" t="s">
        <v>1021</v>
      </c>
      <c r="F29" s="260">
        <v>1</v>
      </c>
      <c r="G29" s="291">
        <v>0</v>
      </c>
    </row>
    <row r="30" spans="2:7" ht="14.5">
      <c r="B30" s="273">
        <v>2013</v>
      </c>
      <c r="C30" s="274">
        <v>29</v>
      </c>
      <c r="D30" s="260" t="s">
        <v>976</v>
      </c>
      <c r="E30" s="260" t="s">
        <v>1021</v>
      </c>
      <c r="F30" s="260">
        <v>1</v>
      </c>
      <c r="G30" s="291">
        <v>0</v>
      </c>
    </row>
    <row r="31" spans="2:7" ht="14.5">
      <c r="B31" s="273">
        <v>2013</v>
      </c>
      <c r="C31" s="274">
        <v>30</v>
      </c>
      <c r="D31" s="260" t="s">
        <v>977</v>
      </c>
      <c r="E31" s="260" t="s">
        <v>1021</v>
      </c>
      <c r="F31" s="260">
        <v>1</v>
      </c>
      <c r="G31" s="291">
        <v>0</v>
      </c>
    </row>
    <row r="32" spans="2:7" ht="14.5">
      <c r="B32" s="273">
        <v>2013</v>
      </c>
      <c r="C32" s="274">
        <v>31</v>
      </c>
      <c r="D32" s="260" t="s">
        <v>978</v>
      </c>
      <c r="E32" s="260" t="s">
        <v>1021</v>
      </c>
      <c r="F32" s="260">
        <v>1</v>
      </c>
      <c r="G32" s="291">
        <v>0</v>
      </c>
    </row>
    <row r="33" spans="2:7" ht="14.5">
      <c r="B33" s="273">
        <v>2013</v>
      </c>
      <c r="C33" s="274">
        <v>32</v>
      </c>
      <c r="D33" s="259" t="s">
        <v>979</v>
      </c>
      <c r="E33" s="259" t="s">
        <v>1020</v>
      </c>
      <c r="F33" s="259">
        <v>1</v>
      </c>
      <c r="G33" s="290">
        <v>0</v>
      </c>
    </row>
    <row r="34" spans="2:7" ht="14.5">
      <c r="B34" s="273">
        <v>2013</v>
      </c>
      <c r="C34" s="274">
        <v>34</v>
      </c>
      <c r="D34" s="259" t="s">
        <v>980</v>
      </c>
      <c r="E34" s="259" t="s">
        <v>1020</v>
      </c>
      <c r="F34" s="259">
        <v>1</v>
      </c>
      <c r="G34" s="290">
        <v>0</v>
      </c>
    </row>
    <row r="35" spans="2:7" ht="14.5">
      <c r="B35" s="273">
        <v>2013</v>
      </c>
      <c r="C35" s="274">
        <v>35</v>
      </c>
      <c r="D35" s="259" t="s">
        <v>981</v>
      </c>
      <c r="E35" s="259" t="s">
        <v>1020</v>
      </c>
      <c r="F35" s="259">
        <v>1</v>
      </c>
      <c r="G35" s="290">
        <v>0</v>
      </c>
    </row>
    <row r="36" spans="2:7" ht="14.5">
      <c r="B36" s="273">
        <v>2013</v>
      </c>
      <c r="C36" s="274">
        <v>36</v>
      </c>
      <c r="D36" s="259" t="s">
        <v>982</v>
      </c>
      <c r="E36" s="259" t="s">
        <v>1020</v>
      </c>
      <c r="F36" s="259">
        <v>1</v>
      </c>
      <c r="G36" s="290">
        <v>0</v>
      </c>
    </row>
    <row r="37" spans="2:7" ht="14.5">
      <c r="B37" s="273">
        <v>2013</v>
      </c>
      <c r="C37" s="274">
        <v>37</v>
      </c>
      <c r="D37" s="259" t="s">
        <v>983</v>
      </c>
      <c r="E37" s="259" t="s">
        <v>1020</v>
      </c>
      <c r="F37" s="259">
        <v>1</v>
      </c>
      <c r="G37" s="290">
        <v>0</v>
      </c>
    </row>
    <row r="38" spans="2:7" ht="14.5">
      <c r="B38" s="273">
        <v>2013</v>
      </c>
      <c r="C38" s="274">
        <v>38</v>
      </c>
      <c r="D38" s="261" t="s">
        <v>984</v>
      </c>
      <c r="E38" s="261" t="s">
        <v>1023</v>
      </c>
      <c r="F38" s="261">
        <v>0.5</v>
      </c>
      <c r="G38" s="292">
        <v>0.5</v>
      </c>
    </row>
    <row r="39" spans="2:7" ht="14.5">
      <c r="B39" s="273">
        <v>2013</v>
      </c>
      <c r="C39" s="274">
        <v>39</v>
      </c>
      <c r="D39" s="261" t="s">
        <v>985</v>
      </c>
      <c r="E39" s="261" t="s">
        <v>1024</v>
      </c>
      <c r="F39" s="261">
        <v>0.5</v>
      </c>
      <c r="G39" s="292">
        <v>0.5</v>
      </c>
    </row>
    <row r="40" spans="2:7" ht="14.5">
      <c r="B40" s="273">
        <v>2013</v>
      </c>
      <c r="C40" s="274">
        <v>40</v>
      </c>
      <c r="D40" s="260" t="s">
        <v>986</v>
      </c>
      <c r="E40" s="260" t="s">
        <v>1025</v>
      </c>
      <c r="F40" s="260">
        <v>0.5</v>
      </c>
      <c r="G40" s="291">
        <v>0.5</v>
      </c>
    </row>
    <row r="41" spans="2:7" ht="14.5">
      <c r="B41" s="273">
        <v>2013</v>
      </c>
      <c r="C41" s="274" t="s">
        <v>1026</v>
      </c>
      <c r="D41" s="261" t="s">
        <v>987</v>
      </c>
      <c r="E41" s="261" t="s">
        <v>1027</v>
      </c>
      <c r="F41" s="261">
        <v>0.5</v>
      </c>
      <c r="G41" s="292">
        <v>0.5</v>
      </c>
    </row>
    <row r="42" spans="2:7" ht="14.5">
      <c r="B42" s="273">
        <v>2013</v>
      </c>
      <c r="C42" s="274" t="s">
        <v>1028</v>
      </c>
      <c r="D42" s="261" t="s">
        <v>988</v>
      </c>
      <c r="E42" s="261" t="s">
        <v>1027</v>
      </c>
      <c r="F42" s="261">
        <v>0.5</v>
      </c>
      <c r="G42" s="292">
        <v>0.5</v>
      </c>
    </row>
    <row r="43" spans="2:7" ht="14.5">
      <c r="B43" s="273">
        <v>2013</v>
      </c>
      <c r="C43" s="274">
        <v>41</v>
      </c>
      <c r="D43" s="261" t="s">
        <v>989</v>
      </c>
      <c r="E43" s="261" t="s">
        <v>1027</v>
      </c>
      <c r="F43" s="261">
        <v>0.5</v>
      </c>
      <c r="G43" s="292">
        <v>0.5</v>
      </c>
    </row>
    <row r="44" spans="2:7" ht="14.5">
      <c r="B44" s="273">
        <v>2013</v>
      </c>
      <c r="C44" s="274">
        <v>42</v>
      </c>
      <c r="D44" s="261" t="s">
        <v>990</v>
      </c>
      <c r="E44" s="261" t="s">
        <v>1027</v>
      </c>
      <c r="F44" s="261">
        <v>0.5</v>
      </c>
      <c r="G44" s="292">
        <v>0.5</v>
      </c>
    </row>
    <row r="45" spans="2:7" ht="14.5">
      <c r="B45" s="273">
        <v>2013</v>
      </c>
      <c r="C45" s="274">
        <v>43</v>
      </c>
      <c r="D45" s="262" t="s">
        <v>991</v>
      </c>
      <c r="E45" s="262" t="s">
        <v>1022</v>
      </c>
      <c r="F45" s="262">
        <v>0</v>
      </c>
      <c r="G45" s="293">
        <v>1</v>
      </c>
    </row>
    <row r="46" spans="2:7" ht="14.5">
      <c r="B46" s="273">
        <v>2013</v>
      </c>
      <c r="C46" s="274" t="s">
        <v>1029</v>
      </c>
      <c r="D46" s="262" t="s">
        <v>992</v>
      </c>
      <c r="E46" s="262" t="s">
        <v>1022</v>
      </c>
      <c r="F46" s="262">
        <v>0</v>
      </c>
      <c r="G46" s="293">
        <v>1</v>
      </c>
    </row>
    <row r="47" spans="2:7" ht="14.5">
      <c r="B47" s="273">
        <v>2013</v>
      </c>
      <c r="C47" s="274" t="s">
        <v>1030</v>
      </c>
      <c r="D47" s="262" t="s">
        <v>993</v>
      </c>
      <c r="E47" s="262" t="s">
        <v>1022</v>
      </c>
      <c r="F47" s="262">
        <v>0</v>
      </c>
      <c r="G47" s="293">
        <v>1</v>
      </c>
    </row>
    <row r="48" spans="2:7" ht="14.5">
      <c r="B48" s="273">
        <v>2013</v>
      </c>
      <c r="C48" s="274">
        <v>44</v>
      </c>
      <c r="D48" s="260" t="s">
        <v>994</v>
      </c>
      <c r="E48" s="260" t="s">
        <v>1025</v>
      </c>
      <c r="F48" s="260">
        <v>1</v>
      </c>
      <c r="G48" s="291">
        <v>0</v>
      </c>
    </row>
    <row r="49" spans="2:7" ht="14.5">
      <c r="B49" s="273">
        <v>2013</v>
      </c>
      <c r="C49" s="274">
        <v>45</v>
      </c>
      <c r="D49" s="259" t="s">
        <v>995</v>
      </c>
      <c r="E49" s="259" t="s">
        <v>1020</v>
      </c>
      <c r="F49" s="259">
        <v>1</v>
      </c>
      <c r="G49" s="290">
        <v>0</v>
      </c>
    </row>
    <row r="50" spans="2:7" ht="15" thickBot="1">
      <c r="B50" s="279">
        <v>2013</v>
      </c>
      <c r="C50" s="280">
        <v>46</v>
      </c>
      <c r="D50" s="257" t="s">
        <v>996</v>
      </c>
      <c r="E50" s="257" t="s">
        <v>1020</v>
      </c>
      <c r="F50" s="257">
        <v>1</v>
      </c>
      <c r="G50" s="294">
        <v>0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docMetadata/LabelInfo.xml><?xml version="1.0" encoding="utf-8"?>
<clbl:labelList xmlns:clbl="http://schemas.microsoft.com/office/2020/mipLabelMetadata">
  <clbl:label id="{c03ad7b2-93d4-41e9-a098-b1febc82f3d0}" enabled="1" method="Privileged" siteId="{3b2e8941-7948-4131-978a-b2dfc729509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1</vt:i4>
      </vt:variant>
    </vt:vector>
  </HeadingPairs>
  <TitlesOfParts>
    <vt:vector size="30" baseType="lpstr">
      <vt:lpstr>Coreflood Summary</vt:lpstr>
      <vt:lpstr>map</vt:lpstr>
      <vt:lpstr>Adsorption</vt:lpstr>
      <vt:lpstr>UserGuide</vt:lpstr>
      <vt:lpstr>InputData</vt:lpstr>
      <vt:lpstr>Screening</vt:lpstr>
      <vt:lpstr>Ranking</vt:lpstr>
      <vt:lpstr>RF_EUR_Ranges</vt:lpstr>
      <vt:lpstr>Summary</vt:lpstr>
      <vt:lpstr>ScenarioControls</vt:lpstr>
      <vt:lpstr>Criteria</vt:lpstr>
      <vt:lpstr>References_2026</vt:lpstr>
      <vt:lpstr>Lists</vt:lpstr>
      <vt:lpstr>EOR_Data Gathering</vt:lpstr>
      <vt:lpstr>Coreflood</vt:lpstr>
      <vt:lpstr>Sheet1</vt:lpstr>
      <vt:lpstr>Challenges</vt:lpstr>
      <vt:lpstr>Vis_Shear</vt:lpstr>
      <vt:lpstr>Thermal</vt:lpstr>
      <vt:lpstr>Screening_Parameters</vt:lpstr>
      <vt:lpstr>Table_3_2_Peninsular_Msia</vt:lpstr>
      <vt:lpstr>Tidy_All</vt:lpstr>
      <vt:lpstr>Phase_Points</vt:lpstr>
      <vt:lpstr>Phase Behavior Results</vt:lpstr>
      <vt:lpstr>IFT_poly_F</vt:lpstr>
      <vt:lpstr>IFT_sur_F</vt:lpstr>
      <vt:lpstr>PB_2003</vt:lpstr>
      <vt:lpstr>PB_2013_A</vt:lpstr>
      <vt:lpstr>PB_2013_S</vt:lpstr>
      <vt:lpstr>'EOR_Data Gathering'!YES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Sheau Chien  (Dev/Upstream)</dc:creator>
  <cp:lastModifiedBy>M Nabiel Izzuddin Radzuan (Dev/Upstream)</cp:lastModifiedBy>
  <dcterms:created xsi:type="dcterms:W3CDTF">2026-06-25T07:04:19Z</dcterms:created>
  <dcterms:modified xsi:type="dcterms:W3CDTF">2026-07-27T01:59:32Z</dcterms:modified>
</cp:coreProperties>
</file>